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7DFE7075-0A97-4D42-B6DB-F39B781F1518}" xr6:coauthVersionLast="47" xr6:coauthVersionMax="47" xr10:uidLastSave="{00000000-0000-0000-0000-000000000000}"/>
  <bookViews>
    <workbookView xWindow="-108" yWindow="-108" windowWidth="23256" windowHeight="12576" tabRatio="875" firstSheet="16" activeTab="2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119" i="39" l="1"/>
  <c r="F119" i="39" s="1"/>
  <c r="D119" i="39"/>
  <c r="I48" i="39"/>
  <c r="G48" i="39"/>
  <c r="E48" i="39"/>
  <c r="Q9" i="1" l="1"/>
  <c r="N9" i="1"/>
  <c r="L9" i="1"/>
  <c r="G22" i="6"/>
  <c r="AN13" i="3"/>
  <c r="O13" i="3"/>
  <c r="C15" i="66" l="1"/>
  <c r="B15" i="66"/>
  <c r="H34" i="72"/>
  <c r="AH7" i="1"/>
  <c r="H16" i="72"/>
  <c r="M13" i="3"/>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I7" i="39"/>
  <c r="F21" i="6"/>
  <c r="B59" i="1" l="1"/>
  <c r="I13" i="3"/>
  <c r="J13" i="3"/>
  <c r="AT13" i="3"/>
  <c r="AF13" i="3"/>
  <c r="K13" i="3"/>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F29" i="6" s="1"/>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B5"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F3" i="35"/>
  <c r="AZ15" i="3"/>
  <c r="BK5" i="3"/>
  <c r="BO5" i="3"/>
  <c r="BP5" i="3"/>
  <c r="BN5" i="3"/>
  <c r="BL18" i="3"/>
  <c r="AZ18" i="3" s="1"/>
  <c r="BC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J15" i="15"/>
  <c r="F8" i="67"/>
  <c r="F16" i="15"/>
  <c r="M6" i="15"/>
  <c r="F9" i="67"/>
  <c r="M23" i="15"/>
  <c r="M24" i="15"/>
  <c r="J36" i="15"/>
  <c r="F11" i="67"/>
  <c r="M26" i="15"/>
  <c r="B11" i="67"/>
  <c r="B13" i="67"/>
  <c r="N7" i="65"/>
  <c r="L47" i="15"/>
  <c r="F26" i="15"/>
  <c r="F10" i="67"/>
  <c r="N5" i="65"/>
  <c r="F42" i="15"/>
  <c r="L48" i="15"/>
  <c r="B10" i="67"/>
  <c r="F38" i="15"/>
  <c r="M22" i="15"/>
  <c r="E10" i="67"/>
  <c r="E13" i="67"/>
  <c r="F8" i="15"/>
  <c r="M8" i="15"/>
  <c r="E12" i="67"/>
  <c r="M28" i="15"/>
  <c r="B12" i="67"/>
  <c r="F40" i="15"/>
  <c r="M9" i="15"/>
  <c r="F13" i="15"/>
  <c r="F6" i="15"/>
  <c r="F37" i="15"/>
  <c r="E14" i="67"/>
  <c r="F14" i="67"/>
  <c r="B8" i="67"/>
  <c r="F36" i="15"/>
  <c r="F12" i="67"/>
  <c r="N4" i="65"/>
  <c r="E11" i="67"/>
  <c r="B14" i="67"/>
  <c r="E9" i="67"/>
  <c r="B9" i="67"/>
  <c r="F13" i="67"/>
  <c r="N6" i="65"/>
  <c r="N3" i="65"/>
  <c r="F9" i="15"/>
  <c r="E8" i="67"/>
  <c r="G69" i="21" l="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38" i="44"/>
  <c r="J4" i="65"/>
  <c r="J17" i="44"/>
  <c r="F15" i="44"/>
  <c r="F9" i="44"/>
  <c r="I6" i="65"/>
  <c r="F28" i="44"/>
  <c r="M31" i="44"/>
  <c r="I7" i="65"/>
  <c r="M11" i="44"/>
  <c r="M8" i="44"/>
  <c r="F40" i="44"/>
  <c r="F10" i="44"/>
  <c r="L48" i="44"/>
  <c r="I3" i="65"/>
  <c r="F43" i="44"/>
  <c r="I4" i="65"/>
  <c r="M10" i="44"/>
  <c r="M28" i="44"/>
  <c r="M25" i="44"/>
  <c r="J3" i="65"/>
  <c r="J7" i="65"/>
  <c r="I5" i="65"/>
  <c r="M26" i="44"/>
  <c r="J6" i="65"/>
  <c r="F11" i="44"/>
  <c r="F45" i="44"/>
  <c r="M24" i="44"/>
  <c r="L49" i="44"/>
  <c r="J5" i="65"/>
  <c r="F18" i="44"/>
  <c r="F39" i="44"/>
  <c r="F8" i="44"/>
  <c r="M30" i="44"/>
  <c r="AZ13" i="3" l="1"/>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K6" i="1"/>
  <c r="Q16" i="1" s="1"/>
  <c r="F21" i="43" s="1"/>
  <c r="L19" i="6"/>
  <c r="L27" i="6"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B123" i="46"/>
  <c r="C123" i="46" s="1"/>
  <c r="D120" i="46"/>
  <c r="E120" i="46" s="1"/>
  <c r="F120" i="46" s="1"/>
  <c r="G120" i="46" s="1"/>
  <c r="H120"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F46" i="44"/>
  <c r="M29" i="15"/>
  <c r="F7" i="15"/>
  <c r="C18" i="44"/>
  <c r="F43" i="15"/>
  <c r="F41" i="15"/>
  <c r="E3" i="65"/>
  <c r="D119" i="46" l="1"/>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c r="I48" i="21" s="1"/>
  <c r="U11" i="21"/>
  <c r="AB11" i="21"/>
  <c r="T48" i="21"/>
  <c r="G48" i="21"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16" i="15"/>
  <c r="M29" i="44"/>
  <c r="M27" i="15"/>
  <c r="B14" i="66" l="1"/>
  <c r="B1" i="66" s="1"/>
  <c r="W12" i="40"/>
  <c r="F12" i="39"/>
  <c r="AA12" i="39" s="1"/>
  <c r="H12" i="39"/>
  <c r="U12" i="39" s="1"/>
  <c r="J12" i="39"/>
  <c r="AC12" i="39" s="1"/>
  <c r="F12" i="40"/>
  <c r="AA12" i="40" s="1"/>
  <c r="H12" i="40"/>
  <c r="U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C7" i="66" l="1"/>
  <c r="C8" i="66"/>
  <c r="S12" i="39"/>
  <c r="B2" i="21"/>
  <c r="C10" i="12" s="1"/>
  <c r="C8" i="12"/>
  <c r="C59" i="15"/>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1" i="6" l="1"/>
  <c r="C14" i="66"/>
  <c r="B2" i="66" s="1"/>
  <c r="H23" i="6"/>
  <c r="H25" i="6"/>
  <c r="D30" i="6"/>
  <c r="M27" i="6"/>
  <c r="H24" i="6"/>
  <c r="R24" i="6" s="1"/>
  <c r="R11" i="1" s="1"/>
  <c r="H22" i="6"/>
  <c r="R22" i="6" s="1"/>
  <c r="R9" i="1" s="1"/>
  <c r="S16" i="1"/>
  <c r="T11" i="1" s="1"/>
  <c r="D16" i="59"/>
  <c r="C15" i="59"/>
  <c r="C31" i="46"/>
  <c r="C30" i="46"/>
  <c r="B2" i="46" s="1"/>
  <c r="D4" i="46" s="1"/>
  <c r="T13"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F35" i="15"/>
  <c r="M23" i="44"/>
  <c r="M21" i="15"/>
  <c r="F37" i="44"/>
  <c r="D8" i="66" l="1"/>
  <c r="D7" i="66"/>
  <c r="T10" i="1"/>
  <c r="T8" i="1"/>
  <c r="T9" i="1"/>
  <c r="T6" i="1"/>
  <c r="D15" i="59"/>
  <c r="C14" i="59"/>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4" i="15"/>
  <c r="C16" i="44"/>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B3" i="35" l="1"/>
  <c r="D8" i="12" s="1"/>
  <c r="C24" i="12"/>
  <c r="C29" i="12"/>
  <c r="C35" i="12" l="1"/>
  <c r="C33" i="12" s="1"/>
  <c r="C28" i="12"/>
  <c r="C26" i="12" s="1"/>
  <c r="C31" i="12" s="1"/>
  <c r="C30" i="12" s="1"/>
  <c r="C36" i="12" s="1"/>
  <c r="B2" i="12" s="1"/>
  <c r="D19" i="9"/>
  <c r="D22" i="9" l="1"/>
  <c r="G19" i="9"/>
  <c r="L44" i="9"/>
  <c r="B3" i="12"/>
  <c r="B5" i="12"/>
  <c r="B4" i="12"/>
  <c r="D21" i="9"/>
  <c r="D20" i="9"/>
  <c r="G20" i="9" l="1"/>
  <c r="G21" i="9"/>
  <c r="G22" i="9"/>
  <c r="C32" i="9"/>
  <c r="N43" i="9"/>
  <c r="C42" i="9" l="1"/>
  <c r="C34" i="9"/>
  <c r="O43" i="9"/>
  <c r="O38" i="9"/>
  <c r="C35" i="9"/>
  <c r="F42" i="9" s="1"/>
  <c r="C33" i="9"/>
  <c r="D14" i="66" l="1"/>
  <c r="K26" i="9"/>
  <c r="K25" i="9"/>
  <c r="D42" i="9"/>
  <c r="Q5" i="54" s="1"/>
  <c r="B47" i="63" s="1"/>
  <c r="N38" i="9"/>
  <c r="K28" i="9" s="1"/>
  <c r="M38" i="9"/>
  <c r="K27" i="9" s="1"/>
  <c r="E42" i="9"/>
  <c r="P5" i="54" s="1"/>
  <c r="B46" i="63" s="1"/>
  <c r="C44" i="9"/>
  <c r="R5" i="54"/>
  <c r="B48" i="63" s="1"/>
  <c r="N68" i="9"/>
  <c r="D63" i="9"/>
  <c r="D15" i="66"/>
  <c r="G15" i="66" s="1"/>
  <c r="O39" i="9" l="1"/>
  <c r="N69" i="9"/>
  <c r="F44" i="9"/>
  <c r="D44" i="9"/>
  <c r="E44" i="9"/>
  <c r="C82" i="9"/>
  <c r="C81" i="9" s="1"/>
  <c r="C85" i="9" s="1"/>
  <c r="C86" i="9" s="1"/>
  <c r="D72" i="9" s="1"/>
  <c r="C103" i="9"/>
  <c r="C111" i="9"/>
  <c r="C104" i="9" s="1"/>
  <c r="C90" i="9"/>
  <c r="D73" i="9"/>
  <c r="N73" i="9" s="1"/>
  <c r="D71" i="9"/>
  <c r="D66" i="9" s="1"/>
  <c r="N72" i="9" s="1"/>
  <c r="D70" i="9"/>
  <c r="C96" i="9"/>
  <c r="C91" i="9" s="1"/>
  <c r="G14" i="66"/>
  <c r="B6" i="66" s="1"/>
  <c r="E14" i="66"/>
  <c r="F14" i="66"/>
  <c r="E15" i="66"/>
  <c r="F15" i="66"/>
  <c r="B5" i="66"/>
  <c r="D6" i="66" l="1"/>
  <c r="C6" i="66"/>
  <c r="C113" i="9"/>
  <c r="M88" i="9"/>
  <c r="N88" i="9" s="1"/>
  <c r="M84" i="9"/>
  <c r="N84" i="9" s="1"/>
  <c r="M83" i="9"/>
  <c r="N83" i="9" s="1"/>
  <c r="M85" i="9"/>
  <c r="N85" i="9" s="1"/>
  <c r="M86" i="9"/>
  <c r="N86" i="9" s="1"/>
  <c r="M87" i="9"/>
  <c r="N87" i="9" s="1"/>
  <c r="C97" i="9"/>
  <c r="K29" i="9"/>
  <c r="K30" i="9" s="1"/>
  <c r="R6" i="54"/>
  <c r="B50" i="63" s="1"/>
  <c r="D5" i="66"/>
  <c r="C5" i="66"/>
  <c r="C98" i="9" l="1"/>
  <c r="E98" i="9" s="1"/>
  <c r="E99" i="9" s="1"/>
  <c r="C114" i="9"/>
  <c r="E114" i="9" s="1"/>
  <c r="E115"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<sst xmlns="http://schemas.openxmlformats.org/spreadsheetml/2006/main" count="7883" uniqueCount="3515">
  <si>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</si>
  <si>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</si>
  <si>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</si>
  <si>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</si>
  <si>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</si>
  <si>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</si>
  <si>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</si>
  <si>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</si>
  <si>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</si>
  <si>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</si>
  <si>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</si>
  <si>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</si>
  <si>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</si>
  <si>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</si>
  <si>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</si>
  <si>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</si>
  <si>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</si>
  <si>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</si>
  <si>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</si>
  <si>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</si>
  <si>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</si>
  <si>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</si>
  <si>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</si>
  <si>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</si>
  <si>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</si>
  <si>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</si>
  <si>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</si>
  <si>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</si>
  <si>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</si>
  <si>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</si>
  <si>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</si>
  <si>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</si>
  <si>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</si>
  <si>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</si>
  <si>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</si>
  <si>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</si>
  <si>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</si>
  <si>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</si>
  <si>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</si>
  <si>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</si>
  <si>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</si>
  <si>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</si>
  <si>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</si>
  <si>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</si>
  <si>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</si>
  <si>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</si>
  <si>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</si>
  <si>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</si>
  <si>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</si>
  <si>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</si>
  <si>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</si>
  <si>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</si>
  <si>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</si>
  <si>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</si>
  <si>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</si>
  <si>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</si>
  <si>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</si>
  <si>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</si>
  <si>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</si>
  <si>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</si>
  <si>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</si>
  <si>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</si>
  <si>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</si>
  <si>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</si>
  <si>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</si>
  <si>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</si>
  <si>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</si>
  <si>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</si>
  <si>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</si>
  <si>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</si>
  <si>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</si>
  <si>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</si>
  <si>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</si>
  <si>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</si>
  <si>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</si>
  <si>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</si>
  <si>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</si>
  <si>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</si>
  <si>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</si>
  <si>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</si>
  <si>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</si>
  <si>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</si>
  <si>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</si>
  <si>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</si>
  <si>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</si>
  <si>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</si>
  <si>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</si>
  <si>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</si>
  <si>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</si>
  <si>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</si>
  <si>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</si>
  <si>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</si>
  <si>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</si>
  <si>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</si>
  <si>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</si>
  <si>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</si>
  <si>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</si>
  <si>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</si>
  <si>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</si>
  <si>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</si>
  <si>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</si>
  <si>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</si>
  <si>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</si>
  <si>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</si>
  <si>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</si>
  <si>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</si>
  <si>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</si>
  <si>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</si>
  <si>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</si>
  <si>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</si>
  <si>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</si>
  <si>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</si>
  <si>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</si>
  <si>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</si>
  <si>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</si>
  <si>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</si>
  <si>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</si>
  <si>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</si>
  <si>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</si>
  <si>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</si>
  <si>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</si>
  <si>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</si>
  <si>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</si>
  <si>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</si>
  <si>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</si>
  <si>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</si>
  <si>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</si>
  <si>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</si>
  <si>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</si>
  <si>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</si>
  <si>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</si>
  <si>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</si>
  <si>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</si>
  <si>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</si>
  <si>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</si>
  <si>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</si>
  <si>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</si>
  <si>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</si>
  <si>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</si>
  <si>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</si>
  <si>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</si>
  <si>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</si>
  <si>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</si>
  <si>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</si>
  <si>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</si>
  <si>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</si>
  <si>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</si>
  <si>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</si>
  <si>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</si>
  <si>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</si>
  <si>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</si>
  <si>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</si>
  <si>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</si>
  <si>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</si>
  <si>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</si>
  <si>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</si>
  <si>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</si>
  <si>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</si>
  <si>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</si>
  <si>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</si>
  <si>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</si>
  <si>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</si>
  <si>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</si>
  <si>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</si>
  <si>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</si>
  <si>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</si>
  <si>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</si>
  <si>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</si>
  <si>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</si>
  <si>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</si>
  <si>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</si>
  <si>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</si>
  <si>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</si>
  <si>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</si>
  <si>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</si>
  <si>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</si>
  <si>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</si>
  <si>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</si>
  <si>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</si>
  <si>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</si>
  <si>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</si>
  <si>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</si>
  <si>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</si>
  <si>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</si>
  <si>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</si>
  <si>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</si>
  <si>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</si>
  <si>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</si>
  <si>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</si>
  <si>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</si>
  <si>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</si>
  <si>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</si>
  <si>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</si>
  <si>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</si>
  <si>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</si>
  <si>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</si>
  <si>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</si>
  <si>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</si>
  <si>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</si>
  <si>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</si>
  <si>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</si>
  <si>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</si>
  <si>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</si>
  <si>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</si>
  <si>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</si>
  <si>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</si>
  <si>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</si>
  <si>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</si>
  <si>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</si>
  <si>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</si>
  <si>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</si>
  <si>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</si>
  <si>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</si>
  <si>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</si>
  <si>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</si>
  <si>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</si>
  <si>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</si>
  <si>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</si>
  <si>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</si>
  <si>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</si>
  <si>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</si>
  <si>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</si>
  <si>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</si>
  <si>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</si>
  <si>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</si>
  <si>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</si>
  <si>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</si>
  <si>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</si>
  <si>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</si>
  <si>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</si>
  <si>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</si>
  <si>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</si>
  <si>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</si>
  <si>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</si>
  <si>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</si>
  <si>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</si>
  <si>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</si>
  <si>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</si>
  <si>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</si>
  <si>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</si>
  <si>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</si>
  <si>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</si>
  <si>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</si>
  <si>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</si>
  <si>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</si>
  <si>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</si>
  <si>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</si>
  <si>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</si>
  <si>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</si>
  <si>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</si>
  <si>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</si>
  <si>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</si>
  <si>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</si>
  <si>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</si>
  <si>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</si>
  <si>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</si>
  <si>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</si>
  <si>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</si>
  <si>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</si>
  <si>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</si>
  <si>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</si>
  <si>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</si>
  <si>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</si>
  <si>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</si>
  <si>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</si>
  <si>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</si>
  <si>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</si>
  <si>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</si>
  <si>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</si>
  <si>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</si>
  <si>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</si>
  <si>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</si>
  <si>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</si>
  <si>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</si>
  <si>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</si>
  <si>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</si>
  <si>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</si>
  <si>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</si>
  <si>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</si>
  <si>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</si>
  <si>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</si>
  <si>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</si>
  <si>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</si>
  <si>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</si>
  <si>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</si>
  <si>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</si>
  <si>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</si>
  <si>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</si>
  <si>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</si>
  <si>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</si>
  <si>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</si>
  <si>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</si>
  <si>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</si>
  <si>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</si>
  <si>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</si>
  <si>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</si>
  <si>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</si>
  <si>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</si>
  <si>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</si>
  <si>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</si>
  <si>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</si>
  <si>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</si>
  <si>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</si>
  <si>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</si>
  <si>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</si>
  <si>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</si>
  <si>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</si>
  <si>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</si>
  <si>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</si>
  <si>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</si>
  <si>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</si>
  <si>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</si>
  <si>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</si>
  <si>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</si>
  <si>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</si>
  <si>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</si>
  <si>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</si>
  <si>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</si>
  <si>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</si>
  <si>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</si>
  <si>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</si>
  <si>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</si>
  <si>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</si>
  <si>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</si>
  <si>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</si>
  <si>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</si>
  <si>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</si>
  <si>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</si>
  <si>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</si>
  <si>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</si>
  <si>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</si>
  <si>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</si>
  <si>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</si>
  <si>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</si>
  <si>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</si>
  <si>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</si>
  <si>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</si>
  <si>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</si>
  <si>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</si>
  <si>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</si>
  <si>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</si>
  <si>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</si>
  <si>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</si>
  <si>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</si>
  <si>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</si>
  <si>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</si>
  <si>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</si>
  <si>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</si>
  <si>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</si>
  <si>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</si>
  <si>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</si>
  <si>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</si>
  <si>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</si>
  <si>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</si>
  <si>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</si>
  <si>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</si>
  <si>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</si>
  <si>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</si>
  <si>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</si>
  <si>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</si>
  <si>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</si>
  <si>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</si>
  <si>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</si>
  <si>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</si>
  <si>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</si>
  <si>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</si>
  <si>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</si>
  <si>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</si>
  <si>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</si>
  <si>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</si>
  <si>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</si>
  <si>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</si>
  <si>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</si>
  <si>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</si>
  <si>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</si>
  <si>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</si>
  <si>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</si>
  <si>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</si>
  <si>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</si>
  <si>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</si>
  <si>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</si>
  <si>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</si>
  <si>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</si>
  <si>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</si>
  <si>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</si>
  <si>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</si>
  <si>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</si>
  <si>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</si>
  <si>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</si>
  <si>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</si>
  <si>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</si>
  <si>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</si>
  <si>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</si>
  <si>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</si>
  <si>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</si>
  <si>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</si>
  <si>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</si>
  <si>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</si>
  <si>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</si>
  <si>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</si>
  <si>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</si>
  <si>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</si>
  <si>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</si>
  <si>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</si>
  <si>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</si>
  <si>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</si>
  <si>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</si>
  <si>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</si>
  <si>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</si>
  <si>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</si>
  <si>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</si>
  <si>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</si>
  <si>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</si>
  <si>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</si>
  <si>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</si>
  <si>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</si>
  <si>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</si>
  <si>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</si>
  <si>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</si>
  <si>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</si>
  <si>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</si>
  <si>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</si>
  <si>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</si>
  <si>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</si>
  <si>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</si>
  <si>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</si>
  <si>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</si>
  <si>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</si>
  <si>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</si>
  <si>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</si>
  <si>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</si>
  <si>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</si>
  <si>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</si>
  <si>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</si>
  <si>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</si>
  <si>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</si>
  <si>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</si>
  <si>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</si>
  <si>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</si>
  <si>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</si>
  <si>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</si>
  <si>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</si>
  <si>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</si>
  <si>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</si>
  <si>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</si>
  <si>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</si>
  <si>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</si>
  <si>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</si>
  <si>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</si>
  <si>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</si>
  <si>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</si>
  <si>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</si>
  <si>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</si>
  <si>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</si>
  <si>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</si>
  <si>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</si>
  <si>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</si>
  <si>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</si>
  <si>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</si>
  <si>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</si>
  <si>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</si>
  <si>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</si>
  <si>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</si>
  <si>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</si>
  <si>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</si>
  <si>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</si>
  <si>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</si>
  <si>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</si>
  <si>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</si>
  <si>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</si>
  <si>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</si>
  <si>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</si>
  <si>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</si>
  <si>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</si>
  <si>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</si>
  <si>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</si>
  <si>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</si>
  <si>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</si>
  <si>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</si>
  <si>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</si>
  <si>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</si>
  <si>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</si>
  <si>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</si>
  <si>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</si>
  <si>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</si>
  <si>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</si>
  <si>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</si>
  <si>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</si>
  <si>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</si>
  <si>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</si>
  <si>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</si>
  <si>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</si>
  <si>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</si>
  <si>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</si>
  <si>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</si>
  <si>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</si>
  <si>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</si>
  <si>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</si>
  <si>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</si>
  <si>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</si>
  <si>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</si>
  <si>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</si>
  <si>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</si>
  <si>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</si>
  <si>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</si>
  <si>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</si>
  <si>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</si>
  <si>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</si>
  <si>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</si>
  <si>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</si>
  <si>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</si>
  <si>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</si>
  <si>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</si>
  <si>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</si>
  <si>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</si>
  <si>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</si>
  <si>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</si>
  <si>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</si>
  <si>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</si>
  <si>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</si>
  <si>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</si>
  <si>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</si>
  <si>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</si>
  <si>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</si>
  <si>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</si>
  <si>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</si>
  <si>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</si>
  <si>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</si>
  <si>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</si>
  <si>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</si>
  <si>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</si>
  <si>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</si>
  <si>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</si>
  <si>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</si>
  <si>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</si>
  <si>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</si>
  <si>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</si>
  <si>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</si>
  <si>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</si>
  <si>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</si>
  <si>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</si>
  <si>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</si>
  <si>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</si>
  <si>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</si>
  <si>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</si>
  <si>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</si>
  <si>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</si>
  <si>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</si>
  <si>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</si>
  <si>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</si>
  <si>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</si>
  <si>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</si>
  <si>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</si>
  <si>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</si>
  <si>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</si>
  <si>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</si>
  <si>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</si>
  <si>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</si>
  <si>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</si>
  <si>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</si>
  <si>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</si>
  <si>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</si>
  <si>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</si>
  <si>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</si>
  <si>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</si>
  <si>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</si>
  <si>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</si>
  <si>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</si>
  <si>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</si>
  <si>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</si>
  <si>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</si>
  <si>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</si>
  <si>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</si>
  <si>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</si>
  <si>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</si>
  <si>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</si>
  <si>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</si>
  <si>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</si>
  <si>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</si>
  <si>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</si>
  <si>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</si>
  <si>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</si>
  <si>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</si>
  <si>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</si>
  <si>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</si>
  <si>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</si>
  <si>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</si>
  <si>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</si>
  <si>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</si>
  <si>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</si>
  <si>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</si>
  <si>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</si>
  <si>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</si>
  <si>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</si>
  <si>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</si>
  <si>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</si>
  <si>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</si>
  <si>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</si>
  <si>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</si>
  <si>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</si>
  <si>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</si>
  <si>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</si>
  <si>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</si>
  <si>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</si>
  <si>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</si>
  <si>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</si>
  <si>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</si>
  <si>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</si>
  <si>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</si>
  <si>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</si>
  <si>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</si>
  <si>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</si>
  <si>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</si>
  <si>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</si>
  <si>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</si>
  <si>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</si>
  <si>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</si>
  <si>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</si>
  <si>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</si>
  <si>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</si>
  <si>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</si>
  <si>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</si>
  <si>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</si>
  <si>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</si>
  <si>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</si>
  <si>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</si>
  <si>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</si>
  <si>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</si>
  <si>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</si>
  <si>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</si>
  <si>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</si>
  <si>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</si>
  <si>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</si>
  <si>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</si>
  <si>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</si>
  <si>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</si>
  <si>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</si>
  <si>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</si>
  <si>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</si>
  <si>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</si>
  <si>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</si>
  <si>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</si>
  <si>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</si>
  <si>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</si>
  <si>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</si>
  <si>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</si>
  <si>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</si>
  <si>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</si>
  <si>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</si>
  <si>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</si>
  <si>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</si>
  <si>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</si>
  <si>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</si>
  <si>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</si>
  <si>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</si>
  <si>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</si>
  <si>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</si>
  <si>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</si>
  <si>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</si>
  <si>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</si>
  <si>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</si>
  <si>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</si>
  <si>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</si>
  <si>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</si>
  <si>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</si>
  <si>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</si>
  <si>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</si>
  <si>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</si>
  <si>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</si>
  <si>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</si>
  <si>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</si>
  <si>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</si>
  <si>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</si>
  <si>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</si>
  <si>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</si>
  <si>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</si>
  <si>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</si>
  <si>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</si>
  <si>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</si>
  <si>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</si>
  <si>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</si>
  <si>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</si>
  <si>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</si>
  <si>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</si>
  <si>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</si>
  <si>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</si>
  <si>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</si>
  <si>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</si>
  <si>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</si>
  <si>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</si>
  <si>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</si>
  <si>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</si>
  <si>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</si>
  <si>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</si>
  <si>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</si>
  <si>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</si>
  <si>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</si>
  <si>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</si>
  <si>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</si>
  <si>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</si>
  <si>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</si>
  <si>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</si>
  <si>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</si>
  <si>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</si>
  <si>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</si>
  <si>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</si>
  <si>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</si>
  <si>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</si>
  <si>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</si>
  <si>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</si>
  <si>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</si>
  <si>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</si>
  <si>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</si>
  <si>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</si>
  <si>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</si>
  <si>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</si>
  <si>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</si>
  <si>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</si>
  <si>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</si>
  <si>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</si>
  <si>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</si>
  <si>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</si>
  <si>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</si>
  <si>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</si>
  <si>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</si>
  <si>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</si>
  <si>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</si>
  <si>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</si>
  <si>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</si>
  <si>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</si>
  <si>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</si>
  <si>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</si>
  <si>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</si>
  <si>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</si>
  <si>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</si>
  <si>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</si>
  <si>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</si>
  <si>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</si>
  <si>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</si>
  <si>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</si>
  <si>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</si>
  <si>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</si>
  <si>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</si>
  <si>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</si>
  <si>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</si>
  <si>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</si>
  <si>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</si>
  <si>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</si>
  <si>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</si>
  <si>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</si>
  <si>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</si>
  <si>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</si>
  <si>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</si>
  <si>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</si>
  <si>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</si>
  <si>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</si>
  <si>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</si>
  <si>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</si>
  <si>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</si>
  <si>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</si>
  <si>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</si>
  <si>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</si>
  <si>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</si>
  <si>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</si>
  <si>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</si>
  <si>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</si>
  <si>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</si>
  <si>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</si>
  <si>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</si>
  <si>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</si>
  <si>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</si>
  <si>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</si>
  <si>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</si>
  <si>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</si>
  <si>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</si>
  <si>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</si>
  <si>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</si>
  <si>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</si>
  <si>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</si>
  <si>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</si>
  <si>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</si>
  <si>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</si>
  <si>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</si>
  <si>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</si>
  <si>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</si>
  <si>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</si>
  <si>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</si>
  <si>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</si>
  <si>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</si>
  <si>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</si>
  <si>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</si>
  <si>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</si>
  <si>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</si>
  <si>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</si>
  <si>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</si>
  <si>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</si>
  <si>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</si>
  <si>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</si>
  <si>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</si>
  <si>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</si>
  <si>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</si>
  <si>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</si>
  <si>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</si>
  <si>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</si>
  <si>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</si>
  <si>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</si>
  <si>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</si>
  <si>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</si>
  <si>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</si>
  <si>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</si>
  <si>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</si>
  <si>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</si>
  <si>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</si>
  <si>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</si>
  <si>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</si>
  <si>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</si>
  <si>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</si>
  <si>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</si>
  <si>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</si>
  <si>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</si>
  <si>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</si>
  <si>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</si>
  <si>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</si>
  <si>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</si>
  <si>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</si>
  <si>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</si>
  <si>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</si>
  <si>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</si>
  <si>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</si>
  <si>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</si>
  <si>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</si>
  <si>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</si>
  <si>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</si>
  <si>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</si>
  <si>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</si>
  <si>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</si>
  <si>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</si>
  <si>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</si>
  <si>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</si>
  <si>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</si>
  <si>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</si>
  <si>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</si>
  <si>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</si>
  <si>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</si>
  <si>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</si>
  <si>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</si>
  <si>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</si>
  <si>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</si>
  <si>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</si>
  <si>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</si>
  <si>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</si>
  <si>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</si>
  <si>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</si>
  <si>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</si>
  <si>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</si>
  <si>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</si>
  <si>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</si>
  <si>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</si>
  <si>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</si>
  <si>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</si>
  <si>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</si>
  <si>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</si>
  <si>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</si>
  <si>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</si>
  <si>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</si>
  <si>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</si>
  <si>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</si>
  <si>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</si>
  <si>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</si>
  <si>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</si>
  <si>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</si>
  <si>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</si>
  <si>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</si>
  <si>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</si>
  <si>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</si>
  <si>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</si>
  <si>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</si>
  <si>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</si>
  <si>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</si>
  <si>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</si>
  <si>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</si>
  <si>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</si>
  <si>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</si>
  <si>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</si>
  <si>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</si>
  <si>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</si>
  <si>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</si>
  <si>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</si>
  <si>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</si>
  <si>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</si>
  <si>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</si>
  <si>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</si>
  <si>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</si>
  <si>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</si>
  <si>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</si>
  <si>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</si>
  <si>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</si>
  <si>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</si>
  <si>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</si>
  <si>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</si>
  <si>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</si>
  <si>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</si>
  <si>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</si>
  <si>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</si>
  <si>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</si>
  <si>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</si>
  <si>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</si>
  <si>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</si>
  <si>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</si>
  <si>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</si>
  <si>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</si>
  <si>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</si>
  <si>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</si>
  <si>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</si>
  <si>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</si>
  <si>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</si>
  <si>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</si>
  <si>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</si>
  <si>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</si>
  <si>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</si>
  <si>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</si>
  <si>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</si>
  <si>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</si>
  <si>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</si>
  <si>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</si>
  <si>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</si>
  <si>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</si>
  <si>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</si>
  <si>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</si>
  <si>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</si>
  <si>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</si>
  <si>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</si>
  <si>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</si>
  <si>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</si>
  <si>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</si>
  <si>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</si>
  <si>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</si>
  <si>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</si>
  <si>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</si>
  <si>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</si>
  <si>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</si>
  <si>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</si>
  <si>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</si>
  <si>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</si>
  <si>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</si>
  <si>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</si>
  <si>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</si>
  <si>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</si>
  <si>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</si>
  <si>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</si>
  <si>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</si>
  <si>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</si>
  <si>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</si>
  <si>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</si>
  <si>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</si>
  <si>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</si>
  <si>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</si>
  <si>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</si>
  <si>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</si>
  <si>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</si>
  <si>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</si>
  <si>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</si>
  <si>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</si>
  <si>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</si>
  <si>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</si>
  <si>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</si>
  <si>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</si>
  <si>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</si>
  <si>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</si>
  <si>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</si>
  <si>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</si>
  <si>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</si>
  <si>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</si>
  <si>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</si>
  <si>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</si>
  <si>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</si>
  <si>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</si>
  <si>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</si>
  <si>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</si>
  <si>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</si>
  <si>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</si>
  <si>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</si>
  <si>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</si>
  <si>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</si>
  <si>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</si>
  <si>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</si>
  <si>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</si>
  <si>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</si>
  <si>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</si>
  <si>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</si>
  <si>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</si>
  <si>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</si>
  <si>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</si>
  <si>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</si>
  <si>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</si>
  <si>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</si>
  <si>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</si>
  <si>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</si>
  <si>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</si>
  <si>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</si>
  <si>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</si>
  <si>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</si>
  <si>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</si>
  <si>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</si>
  <si>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</si>
  <si>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</si>
  <si>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</si>
  <si>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</si>
  <si>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</si>
  <si>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</si>
  <si>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</si>
  <si>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</si>
  <si>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</si>
  <si>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</si>
  <si>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</si>
  <si>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</si>
  <si>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</si>
  <si>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</si>
  <si>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</si>
  <si>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</si>
  <si>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</si>
  <si>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</si>
  <si>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</si>
  <si>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</si>
  <si>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</si>
  <si>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</si>
  <si>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</si>
  <si>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</si>
  <si>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</si>
  <si>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</si>
  <si>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</si>
  <si>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</si>
  <si>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</si>
  <si>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</si>
  <si>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</si>
  <si>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</si>
  <si>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</si>
  <si>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</si>
  <si>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</si>
  <si>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</si>
  <si>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</si>
  <si>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</si>
  <si>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</si>
  <si>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</si>
  <si>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</si>
  <si>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</si>
  <si>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</si>
  <si>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</si>
  <si>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</si>
  <si>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</si>
  <si>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</si>
  <si>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</si>
  <si>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</si>
  <si>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</si>
  <si>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</si>
  <si>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</si>
  <si>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</si>
  <si>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</si>
  <si>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</si>
  <si>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</si>
  <si>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</si>
  <si>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</si>
  <si>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</si>
  <si>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</si>
  <si>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</si>
  <si>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</si>
  <si>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</si>
  <si>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</si>
  <si>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</si>
  <si>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</si>
  <si>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</si>
  <si>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</si>
  <si>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</si>
  <si>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</si>
  <si>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</si>
  <si>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</si>
  <si>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</si>
  <si>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</si>
  <si>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</si>
  <si>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</si>
  <si>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</si>
  <si>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</si>
  <si>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</si>
  <si>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</si>
  <si>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</si>
  <si>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</si>
  <si>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</si>
  <si>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</si>
  <si>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</si>
  <si>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</si>
  <si>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</si>
  <si>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</si>
  <si>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</si>
  <si>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</si>
  <si>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</si>
  <si>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</si>
  <si>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</si>
  <si>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</si>
  <si>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</si>
  <si>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</si>
  <si>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</si>
  <si>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</si>
  <si>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</si>
  <si>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</si>
  <si>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</si>
  <si>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</si>
  <si>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</si>
  <si>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</si>
  <si>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</si>
  <si>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</si>
  <si>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</si>
  <si>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</si>
  <si>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</si>
  <si>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</si>
  <si>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</si>
  <si>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</si>
  <si>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</si>
  <si>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</si>
  <si>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</si>
  <si>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</si>
  <si>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</si>
  <si>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</si>
  <si>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</si>
  <si>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</si>
  <si>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</si>
  <si>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</si>
  <si>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</si>
  <si>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</si>
  <si>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</si>
  <si>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</si>
  <si>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</si>
  <si>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</si>
  <si>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</si>
  <si>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</si>
  <si>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</si>
  <si>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</si>
  <si>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</si>
  <si>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</si>
  <si>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</si>
  <si>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</si>
  <si>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</si>
  <si>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</si>
  <si>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</si>
  <si>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</si>
  <si>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</si>
  <si>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</si>
  <si>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</si>
  <si>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</si>
  <si>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</si>
  <si>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</si>
  <si>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</si>
  <si>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</si>
  <si>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</si>
  <si>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</si>
  <si>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</si>
  <si>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</si>
  <si>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</si>
  <si>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</si>
  <si>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</si>
  <si>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</si>
  <si>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</si>
  <si>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</si>
  <si>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</si>
  <si>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</si>
  <si>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</si>
  <si>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</si>
  <si>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</si>
  <si>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</si>
  <si>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</si>
  <si>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</si>
  <si>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</si>
  <si>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</si>
  <si>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</si>
  <si>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</si>
  <si>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</si>
  <si>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</si>
  <si>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</si>
  <si>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</si>
  <si>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</si>
  <si>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</si>
  <si>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</si>
  <si>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</si>
  <si>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</si>
  <si>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</si>
  <si>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</si>
  <si>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</si>
  <si>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</si>
  <si>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</si>
  <si>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</si>
  <si>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</si>
  <si>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</si>
  <si>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</si>
  <si>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</si>
  <si>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</si>
  <si>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</si>
  <si>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</si>
  <si>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</si>
  <si>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</si>
  <si>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</si>
  <si>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</si>
  <si>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</si>
  <si>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</si>
  <si>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</si>
  <si>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</si>
  <si>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</si>
  <si>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</si>
  <si>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</si>
  <si>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</si>
  <si>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</si>
  <si>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</si>
  <si>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</si>
  <si>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</si>
  <si>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</si>
  <si>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</si>
  <si>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</si>
  <si>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</si>
  <si>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</si>
  <si>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</si>
  <si>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</si>
  <si>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</si>
  <si>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</si>
  <si>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</si>
  <si>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</si>
  <si>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</si>
  <si>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</si>
  <si>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</si>
  <si>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</si>
  <si>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</si>
  <si>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</si>
  <si>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</si>
  <si>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</si>
  <si>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</si>
  <si>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</si>
  <si>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</si>
  <si>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</si>
  <si>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</si>
  <si>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</si>
  <si>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</si>
  <si>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</si>
  <si>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</si>
  <si>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</si>
  <si>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</si>
  <si>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</si>
  <si>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</si>
  <si>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</si>
  <si>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</si>
  <si>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</si>
  <si>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</si>
  <si>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</si>
  <si>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</si>
  <si>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</si>
  <si>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</si>
  <si>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</si>
  <si>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</si>
  <si>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</si>
  <si>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</si>
  <si>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</si>
  <si>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</si>
  <si>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</si>
  <si>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</si>
  <si>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</si>
  <si>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</si>
  <si>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</si>
  <si>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</si>
  <si>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</si>
  <si>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</si>
  <si>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</si>
  <si>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</si>
  <si>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</si>
  <si>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</si>
  <si>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</si>
  <si>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</si>
  <si>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</si>
  <si>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</si>
  <si>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</si>
  <si>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</si>
  <si>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</si>
  <si>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</si>
  <si>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</si>
  <si>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</si>
  <si>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</si>
  <si>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</si>
  <si>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</si>
  <si>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</si>
  <si>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</si>
  <si>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</si>
  <si>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</si>
  <si>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</si>
  <si>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</si>
  <si>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</si>
  <si>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</si>
  <si>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</si>
  <si>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</si>
  <si>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</si>
  <si>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</si>
  <si>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</si>
  <si>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</si>
  <si>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</si>
  <si>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</si>
  <si>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</si>
  <si>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</si>
  <si>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</si>
  <si>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</si>
  <si>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</si>
  <si>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</si>
  <si>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</si>
  <si>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</si>
  <si>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</si>
  <si>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</si>
  <si>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</si>
  <si>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</si>
  <si>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</si>
  <si>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</si>
  <si>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</si>
  <si>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</si>
  <si>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</si>
  <si>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</si>
  <si>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</si>
  <si>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</si>
  <si>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</si>
  <si>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</si>
  <si>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</si>
  <si>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</si>
  <si>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</si>
  <si>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</si>
  <si>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</si>
  <si>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</si>
  <si>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</si>
  <si>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</si>
  <si>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</si>
  <si>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</si>
  <si>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</si>
  <si>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</si>
  <si>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</si>
  <si>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</si>
  <si>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</si>
  <si>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</si>
  <si>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</si>
  <si>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</si>
  <si>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</si>
  <si>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</si>
  <si>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</si>
  <si>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</si>
  <si>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</si>
  <si>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</si>
  <si>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</si>
  <si>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</si>
  <si>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</si>
  <si>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</si>
  <si>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</si>
  <si>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</si>
  <si>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</si>
  <si>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</si>
  <si>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</si>
  <si>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</si>
  <si>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</si>
  <si>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</si>
  <si>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</si>
  <si>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</si>
  <si>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</si>
  <si>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</si>
  <si>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</si>
  <si>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</si>
  <si>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</si>
  <si>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</si>
  <si>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</si>
  <si>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</si>
  <si>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</si>
  <si>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</si>
  <si>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</si>
  <si>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</si>
  <si>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</si>
  <si>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</si>
  <si>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</si>
  <si>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</si>
  <si>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</si>
  <si>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</si>
  <si>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</si>
  <si>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</si>
  <si>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</si>
  <si>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</si>
  <si>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</si>
  <si>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</si>
  <si>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</si>
  <si>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</si>
  <si>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</si>
  <si>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</si>
  <si>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</si>
  <si>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</si>
  <si>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</si>
  <si>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</si>
  <si>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</si>
  <si>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</si>
  <si>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</si>
  <si>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</si>
  <si>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</si>
  <si>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</si>
  <si>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</si>
  <si>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</si>
  <si>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</si>
  <si>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</si>
  <si>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</si>
  <si>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</si>
  <si>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</si>
  <si>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</si>
  <si>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</si>
  <si>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</si>
  <si>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</si>
  <si>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</si>
  <si>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</si>
  <si>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</si>
  <si>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</si>
  <si>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</si>
  <si>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</si>
  <si>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</si>
  <si>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</si>
  <si>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</si>
  <si>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</si>
  <si>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</si>
  <si>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</si>
  <si>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</si>
  <si>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</si>
  <si>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</si>
  <si>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</si>
  <si>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</si>
  <si>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</si>
  <si>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</si>
  <si>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</si>
  <si>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</si>
  <si>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</si>
  <si>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</si>
  <si>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</si>
  <si>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</si>
  <si>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</si>
  <si>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</si>
  <si>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</si>
  <si>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</si>
  <si>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</si>
  <si>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</si>
  <si>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</si>
  <si>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</si>
  <si>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</si>
  <si>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</si>
  <si>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</si>
  <si>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</si>
  <si>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</si>
  <si>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</si>
  <si>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</si>
  <si>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</si>
  <si>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</si>
  <si>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</si>
  <si>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</si>
  <si>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</si>
  <si>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</si>
  <si>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</si>
  <si>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</si>
  <si>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</si>
  <si>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</si>
  <si>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</si>
  <si>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</si>
  <si>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</si>
  <si>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</si>
  <si>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</si>
  <si>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</si>
  <si>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</si>
  <si>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</si>
  <si>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</si>
  <si>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</si>
  <si>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</si>
  <si>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</si>
  <si>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</si>
  <si>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</si>
  <si>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</si>
  <si>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</si>
  <si>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</si>
  <si>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</si>
  <si>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</si>
  <si>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</si>
  <si>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</si>
  <si>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</si>
  <si>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</si>
  <si>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</si>
  <si>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</si>
  <si>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</si>
  <si>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</si>
  <si>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</si>
  <si>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</si>
  <si>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</si>
  <si>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</si>
  <si>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</si>
  <si>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</si>
  <si>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</si>
  <si>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</si>
  <si>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</si>
  <si>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</si>
  <si>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</si>
  <si>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</si>
  <si>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</si>
  <si>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</si>
  <si>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</si>
  <si>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</si>
  <si>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</si>
  <si>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</si>
  <si>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</si>
  <si>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</si>
  <si>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</si>
  <si>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</si>
  <si>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</si>
  <si>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</si>
  <si>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</si>
  <si>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</si>
  <si>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</si>
  <si>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</si>
  <si>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</si>
  <si>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</si>
  <si>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</si>
  <si>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</si>
  <si>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</si>
  <si>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</si>
  <si>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</si>
  <si>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</si>
  <si>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</si>
  <si>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</si>
  <si>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</si>
  <si>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</si>
  <si>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</si>
  <si>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</si>
  <si>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</si>
  <si>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</si>
  <si>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</si>
  <si>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</si>
  <si>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</si>
  <si>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</si>
  <si>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</si>
  <si>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</si>
  <si>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</si>
  <si>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</si>
  <si>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</si>
  <si>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</si>
  <si>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</si>
  <si>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</si>
  <si>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</si>
  <si>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</si>
  <si>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</si>
  <si>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</si>
  <si>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</si>
  <si>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</si>
  <si>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</si>
  <si>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</si>
  <si>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</si>
  <si>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</si>
  <si>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</si>
  <si>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</si>
  <si>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</si>
  <si>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</si>
  <si>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</si>
  <si>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</si>
  <si>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</si>
  <si>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</si>
  <si>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</si>
  <si>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</si>
  <si>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</si>
  <si>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</si>
  <si>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</si>
  <si>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</si>
  <si>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</si>
  <si>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</si>
  <si>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</si>
  <si>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</si>
  <si>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</si>
  <si>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</si>
  <si>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</si>
  <si>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</si>
  <si>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</si>
  <si>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</si>
  <si>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</si>
  <si>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</si>
  <si>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</si>
  <si>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</si>
  <si>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</si>
  <si>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</si>
  <si>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</si>
  <si>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</si>
  <si>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</si>
  <si>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</si>
  <si>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</si>
  <si>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</si>
  <si>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</si>
  <si>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</si>
  <si>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</si>
  <si>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</si>
  <si>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</si>
  <si>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</si>
  <si>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</si>
  <si>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</si>
  <si>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</si>
  <si>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</si>
  <si>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</si>
  <si>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</si>
  <si>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</si>
  <si>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</si>
  <si>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</si>
  <si>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</si>
  <si>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</si>
  <si>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</si>
  <si>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</si>
  <si>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</si>
  <si>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</si>
  <si>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</si>
  <si>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</si>
  <si>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</si>
  <si>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</si>
  <si>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</si>
  <si>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</si>
  <si>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</si>
  <si>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</si>
  <si>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</si>
  <si>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</si>
  <si>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</si>
  <si>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</si>
  <si>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</si>
  <si>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</si>
  <si>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</si>
  <si>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</si>
  <si>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</si>
  <si>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</si>
  <si>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</si>
  <si>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</si>
  <si>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</si>
  <si>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</si>
  <si>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</si>
  <si>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</si>
  <si>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</si>
  <si>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</si>
  <si>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</si>
  <si>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</si>
  <si>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</si>
  <si>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</si>
  <si>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</si>
  <si>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</si>
  <si>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</si>
  <si>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</si>
  <si>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</si>
  <si>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</si>
  <si>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</si>
  <si>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</si>
  <si>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</si>
  <si>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</si>
  <si>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</si>
  <si>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</si>
  <si>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</si>
  <si>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</si>
  <si>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</si>
  <si>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</si>
  <si>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</si>
  <si>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</si>
  <si>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</si>
  <si>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</si>
  <si>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</si>
  <si>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</si>
  <si>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</si>
  <si>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</si>
  <si>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</si>
  <si>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</si>
  <si>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</si>
  <si>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</si>
  <si>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</si>
  <si>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</si>
  <si>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</si>
  <si>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</si>
  <si>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</si>
  <si>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</si>
  <si>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</si>
  <si>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</si>
  <si>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</si>
  <si>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</si>
  <si>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</si>
  <si>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</si>
  <si>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</si>
  <si>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</si>
  <si>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</si>
  <si>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</si>
  <si>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</si>
  <si>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</si>
  <si>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</si>
  <si>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</si>
  <si>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</si>
  <si>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</si>
  <si>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</si>
  <si>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</si>
  <si>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</si>
  <si>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</si>
  <si>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</si>
  <si>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</si>
  <si>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</si>
  <si>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</si>
  <si>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</si>
  <si>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</si>
  <si>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</si>
  <si>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</si>
  <si>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</si>
  <si>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</si>
  <si>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</si>
  <si>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</si>
  <si>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</si>
  <si>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</si>
  <si>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</si>
  <si>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</si>
  <si>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</si>
  <si>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</si>
  <si>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</si>
  <si>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</si>
  <si>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</si>
  <si>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</si>
  <si>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</si>
  <si>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</si>
  <si>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</si>
  <si>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</si>
  <si>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</si>
  <si>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</si>
  <si>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</si>
  <si>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</si>
  <si>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</si>
  <si>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</si>
  <si>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</si>
  <si>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</si>
  <si>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</si>
  <si>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</si>
  <si>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</si>
  <si>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</si>
  <si>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</si>
  <si>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</si>
  <si>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</si>
  <si>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</si>
  <si>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</si>
  <si>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</si>
  <si>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</si>
  <si>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</si>
  <si>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</si>
  <si>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</si>
  <si>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</si>
  <si>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</si>
  <si>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</si>
  <si>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</si>
  <si>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</si>
  <si>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</si>
  <si>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</si>
  <si>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</si>
  <si>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</si>
  <si>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</si>
  <si>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</si>
  <si>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</si>
  <si>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</si>
  <si>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</si>
  <si>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</si>
  <si>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</si>
  <si>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</si>
  <si>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</si>
  <si>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</si>
  <si>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</si>
  <si>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</si>
  <si>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</si>
  <si>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</si>
  <si>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</si>
  <si>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</si>
  <si>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</si>
  <si>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</si>
  <si>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</si>
  <si>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</si>
  <si>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</si>
  <si>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</si>
  <si>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</si>
  <si>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</si>
  <si>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</si>
  <si>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</si>
  <si>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</si>
  <si>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</si>
  <si>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</si>
  <si>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</si>
  <si>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</si>
  <si>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</si>
  <si>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</si>
  <si>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</si>
  <si>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</si>
  <si>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</si>
  <si>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</si>
  <si>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</si>
  <si>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</si>
  <si>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</si>
  <si>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</si>
  <si>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</si>
  <si>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</si>
  <si>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</si>
  <si>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</si>
  <si>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</si>
  <si>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</si>
  <si>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</si>
  <si>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</si>
  <si>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</si>
  <si>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</si>
  <si>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</si>
  <si>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</si>
  <si>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</si>
  <si>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</si>
  <si>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</si>
  <si>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</si>
  <si>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</si>
  <si>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</si>
  <si>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</si>
  <si>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</si>
  <si>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</si>
  <si>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</si>
  <si>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</si>
  <si>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</si>
  <si>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</si>
  <si>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</si>
  <si>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</si>
  <si>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</si>
  <si>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</si>
  <si>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</si>
  <si>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</si>
  <si>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</si>
  <si>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</si>
  <si>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</si>
  <si>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</si>
  <si>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</si>
  <si>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</si>
  <si>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</si>
  <si>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</si>
  <si>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</si>
  <si>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</si>
  <si>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</si>
  <si>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</si>
  <si>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</si>
  <si>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</si>
  <si>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</si>
  <si>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</si>
  <si>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</si>
  <si>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</si>
  <si>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</si>
  <si>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</si>
  <si>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</si>
  <si>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</si>
  <si>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</si>
  <si>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</si>
  <si>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</si>
  <si>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</si>
  <si>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</si>
  <si>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</si>
  <si>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</si>
  <si>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</si>
  <si>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</si>
  <si>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</si>
  <si>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</si>
  <si>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</si>
  <si>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</si>
  <si>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</si>
  <si>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</si>
  <si>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</si>
  <si>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</si>
  <si>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</si>
  <si>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</si>
  <si>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</si>
  <si>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</si>
  <si>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</si>
  <si>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</si>
  <si>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</si>
  <si>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</si>
  <si>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</si>
  <si>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</si>
  <si>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</si>
  <si>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</si>
  <si>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</si>
  <si>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</si>
  <si>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</si>
  <si>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</si>
  <si>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</si>
  <si>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</si>
  <si>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</si>
  <si>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</si>
  <si>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</si>
  <si>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</si>
  <si>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</si>
  <si>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</si>
  <si>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</si>
  <si>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</si>
  <si>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</si>
  <si>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</si>
  <si>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</si>
  <si>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</si>
  <si>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</si>
  <si>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</si>
  <si>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</si>
  <si>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</si>
  <si>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</si>
  <si>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</si>
  <si>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</si>
  <si>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</si>
  <si>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</si>
  <si>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</si>
  <si>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</si>
  <si>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</si>
  <si>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</si>
  <si>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</si>
  <si>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</si>
  <si>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</si>
  <si>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</si>
  <si>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</si>
  <si>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</si>
  <si>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</si>
  <si>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</si>
  <si>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</si>
  <si>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</si>
  <si>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</si>
  <si>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</si>
  <si>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</si>
  <si>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</si>
  <si>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</si>
  <si>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</si>
  <si>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</si>
  <si>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</si>
  <si>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</si>
  <si>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</si>
  <si>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</si>
  <si>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</si>
  <si>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</si>
  <si>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</si>
  <si>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</si>
  <si>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</si>
  <si>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</si>
  <si>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</si>
  <si>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</si>
  <si>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</si>
  <si>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</si>
  <si>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</si>
  <si>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</si>
  <si>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</si>
  <si>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</si>
  <si>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</si>
  <si>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</si>
  <si>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</si>
  <si>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</si>
  <si>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</si>
  <si>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</si>
  <si>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</si>
  <si>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</si>
  <si>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</si>
  <si>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</si>
  <si>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</si>
  <si>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</si>
  <si>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</si>
  <si>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</si>
  <si>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</si>
  <si>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</si>
  <si>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</si>
  <si>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</si>
  <si>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</si>
  <si>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</si>
  <si>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</si>
  <si>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</si>
  <si>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</si>
  <si>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</si>
  <si>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</si>
  <si>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</si>
  <si>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</si>
  <si>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</si>
  <si>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</si>
  <si>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</si>
  <si>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</si>
  <si>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</si>
  <si>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</si>
  <si>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</si>
  <si>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</si>
  <si>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</si>
  <si>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</si>
  <si>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</si>
  <si>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</si>
  <si>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</si>
  <si>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</si>
  <si>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</si>
  <si>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</si>
  <si>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</si>
  <si>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</si>
  <si>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</si>
  <si>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</si>
  <si>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</si>
  <si>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</si>
  <si>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</si>
  <si>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</si>
  <si>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</si>
  <si>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</si>
  <si>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</si>
  <si>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</si>
  <si>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</si>
  <si>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</si>
  <si>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</si>
  <si>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</si>
  <si>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</si>
  <si>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</si>
  <si>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</si>
  <si>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</si>
  <si>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</si>
  <si>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</si>
  <si>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</si>
  <si>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</si>
  <si>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</si>
  <si>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</si>
  <si>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</si>
  <si>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</si>
  <si>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</si>
  <si>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</si>
  <si>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</si>
  <si>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</si>
  <si>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</si>
  <si>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</si>
  <si>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</si>
  <si>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</si>
  <si>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</si>
  <si>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</si>
  <si>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</si>
  <si>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</si>
  <si>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</si>
  <si>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</si>
  <si>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</si>
  <si>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</si>
  <si>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</si>
  <si>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</si>
  <si>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</si>
  <si>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</si>
  <si>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</si>
  <si>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</si>
  <si>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</si>
  <si>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</si>
  <si>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</si>
  <si>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</si>
  <si>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</si>
  <si>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</si>
  <si>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</si>
  <si>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</si>
  <si>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</si>
  <si>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</si>
  <si>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</si>
  <si>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</si>
  <si>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</si>
  <si>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</si>
  <si>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</si>
  <si>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</si>
  <si>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</si>
  <si>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</si>
  <si>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</si>
  <si>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</si>
  <si>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</si>
  <si>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</si>
  <si>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</si>
  <si>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</si>
  <si>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</si>
  <si>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</si>
  <si>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</si>
  <si>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</si>
  <si>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</si>
  <si>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</si>
  <si>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</si>
  <si>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</si>
  <si>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</si>
  <si>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</si>
  <si>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</si>
  <si>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</si>
  <si>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</si>
  <si>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</si>
  <si>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</si>
  <si>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</si>
  <si>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</si>
  <si>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</si>
  <si>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</si>
  <si>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</si>
  <si>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</si>
  <si>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</si>
  <si>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</si>
  <si>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</si>
  <si>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</si>
  <si>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</si>
  <si>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</si>
  <si>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</si>
  <si>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</si>
  <si>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</si>
  <si>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</si>
  <si>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</si>
  <si>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</si>
  <si>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</si>
  <si>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</si>
  <si>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</si>
  <si>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</si>
  <si>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</si>
  <si>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</si>
  <si>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</si>
  <si>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</si>
  <si>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</si>
  <si>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</si>
  <si>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</si>
  <si>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</si>
  <si>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</si>
  <si>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</si>
  <si>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</si>
  <si>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</si>
  <si>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</si>
  <si>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</si>
  <si>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</si>
  <si>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</si>
  <si>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</si>
  <si>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</si>
  <si>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</si>
  <si>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</si>
  <si>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</si>
  <si>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</si>
  <si>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</si>
  <si>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</si>
  <si>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</si>
  <si>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</si>
  <si>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</si>
  <si>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</si>
  <si>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</si>
  <si>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</si>
  <si>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</si>
  <si>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</si>
  <si>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</si>
  <si>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</si>
  <si>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</si>
  <si>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</si>
  <si>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</si>
  <si>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</si>
  <si>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</si>
  <si>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</si>
  <si>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</si>
  <si>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</si>
  <si>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</si>
  <si>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</si>
  <si>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</si>
  <si>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</si>
  <si>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</si>
  <si>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</si>
  <si>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</si>
  <si>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</si>
  <si>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</si>
  <si>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</si>
  <si>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</si>
  <si>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</si>
  <si>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</si>
  <si>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</si>
  <si>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</si>
  <si>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</si>
  <si>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</si>
  <si>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</si>
  <si>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</si>
  <si>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</si>
  <si>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</si>
  <si>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</si>
  <si>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</si>
  <si>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</si>
  <si>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</si>
  <si>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</si>
  <si>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</si>
  <si>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</si>
  <si>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</si>
  <si>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</si>
  <si>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</si>
  <si>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</si>
  <si>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</si>
  <si>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</si>
  <si>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</si>
  <si>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</si>
  <si>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</si>
  <si>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</si>
  <si>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</si>
  <si>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</si>
  <si>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</si>
  <si>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</si>
  <si>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</si>
  <si>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</si>
  <si>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</si>
  <si>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</si>
  <si>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</si>
  <si>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</si>
  <si>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</si>
  <si>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</si>
  <si>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</si>
  <si>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</si>
  <si>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</si>
  <si>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</si>
  <si>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</si>
  <si>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</si>
  <si>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</si>
  <si>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</si>
  <si>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</si>
  <si>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</si>
  <si>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</si>
  <si>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</si>
  <si>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</si>
  <si>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</si>
  <si>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</si>
  <si>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</si>
  <si>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</si>
  <si>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</si>
  <si>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</si>
  <si>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</si>
  <si>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</si>
  <si>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</si>
  <si>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</si>
  <si>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</si>
  <si>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</si>
  <si>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</si>
  <si>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</si>
  <si>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</si>
  <si>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</si>
  <si>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</si>
  <si>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</si>
  <si>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</si>
  <si>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</si>
  <si>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</si>
  <si>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</si>
  <si>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</si>
  <si>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</si>
  <si>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</si>
  <si>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</si>
  <si>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</si>
  <si>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</si>
  <si>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</si>
  <si>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</si>
  <si>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</si>
  <si>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</si>
  <si>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</si>
  <si>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</si>
  <si>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</si>
  <si>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</si>
  <si>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</si>
  <si>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</si>
  <si>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</si>
  <si>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</si>
  <si>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</si>
  <si>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</si>
  <si>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</si>
  <si>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</si>
  <si>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</si>
  <si>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</si>
  <si>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</si>
  <si>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</si>
  <si>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</si>
  <si>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</si>
  <si>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</si>
  <si>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</si>
  <si>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</si>
  <si>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</si>
  <si>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</si>
  <si>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</si>
  <si>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</si>
  <si>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</si>
  <si>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</si>
  <si>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</si>
  <si>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</si>
  <si>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</si>
  <si>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</si>
  <si>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</si>
  <si>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</si>
  <si>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</si>
  <si>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</si>
  <si>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</si>
  <si>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</si>
  <si>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</si>
  <si>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</si>
  <si>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</si>
  <si>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</si>
  <si>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</si>
  <si>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</si>
  <si>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</si>
  <si>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</si>
  <si>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</si>
  <si>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</si>
  <si>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</si>
  <si>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</si>
  <si>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</si>
  <si>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</si>
  <si>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</si>
  <si>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</si>
  <si>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</si>
  <si>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</si>
  <si>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</si>
  <si>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</si>
  <si>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</si>
  <si>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</si>
  <si>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</si>
  <si>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</si>
  <si>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</si>
  <si>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</si>
  <si>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</si>
  <si>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</si>
  <si>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</si>
  <si>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</si>
  <si>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</si>
  <si>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</si>
  <si>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</si>
  <si>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</si>
  <si>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</si>
  <si>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</si>
  <si>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</si>
  <si>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</si>
  <si>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</si>
  <si>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</si>
  <si>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</si>
  <si>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</si>
  <si>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</si>
  <si>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</si>
  <si>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</si>
  <si>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</si>
  <si>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</si>
  <si>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</si>
  <si>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</si>
  <si>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</si>
  <si>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</si>
  <si>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</si>
  <si>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</si>
  <si>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</si>
  <si>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</si>
  <si>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</si>
  <si>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</si>
  <si>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</si>
  <si>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</si>
  <si>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</si>
  <si>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</si>
  <si>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</si>
  <si>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</si>
  <si>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</si>
  <si>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</si>
  <si>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</si>
  <si>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</si>
  <si>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</si>
  <si>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</si>
  <si>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</si>
  <si>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</si>
  <si>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</si>
  <si>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</si>
  <si>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</si>
  <si>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</si>
  <si>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</si>
  <si>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</si>
  <si>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</si>
  <si>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</si>
  <si>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</si>
  <si>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</si>
  <si>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</si>
  <si>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</si>
  <si>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</si>
  <si>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</si>
  <si>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</si>
  <si>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</si>
  <si>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</si>
  <si>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</si>
  <si>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</si>
  <si>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</si>
  <si>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</si>
  <si>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</si>
  <si>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</si>
  <si>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</si>
  <si>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</si>
  <si>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</si>
  <si>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</si>
  <si>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</si>
  <si>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</si>
  <si>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</si>
  <si>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</si>
  <si>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</si>
  <si>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</si>
  <si>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</si>
  <si>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</si>
  <si>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</si>
  <si>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</si>
  <si>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</si>
  <si>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</si>
  <si>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</si>
  <si>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</si>
  <si>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</si>
  <si>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</si>
  <si>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</si>
  <si>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</si>
  <si>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</si>
  <si>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</si>
  <si>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</si>
  <si>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</si>
  <si>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</si>
  <si>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</si>
  <si>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</si>
  <si>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</si>
  <si>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</si>
  <si>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</si>
  <si>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</si>
  <si>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</si>
  <si>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</si>
  <si>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</si>
  <si>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</si>
  <si>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</si>
  <si>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</si>
  <si>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</si>
  <si>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</si>
  <si>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</si>
  <si>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</si>
  <si>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</si>
  <si>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</si>
  <si>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</si>
  <si>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</si>
  <si>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</si>
  <si>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</si>
  <si>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</si>
  <si>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</si>
  <si>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</si>
  <si>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</si>
  <si>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</si>
  <si>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</si>
  <si>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</si>
  <si>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</si>
  <si>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</si>
  <si>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</si>
  <si>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</si>
  <si>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</si>
  <si>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</si>
  <si>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</si>
  <si>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</si>
  <si>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</si>
  <si>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</si>
  <si>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</si>
  <si>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</si>
  <si>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</si>
  <si>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</si>
  <si>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</si>
  <si>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</si>
  <si>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</si>
  <si>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</si>
  <si>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</si>
  <si>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</si>
  <si>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</si>
  <si>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</si>
  <si>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</si>
  <si>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</si>
  <si>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</si>
  <si>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</si>
  <si>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</si>
  <si>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</si>
  <si>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</si>
  <si>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</si>
  <si>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</si>
  <si>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</si>
  <si>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</si>
  <si>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</si>
  <si>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</si>
  <si>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</si>
  <si>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</si>
  <si>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</si>
  <si>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</si>
  <si>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</si>
  <si>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</si>
  <si>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</si>
  <si>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</si>
  <si>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</si>
  <si>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</si>
  <si>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</si>
  <si>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</si>
  <si>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</si>
  <si>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</si>
  <si>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</si>
  <si>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</si>
  <si>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</si>
  <si>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</si>
  <si>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</si>
  <si>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</si>
  <si>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</si>
  <si>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</si>
  <si>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</si>
  <si>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</si>
  <si>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</si>
  <si>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</si>
  <si>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</si>
  <si>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</si>
  <si>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</si>
  <si>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</si>
  <si>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</si>
  <si>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</si>
  <si>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</si>
  <si>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</si>
  <si>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</si>
  <si>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</si>
  <si>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</si>
  <si>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</si>
  <si>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</si>
  <si>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</si>
  <si>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</si>
  <si>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</si>
  <si>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</si>
  <si>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</si>
  <si>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</si>
  <si>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</si>
  <si>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</si>
  <si>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</si>
  <si>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</si>
  <si>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</si>
  <si>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</si>
  <si>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</si>
  <si>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</si>
  <si>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</si>
  <si>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</si>
  <si>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</si>
  <si>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</si>
  <si>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</si>
  <si>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</si>
  <si>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</si>
  <si>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</si>
  <si>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</si>
  <si>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</si>
  <si>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</si>
  <si>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</si>
  <si>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</si>
  <si>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</si>
  <si>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</si>
  <si>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</si>
  <si>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</si>
  <si>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</si>
  <si>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</si>
  <si>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</si>
  <si>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</si>
  <si>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</si>
  <si>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</si>
  <si>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</si>
  <si>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</si>
  <si>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</si>
  <si>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</si>
  <si>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</si>
  <si>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</si>
  <si>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</si>
  <si>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</si>
  <si>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</si>
  <si>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</si>
  <si>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</si>
  <si>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</si>
  <si>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</si>
  <si>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</si>
  <si>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</si>
  <si>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</si>
  <si>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</si>
  <si>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</si>
  <si>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</si>
  <si>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</si>
  <si>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</si>
  <si>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</si>
  <si>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</si>
  <si>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</si>
  <si>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</si>
  <si>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</si>
  <si>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</si>
  <si>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</si>
  <si>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</si>
  <si>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</si>
  <si>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</si>
  <si>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</si>
  <si>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</si>
  <si>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</si>
  <si>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</si>
  <si>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</si>
  <si>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</si>
  <si>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</si>
  <si>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</si>
  <si>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</si>
  <si>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</si>
  <si>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</si>
  <si>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</si>
  <si>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</si>
  <si>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</si>
  <si>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</si>
  <si>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</si>
  <si>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</si>
  <si>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</si>
  <si>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</si>
  <si>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</si>
  <si>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</si>
  <si>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</si>
  <si>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</si>
  <si>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</si>
  <si>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</si>
  <si>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</si>
  <si>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</si>
  <si>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</si>
  <si>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</si>
  <si>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</si>
  <si>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</si>
  <si>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</si>
  <si>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</si>
  <si>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</si>
  <si>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</si>
  <si>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</si>
  <si>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</si>
  <si>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</si>
  <si>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</si>
  <si>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</si>
  <si>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</si>
  <si>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</si>
  <si>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</si>
  <si>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</si>
  <si>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</si>
  <si>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</si>
  <si>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</si>
  <si>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</si>
  <si>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</si>
  <si>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</si>
  <si>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</si>
  <si>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</si>
  <si>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</si>
  <si>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</si>
  <si>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</si>
  <si>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</si>
  <si>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</si>
  <si>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</si>
  <si>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</si>
  <si>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</si>
  <si>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</si>
  <si>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</si>
  <si>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</si>
  <si>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</si>
  <si>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</si>
  <si>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</si>
  <si>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</si>
  <si>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</si>
  <si>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</si>
  <si>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</si>
  <si>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</si>
  <si>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</si>
  <si>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</si>
  <si>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</si>
  <si>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</si>
  <si>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</si>
  <si>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</si>
  <si>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</si>
  <si>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</si>
  <si>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</si>
  <si>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</si>
  <si>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</si>
  <si>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</si>
  <si>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</si>
  <si>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</si>
  <si>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</si>
  <si>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</si>
  <si>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</si>
  <si>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</si>
  <si>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</si>
  <si>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</si>
  <si>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</si>
  <si>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</si>
  <si>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</si>
  <si>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</si>
  <si>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</si>
  <si>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</si>
  <si>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</si>
  <si>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</si>
  <si>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</si>
  <si>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</si>
  <si>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</si>
  <si>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</si>
  <si>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</si>
  <si>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</si>
  <si>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</si>
  <si>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</si>
  <si>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</si>
  <si>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</si>
  <si>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</si>
  <si>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</si>
  <si>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</si>
  <si>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</si>
  <si>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</si>
  <si>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</si>
  <si>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</si>
  <si>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</si>
  <si>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</si>
  <si>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</si>
  <si>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</si>
  <si>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</si>
  <si>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</si>
  <si>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</si>
  <si>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</si>
  <si>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</si>
  <si>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</si>
  <si>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</si>
  <si>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</si>
  <si>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</si>
  <si>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</si>
  <si>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</si>
  <si>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</si>
  <si>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</si>
  <si>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</si>
  <si>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</si>
  <si>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</si>
  <si>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</si>
  <si>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</si>
  <si>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</si>
  <si>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</si>
  <si>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</si>
  <si>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</si>
  <si>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</si>
  <si>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</si>
  <si>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</si>
  <si>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</si>
  <si>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</si>
  <si>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</si>
  <si>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</si>
  <si>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</si>
  <si>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</si>
  <si>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</si>
  <si>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</si>
  <si>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</si>
  <si>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</si>
  <si>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</si>
  <si>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</si>
  <si>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</si>
  <si>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</si>
  <si>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</si>
  <si>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</si>
  <si>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</si>
  <si>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</si>
  <si>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</si>
  <si>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</si>
  <si>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</si>
  <si>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</si>
  <si>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</si>
  <si>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</si>
  <si>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</si>
  <si>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</si>
  <si>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</si>
  <si>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</si>
  <si>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</si>
  <si>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</si>
  <si>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</si>
  <si>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</si>
  <si>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</si>
  <si>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</si>
  <si>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</si>
  <si>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</si>
  <si>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</si>
  <si>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</si>
  <si>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</si>
  <si>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</si>
  <si>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</si>
  <si>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</si>
  <si>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</si>
  <si>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</si>
  <si>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</si>
  <si>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</si>
  <si>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</si>
  <si>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</si>
  <si>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</si>
  <si>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</si>
  <si>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</si>
  <si>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</si>
  <si>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</si>
  <si>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</si>
  <si>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</si>
  <si>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</si>
  <si>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</si>
  <si>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</si>
  <si>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</si>
  <si>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</si>
  <si>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</si>
  <si>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</si>
  <si>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</si>
  <si>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</si>
  <si>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</si>
  <si>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</si>
  <si>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</si>
  <si>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</si>
  <si>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</si>
  <si>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</si>
  <si>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</si>
  <si>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</si>
  <si>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</si>
  <si>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</si>
  <si>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</si>
  <si>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</si>
  <si>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</si>
  <si>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</si>
  <si>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</si>
  <si>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</si>
  <si>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</si>
  <si>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</si>
  <si>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</si>
  <si>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</si>
  <si>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</si>
  <si>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</si>
  <si>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</si>
  <si>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</si>
  <si>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</si>
  <si>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</si>
  <si>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</si>
  <si>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</si>
  <si>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</si>
  <si>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</si>
  <si>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</si>
  <si>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</si>
  <si>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</si>
  <si>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</si>
  <si>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</si>
  <si>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</si>
  <si>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</si>
  <si>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</si>
  <si>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</si>
  <si>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</si>
  <si>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</si>
  <si>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</si>
  <si>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</si>
  <si>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</si>
  <si>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</si>
  <si>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</si>
  <si>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</si>
  <si>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</si>
  <si>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</si>
  <si>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</si>
  <si>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</si>
  <si>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</si>
  <si>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</si>
  <si>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</si>
  <si>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</si>
  <si>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</si>
  <si>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</si>
  <si>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</si>
  <si>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</si>
  <si>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</si>
  <si>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</si>
  <si>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</si>
  <si>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</si>
  <si>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</si>
  <si>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</si>
  <si>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</si>
  <si>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</si>
  <si>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</si>
  <si>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</si>
  <si>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</si>
  <si>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</si>
  <si>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</si>
  <si>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</si>
  <si>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</si>
  <si>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</si>
  <si>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</si>
  <si>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</si>
  <si>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</si>
  <si>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</si>
  <si>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</si>
  <si>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</si>
  <si>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</si>
  <si>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</si>
  <si>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</si>
  <si>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</si>
  <si>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</si>
  <si>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</si>
  <si>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</si>
  <si>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</si>
  <si>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</si>
  <si>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</si>
  <si>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</si>
  <si>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</si>
  <si>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</si>
  <si>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</si>
  <si>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</si>
  <si>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</si>
  <si>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</si>
  <si>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</si>
  <si>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</si>
  <si>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</si>
  <si>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</si>
  <si>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</si>
  <si>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</si>
  <si>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</si>
  <si>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</si>
  <si>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</si>
  <si>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</si>
  <si>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</si>
  <si>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</si>
  <si>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</si>
  <si>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</si>
  <si>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</si>
  <si>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</si>
  <si>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</si>
  <si>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</si>
  <si>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</si>
  <si>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</si>
  <si>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</si>
  <si>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</si>
  <si>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</si>
  <si>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</si>
  <si>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</si>
  <si>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</si>
  <si>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</si>
  <si>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</si>
  <si>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</si>
  <si>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</si>
  <si>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</si>
  <si>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</si>
  <si>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</si>
  <si>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</si>
  <si>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</si>
  <si>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</si>
  <si>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</si>
  <si>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</si>
  <si>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</si>
  <si>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</si>
  <si>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</si>
  <si>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</si>
  <si>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</si>
  <si>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</si>
  <si>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</si>
  <si>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</si>
  <si>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</si>
  <si>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</si>
  <si>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</si>
  <si>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</si>
  <si>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</si>
  <si>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</si>
  <si>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</si>
  <si>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</si>
  <si>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</si>
  <si>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</si>
  <si>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</si>
  <si>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</si>
  <si>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</si>
  <si>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</si>
  <si>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</si>
  <si>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</si>
  <si>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</si>
  <si>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</si>
  <si>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</si>
  <si>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</si>
  <si>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</si>
  <si>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</si>
  <si>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</si>
  <si>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</si>
  <si>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</si>
  <si>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</si>
  <si>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</si>
  <si>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</si>
  <si>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</si>
  <si>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</si>
  <si>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</si>
  <si>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</si>
  <si>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</si>
  <si>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</si>
  <si>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</si>
  <si>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</si>
  <si>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</si>
  <si>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</si>
  <si>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</si>
  <si>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</si>
  <si>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</si>
  <si>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</si>
  <si>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</si>
  <si>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</si>
  <si>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</si>
  <si>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</si>
  <si>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</si>
  <si>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</si>
  <si>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</si>
  <si>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</si>
  <si>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</si>
  <si>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</si>
  <si>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</si>
  <si>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</si>
  <si>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</si>
  <si>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</si>
  <si>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</si>
  <si>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</si>
  <si>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</si>
  <si>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</si>
  <si>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</si>
  <si>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</si>
  <si>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</si>
  <si>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</si>
  <si>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</si>
  <si>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</si>
  <si>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</si>
  <si>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</si>
  <si>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</si>
  <si>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</si>
  <si>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</si>
  <si>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</si>
  <si>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</si>
  <si>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</si>
  <si>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</si>
  <si>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</si>
  <si>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</si>
  <si>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</si>
  <si>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</si>
  <si>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</si>
  <si>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</si>
  <si>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</si>
  <si>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</si>
  <si>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</si>
  <si>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</si>
  <si>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</si>
  <si>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</si>
  <si>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</si>
  <si>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</si>
  <si>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</si>
  <si>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</si>
  <si>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</si>
  <si>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</si>
  <si>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</si>
  <si>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</si>
  <si>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</si>
  <si>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</si>
  <si>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</si>
  <si>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</si>
  <si>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</si>
  <si>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</si>
  <si>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</si>
  <si>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</si>
  <si>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</si>
  <si>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</si>
  <si>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</si>
  <si>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</si>
  <si>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</si>
  <si>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</si>
  <si>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</si>
  <si>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</si>
  <si>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</si>
  <si>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</si>
  <si>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</si>
  <si>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</si>
  <si>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</si>
  <si>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</si>
  <si>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</si>
  <si>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</si>
  <si>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</si>
  <si>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</si>
  <si>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</si>
  <si>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</si>
  <si>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</si>
  <si>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</si>
  <si>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</si>
  <si>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</si>
  <si>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</si>
  <si>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</si>
  <si>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</si>
  <si>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</si>
  <si>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</si>
  <si>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</si>
  <si>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</si>
  <si>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</si>
  <si>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</si>
  <si>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</si>
  <si>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</si>
  <si>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</si>
  <si>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</si>
  <si>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</si>
  <si>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</si>
  <si>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</si>
  <si>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</si>
  <si>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</si>
  <si>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</si>
  <si>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</si>
  <si>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</si>
  <si>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</si>
  <si>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</si>
  <si>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</si>
  <si>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</si>
  <si>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</si>
  <si>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</si>
  <si>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</si>
  <si>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</si>
  <si>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</si>
  <si>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</si>
  <si>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</si>
  <si>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</si>
  <si>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</si>
  <si>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</si>
  <si>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</si>
  <si>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</si>
  <si>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</si>
  <si>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</si>
  <si>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</si>
  <si>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</si>
  <si>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</si>
  <si>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</si>
  <si>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</si>
  <si>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</si>
  <si>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</si>
  <si>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</si>
  <si>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</si>
  <si>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</si>
  <si>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</si>
  <si>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</si>
  <si>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</si>
  <si>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</si>
  <si>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</si>
  <si>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</si>
  <si>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</si>
  <si>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</si>
  <si>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</si>
  <si>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</si>
  <si>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</si>
  <si>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</si>
  <si>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</si>
  <si>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</si>
  <si>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</si>
  <si>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</si>
  <si>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</si>
  <si>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</si>
  <si>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</si>
  <si>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</si>
  <si>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</si>
  <si>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</si>
  <si>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</si>
  <si>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</si>
  <si>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</si>
  <si>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</si>
  <si>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</si>
  <si>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</si>
  <si>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</si>
  <si>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</si>
  <si>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</si>
  <si>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</si>
  <si>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</si>
  <si>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</si>
  <si>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</si>
  <si>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</si>
  <si>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</si>
  <si>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</si>
  <si>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</si>
  <si>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</si>
  <si>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</si>
  <si>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</si>
  <si>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</si>
  <si>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</si>
  <si>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</si>
  <si>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</si>
  <si>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</si>
  <si>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</si>
  <si>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</si>
  <si>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</si>
  <si>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</si>
  <si>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</si>
  <si>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</si>
  <si>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</si>
  <si>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</si>
  <si>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</si>
  <si>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</si>
  <si>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</si>
  <si>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</si>
  <si>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</si>
  <si>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</si>
  <si>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</si>
  <si>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</si>
  <si>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</si>
  <si>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</si>
  <si>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</si>
  <si>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</si>
  <si>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</si>
  <si>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</si>
  <si>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</si>
  <si>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</si>
  <si>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</si>
  <si>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</si>
  <si>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</si>
  <si>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</si>
  <si>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</si>
  <si>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</si>
  <si>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</si>
  <si>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</si>
  <si>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</si>
  <si>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</si>
  <si>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</si>
  <si>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</si>
  <si>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</si>
  <si>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</si>
  <si>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</si>
  <si>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</si>
  <si>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</si>
  <si>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</si>
  <si>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</si>
  <si>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</si>
  <si>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</si>
  <si>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</si>
  <si>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</si>
  <si>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</si>
  <si>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</si>
  <si>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</si>
  <si>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</si>
  <si>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</si>
  <si>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</si>
  <si>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</si>
  <si>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</si>
  <si>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</si>
  <si>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</si>
  <si>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</si>
  <si>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</si>
  <si>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</si>
  <si>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</si>
  <si>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</si>
  <si>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</si>
  <si>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</si>
  <si>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</si>
  <si>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</si>
  <si>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</si>
  <si>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</si>
  <si>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</si>
  <si>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</si>
  <si>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</si>
  <si>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</si>
  <si>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</si>
  <si>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</si>
  <si>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</si>
  <si>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</si>
  <si>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</si>
  <si>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</si>
  <si>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</si>
  <si>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</si>
  <si>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</si>
  <si>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</si>
  <si>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</si>
  <si>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</si>
  <si>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</si>
  <si>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</si>
  <si>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</si>
  <si>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</si>
  <si>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</si>
  <si>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</si>
  <si>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</si>
  <si>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</si>
  <si>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</si>
  <si>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</si>
  <si>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</si>
  <si>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</si>
  <si>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</si>
  <si>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</si>
  <si>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</si>
  <si>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</si>
  <si>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</si>
  <si>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</si>
  <si>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</si>
  <si>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</si>
  <si>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</si>
  <si>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</si>
  <si>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</si>
  <si>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</si>
  <si>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</si>
  <si>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</si>
  <si>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</si>
  <si>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</si>
  <si>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</si>
  <si>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</si>
  <si>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</si>
  <si>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</si>
  <si>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</si>
  <si>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</si>
  <si>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</si>
  <si>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</si>
  <si>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</si>
  <si>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</si>
  <si>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</si>
  <si>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</si>
  <si>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</si>
  <si>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</si>
  <si>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</si>
  <si>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</si>
  <si>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</si>
  <si>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</si>
  <si>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</si>
  <si>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</si>
  <si>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</si>
  <si>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</si>
  <si>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</si>
  <si>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</si>
  <si>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</si>
  <si>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</si>
  <si>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</si>
  <si>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</si>
  <si>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</si>
  <si>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</si>
  <si>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</si>
  <si>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</si>
  <si>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</si>
  <si>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</si>
  <si>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</si>
  <si>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</si>
  <si>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</si>
  <si>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</si>
  <si>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</si>
  <si>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</si>
  <si>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</si>
  <si>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</si>
  <si>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</si>
  <si>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</si>
  <si>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</si>
  <si>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</si>
  <si>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</si>
  <si>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</si>
  <si>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</si>
  <si>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</si>
  <si>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</si>
  <si>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</si>
  <si>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</si>
  <si>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</si>
  <si>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</si>
  <si>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</si>
  <si>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</si>
  <si>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</si>
  <si>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</si>
  <si>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</si>
  <si>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</si>
  <si>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</si>
  <si>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</si>
  <si>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</si>
  <si>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</si>
  <si>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</si>
  <si>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</si>
  <si>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</si>
  <si>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</si>
  <si>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</si>
  <si>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</si>
  <si>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</si>
  <si>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</si>
  <si>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</si>
  <si>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</si>
  <si>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</si>
  <si>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</si>
  <si>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</si>
  <si>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</si>
  <si>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</si>
  <si>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</si>
  <si>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</si>
  <si>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</si>
  <si>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</si>
  <si>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</si>
  <si>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</si>
  <si>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</si>
  <si>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</si>
  <si>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</si>
  <si>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</si>
  <si>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</si>
  <si>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</si>
  <si>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</si>
  <si>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</si>
  <si>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</si>
  <si>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</si>
  <si>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</si>
  <si>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</si>
  <si>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</si>
  <si>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</si>
  <si>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</si>
  <si>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</si>
  <si>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</si>
  <si>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</si>
  <si>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</si>
  <si>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</si>
  <si>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</si>
  <si>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</si>
  <si>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</si>
  <si>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</si>
  <si>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</si>
  <si>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</si>
  <si>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</si>
  <si>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</si>
  <si>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</si>
  <si>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</si>
  <si>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</si>
  <si>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</si>
  <si>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</si>
  <si>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</si>
  <si>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</si>
  <si>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</si>
  <si>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</si>
  <si>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</si>
  <si>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</si>
  <si>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</si>
  <si>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</si>
  <si>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</si>
  <si>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</si>
  <si>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</si>
  <si>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</si>
  <si>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</si>
  <si>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</si>
  <si>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</si>
  <si>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</si>
  <si>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</si>
  <si>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</si>
  <si>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</si>
  <si>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</si>
  <si>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</si>
  <si>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</si>
  <si>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</si>
  <si>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</si>
  <si>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</si>
  <si>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</si>
  <si>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</si>
  <si>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</si>
  <si>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</si>
  <si>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</si>
  <si>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</si>
  <si>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</si>
  <si>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</si>
  <si>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</si>
  <si>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</si>
  <si>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</si>
  <si>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</si>
  <si>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</si>
  <si>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</si>
  <si>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</si>
  <si>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</si>
  <si>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</si>
  <si>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</si>
  <si>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</si>
  <si>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</si>
  <si>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</si>
  <si>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</si>
  <si>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</si>
  <si>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</si>
  <si>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</si>
  <si>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</si>
  <si>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</si>
  <si>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</si>
  <si>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</si>
  <si>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</si>
  <si>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</si>
  <si>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</si>
  <si>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</si>
  <si>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</si>
  <si>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</si>
  <si>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</si>
  <si>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</si>
  <si>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</si>
  <si>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</si>
  <si>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</si>
  <si>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</si>
  <si>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</si>
  <si>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</si>
  <si>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</si>
  <si>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</si>
  <si>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</si>
  <si>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</si>
  <si>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</si>
  <si>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</si>
  <si>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</si>
  <si>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</si>
  <si>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</si>
  <si>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</si>
  <si>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</si>
  <si>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</si>
  <si>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</si>
  <si>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</si>
  <si>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</si>
  <si>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</si>
  <si>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</si>
  <si>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</si>
  <si>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</si>
  <si>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</si>
  <si>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</si>
  <si>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</si>
  <si>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</si>
  <si>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</si>
  <si>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</si>
  <si>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</si>
  <si>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</si>
  <si>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</si>
  <si>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</si>
  <si>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</si>
  <si>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</si>
  <si>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</si>
  <si>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</si>
  <si>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</si>
  <si>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</si>
  <si>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</si>
  <si>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</si>
  <si>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</si>
  <si>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</si>
  <si>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</si>
  <si>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</si>
  <si>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</si>
  <si>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</si>
  <si>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</si>
  <si>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</si>
  <si>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</si>
  <si>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</si>
  <si>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</si>
  <si>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</si>
  <si>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</si>
  <si>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</si>
  <si>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</si>
  <si>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</si>
  <si>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</si>
  <si>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</si>
  <si>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</si>
  <si>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</si>
  <si>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</si>
  <si>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</si>
  <si>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</si>
  <si>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</si>
  <si>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</si>
  <si>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</si>
  <si>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</si>
  <si>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</si>
  <si>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</si>
  <si>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</si>
  <si>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</si>
  <si>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</si>
  <si>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</si>
  <si>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</si>
  <si>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</si>
  <si>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</si>
  <si>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</si>
  <si>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</si>
  <si>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</si>
  <si>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</si>
  <si>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</si>
  <si>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</si>
  <si>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</si>
  <si>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</si>
  <si>
    <t>托幼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</si>
</sst>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4"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4">
    <dxf>
      <fill>
        <patternFill>
          <bgColor theme="0" tint="-0.24994659260841701"/>
        </patternFill>
      </fill>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xlsx" TargetMode="External"/><Relationship Id="rId1" Type="http://schemas.openxmlformats.org/officeDocument/2006/relationships/externalLinkPath" Target="2025-1-0693-&#39034;&#20041;&#22478;&#24314;&#21335;&#23665;&#39033;&#30446;26&#22320;&#2235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47495.839999999997</v>
          </cell>
          <cell r="C14">
            <v>22926.39</v>
          </cell>
          <cell r="D14">
            <v>63123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根据《国有土地使用证》[]，估价对象（分摊）出让国有建设用地使用权面积为5551.97平方米。根据《建设工程规划许可证》[]、《出让合同》[]，估价对象规划建筑面积为11347.15平方米。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5551.97</v>
      </c>
    </row>
    <row r="44" spans="1:2">
      <c r="A44" s="2182" t="s">
        <v>2022</v>
      </c>
      <c r="B44" s="2183" t="str">
        <f>'预评函-2'!O3</f>
        <v>规划建筑面积/㎡</v>
      </c>
    </row>
    <row r="45" spans="1:2">
      <c r="A45" s="2182" t="s">
        <v>2004</v>
      </c>
      <c r="B45" s="2183">
        <f>'预评函-2'!O5</f>
        <v>11347.150000000001</v>
      </c>
    </row>
    <row r="46" spans="1:2">
      <c r="A46" s="2182" t="s">
        <v>2005</v>
      </c>
      <c r="B46" s="2183">
        <f ca="1">'预评函-2'!P5</f>
        <v>17313</v>
      </c>
    </row>
    <row r="47" spans="1:2">
      <c r="A47" s="2182" t="s">
        <v>2006</v>
      </c>
      <c r="B47" s="2183">
        <f ca="1">'预评函-2'!Q5</f>
        <v>8471</v>
      </c>
    </row>
    <row r="48" spans="1:2">
      <c r="A48" s="2182" t="s">
        <v>2007</v>
      </c>
      <c r="B48" s="2183">
        <f ca="1">'预评函-2'!R5</f>
        <v>9612</v>
      </c>
    </row>
    <row r="49" spans="1:2">
      <c r="A49" s="2182" t="s">
        <v>2023</v>
      </c>
      <c r="B49" s="2183" t="str">
        <f>'预评函-2'!A6</f>
        <v>抵押价格</v>
      </c>
    </row>
    <row r="50" spans="1:2">
      <c r="A50" s="2182" t="s">
        <v>2008</v>
      </c>
      <c r="B50" s="2183">
        <f ca="1">'预评函-2'!R6</f>
        <v>9612</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2" t="s">
        <v>3276</v>
      </c>
      <c r="J2" s="3452"/>
      <c r="K2" s="3452"/>
      <c r="L2" s="3452"/>
      <c r="M2" s="3452"/>
      <c r="N2" s="3452"/>
      <c r="O2" s="3452"/>
      <c r="P2" s="3452"/>
      <c r="Q2" s="3452"/>
      <c r="R2" s="3452"/>
    </row>
    <row r="3" spans="1:18">
      <c r="A3" s="2987" t="s">
        <v>2663</v>
      </c>
      <c r="B3" s="3035">
        <f>项目基本情况!D3</f>
        <v>45908</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5" thickBot="1">
      <c r="A18" s="3044" t="s">
        <v>2678</v>
      </c>
      <c r="B18" s="3045" t="e">
        <f>ROUND(B17*F11/F12,2)</f>
        <v>#DIV/0!</v>
      </c>
      <c r="C18" s="3045" t="e">
        <f>ROUND(F11/F12,4)</f>
        <v>#DIV/0!</v>
      </c>
      <c r="D18" s="3046"/>
      <c r="E18" s="3046"/>
      <c r="F18" s="3047"/>
    </row>
    <row r="19" spans="1:14" ht="15" thickBot="1"/>
    <row r="20" spans="1:14" ht="1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6">
        <f>C52*B52</f>
        <v>15000000</v>
      </c>
    </row>
    <row r="53" spans="1:4">
      <c r="A53" s="2749" t="s">
        <v>3267</v>
      </c>
      <c r="B53" s="3388">
        <v>5000</v>
      </c>
      <c r="C53" s="3388">
        <v>5000</v>
      </c>
      <c r="D53" s="2356">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5.6"/>
  <cols>
    <col min="1" max="1" width="15.33203125" style="1401" customWidth="1"/>
    <col min="2" max="2" width="11.33203125" style="1401" customWidth="1"/>
    <col min="3" max="3" width="16.554687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55" t="str">
        <f>IF(B10="北京市","北京市",C10)&amp;F10&amp;A17&amp;"国有建设用地使用权"&amp;B9&amp;"预评估"</f>
        <v>北京市出让国有建设用地使用权抵押价格预评估</v>
      </c>
      <c r="C1" s="3456"/>
      <c r="D1" s="3456"/>
      <c r="E1" s="3456"/>
      <c r="F1" s="3456"/>
      <c r="G1" s="3456"/>
      <c r="H1" s="3456"/>
      <c r="I1" s="3457"/>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3345</v>
      </c>
      <c r="C4" s="1534">
        <f ca="1">SUMIF(土地估价师,B4,估价师及机构信息!E3:E17)</f>
        <v>2002110125</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3346</v>
      </c>
      <c r="C8" s="1388"/>
      <c r="D8" s="3461" t="s">
        <v>1464</v>
      </c>
      <c r="E8" s="1532" t="s">
        <v>3347</v>
      </c>
      <c r="F8" s="1389"/>
      <c r="G8" s="2603"/>
      <c r="H8" s="2603"/>
      <c r="I8" s="2604"/>
      <c r="J8" s="2603"/>
      <c r="K8" s="2587"/>
      <c r="L8" s="2583"/>
      <c r="M8" s="2583"/>
      <c r="N8" s="2584"/>
      <c r="O8" s="2585"/>
      <c r="P8" s="2584"/>
      <c r="Q8" s="2584"/>
      <c r="R8" s="2584"/>
      <c r="S8" s="2584"/>
      <c r="T8" s="2584"/>
      <c r="U8" s="2584"/>
    </row>
    <row r="9" spans="1:21" ht="16.2" thickBot="1">
      <c r="A9" s="2534" t="s">
        <v>1463</v>
      </c>
      <c r="B9" s="1390" t="s">
        <v>3347</v>
      </c>
      <c r="C9" s="1391"/>
      <c r="D9" s="3462"/>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8"/>
      <c r="C12" s="3459"/>
      <c r="D12" s="3460"/>
      <c r="E12" s="1407" t="s">
        <v>1579</v>
      </c>
      <c r="F12" s="3476" t="s">
        <v>2161</v>
      </c>
      <c r="G12" s="3477"/>
      <c r="H12" s="3477"/>
      <c r="I12" s="3478"/>
      <c r="J12" s="2603"/>
      <c r="K12" s="2587"/>
      <c r="L12" s="2583"/>
      <c r="M12" s="2583"/>
      <c r="N12" s="2584"/>
      <c r="O12" s="2585"/>
      <c r="P12" s="2584"/>
      <c r="Q12" s="2584"/>
      <c r="R12" s="2584"/>
      <c r="S12" s="2584"/>
      <c r="T12" s="2584"/>
      <c r="U12" s="2584"/>
    </row>
    <row r="13" spans="1:21">
      <c r="A13" s="1399" t="s">
        <v>1577</v>
      </c>
      <c r="B13" s="3458"/>
      <c r="C13" s="3459"/>
      <c r="D13" s="3460"/>
      <c r="E13" s="1407" t="s">
        <v>1579</v>
      </c>
      <c r="F13" s="3476" t="s">
        <v>2162</v>
      </c>
      <c r="G13" s="3477"/>
      <c r="H13" s="3477"/>
      <c r="I13" s="3478"/>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2726</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2727</v>
      </c>
      <c r="E16" s="1428" t="s">
        <v>1212</v>
      </c>
      <c r="F16" s="1428" t="s">
        <v>2728</v>
      </c>
      <c r="G16" s="1428" t="s">
        <v>2729</v>
      </c>
      <c r="H16" s="1398" t="s">
        <v>776</v>
      </c>
      <c r="I16" s="1398" t="s">
        <v>2726</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2730</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3"/>
      <c r="E20" s="3474"/>
      <c r="F20" s="3474"/>
      <c r="G20" s="3474"/>
      <c r="H20" s="3474"/>
      <c r="I20" s="3475"/>
      <c r="J20" s="2603"/>
      <c r="K20" s="2587"/>
      <c r="L20" s="2583"/>
      <c r="M20" s="2583"/>
      <c r="N20" s="2584"/>
      <c r="O20" s="2585"/>
      <c r="P20" s="2584"/>
      <c r="Q20" s="2584"/>
      <c r="R20" s="2584"/>
      <c r="S20" s="2584"/>
      <c r="T20" s="2584"/>
      <c r="U20" s="2584"/>
    </row>
    <row r="21" spans="1:21">
      <c r="A21" s="1463" t="s">
        <v>1476</v>
      </c>
      <c r="B21" s="1464" t="s">
        <v>1477</v>
      </c>
      <c r="C21" s="1459">
        <f>'数据-汇总表'!E3</f>
        <v>11347.150000000001</v>
      </c>
      <c r="D21" s="1460" t="s">
        <v>1478</v>
      </c>
      <c r="E21" s="3463" t="s">
        <v>1516</v>
      </c>
      <c r="F21" s="3464"/>
      <c r="G21" s="3464"/>
      <c r="H21" s="3464"/>
      <c r="I21" s="3465"/>
      <c r="J21" s="2603"/>
      <c r="K21" s="2587"/>
      <c r="L21" s="2583"/>
      <c r="M21" s="2583"/>
      <c r="N21" s="2584"/>
      <c r="O21" s="2585"/>
      <c r="P21" s="2584"/>
      <c r="Q21" s="2584"/>
      <c r="R21" s="2584"/>
      <c r="S21" s="2584"/>
      <c r="T21" s="2584"/>
      <c r="U21" s="2584"/>
    </row>
    <row r="22" spans="1:21">
      <c r="A22" s="2366" t="s">
        <v>877</v>
      </c>
      <c r="B22" s="1378" t="s">
        <v>1479</v>
      </c>
      <c r="C22" s="1398">
        <f>'数据-汇总表'!D3</f>
        <v>5551.97</v>
      </c>
      <c r="D22" s="1399" t="s">
        <v>1478</v>
      </c>
      <c r="E22" s="3463" t="s">
        <v>2163</v>
      </c>
      <c r="F22" s="3464"/>
      <c r="G22" s="3464"/>
      <c r="H22" s="3464"/>
      <c r="I22" s="3465"/>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6" t="s">
        <v>1484</v>
      </c>
      <c r="C24" s="3467"/>
      <c r="D24" s="3468" t="s">
        <v>1485</v>
      </c>
      <c r="E24" s="3469"/>
      <c r="F24" s="1414" t="s">
        <v>1486</v>
      </c>
      <c r="G24" s="2603"/>
      <c r="H24" s="2603"/>
      <c r="I24" s="2604"/>
      <c r="J24" s="2603"/>
      <c r="K24" s="3454"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5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5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81" t="s">
        <v>1519</v>
      </c>
      <c r="B31" s="1464" t="s">
        <v>1520</v>
      </c>
      <c r="C31" s="3479"/>
      <c r="D31" s="3480"/>
      <c r="E31" s="2603"/>
      <c r="F31" s="2603"/>
      <c r="G31" s="2603"/>
      <c r="H31" s="2603"/>
      <c r="I31" s="2604"/>
      <c r="J31" s="2603"/>
      <c r="K31" s="2590"/>
      <c r="L31" s="2584"/>
      <c r="M31" s="2584"/>
      <c r="N31" s="2584"/>
      <c r="O31" s="2584"/>
      <c r="P31" s="2584"/>
      <c r="Q31" s="2584"/>
      <c r="R31" s="2584"/>
      <c r="S31" s="2584"/>
      <c r="T31" s="2584"/>
      <c r="U31" s="2584"/>
    </row>
    <row r="32" spans="1:21">
      <c r="A32" s="3481"/>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1"/>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2"/>
      <c r="B34" s="1378" t="s">
        <v>1523</v>
      </c>
      <c r="C34" s="3483"/>
      <c r="D34" s="3484"/>
      <c r="E34" s="2603"/>
      <c r="F34" s="2603"/>
      <c r="G34" s="2603"/>
      <c r="H34" s="2603"/>
      <c r="I34" s="2604"/>
      <c r="J34" s="2603"/>
      <c r="K34" s="2590"/>
      <c r="L34" s="2584"/>
      <c r="M34" s="2584"/>
      <c r="N34" s="2584"/>
      <c r="O34" s="2584"/>
      <c r="P34" s="2584"/>
      <c r="Q34" s="2584"/>
      <c r="R34" s="2584"/>
      <c r="S34" s="2584"/>
      <c r="T34" s="2584"/>
      <c r="U34" s="2584"/>
    </row>
    <row r="35" spans="1:28">
      <c r="A35" s="3485" t="s">
        <v>785</v>
      </c>
      <c r="B35" s="1428"/>
      <c r="C35" s="1472" t="str">
        <f>IF(B35="场地平整","——","具体情况：")</f>
        <v>具体情况：</v>
      </c>
      <c r="D35" s="3487"/>
      <c r="E35" s="3488"/>
      <c r="F35" s="3488"/>
      <c r="G35" s="3488"/>
      <c r="H35" s="3488"/>
      <c r="I35" s="3489"/>
      <c r="J35" s="2603"/>
      <c r="K35" s="2591"/>
      <c r="L35" s="2583"/>
      <c r="M35" s="2583"/>
      <c r="N35" s="2584"/>
      <c r="O35" s="2585"/>
      <c r="P35" s="2584"/>
      <c r="Q35" s="2584"/>
      <c r="R35" s="2584"/>
      <c r="S35" s="2584"/>
      <c r="T35" s="2584"/>
      <c r="U35" s="2584"/>
    </row>
    <row r="36" spans="1:28">
      <c r="A36" s="3481"/>
      <c r="B36" s="3490" t="s">
        <v>1572</v>
      </c>
      <c r="C36" s="3491"/>
      <c r="D36" s="1487"/>
      <c r="E36" s="3492"/>
      <c r="F36" s="3492"/>
      <c r="G36" s="1399" t="str">
        <f>IF(B35="场地未平整","估价结果处理","")</f>
        <v/>
      </c>
      <c r="H36" s="3493"/>
      <c r="I36" s="3493"/>
      <c r="J36" s="2603"/>
      <c r="K36" s="2591"/>
      <c r="L36" s="2583"/>
      <c r="M36" s="2583"/>
      <c r="N36" s="2584"/>
      <c r="O36" s="2585"/>
      <c r="P36" s="2584"/>
      <c r="Q36" s="2584"/>
      <c r="R36" s="2584"/>
      <c r="S36" s="2584"/>
      <c r="T36" s="2584"/>
      <c r="U36" s="2584"/>
    </row>
    <row r="37" spans="1:28">
      <c r="A37" s="3481"/>
      <c r="B37" s="3470"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81"/>
      <c r="B38" s="3471"/>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82"/>
      <c r="B39" s="3472"/>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3" t="s">
        <v>1503</v>
      </c>
      <c r="T40" s="1407" t="str">
        <f>NUMBERSTRING(7-K40,1)&amp;"通"</f>
        <v>七通</v>
      </c>
      <c r="U40" s="2584"/>
    </row>
    <row r="41" spans="1:28">
      <c r="A41" s="1380"/>
      <c r="B41" s="3486" t="s">
        <v>1250</v>
      </c>
      <c r="C41" s="3486"/>
      <c r="D41" s="3486"/>
      <c r="E41" s="3486"/>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3"/>
      <c r="T41" s="1438" t="str">
        <f>IF(T40="一通",L41,IF(T40="二通",M41,IF(T40="三通",N41,IF(T40="四通",O41,IF(T40="五通",P41,IF(T40="六通",Q41,R41))))))</f>
        <v>、、、、、、</v>
      </c>
      <c r="U41" s="2584"/>
    </row>
    <row r="42" spans="1:28">
      <c r="A42" s="1440"/>
      <c r="B42" s="1466" t="s">
        <v>1422</v>
      </c>
      <c r="C42" s="1466" t="s">
        <v>1423</v>
      </c>
      <c r="D42" s="1466" t="s">
        <v>1424</v>
      </c>
      <c r="E42" s="1466" t="s">
        <v>2731</v>
      </c>
      <c r="F42" s="1466" t="s">
        <v>2732</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2889</v>
      </c>
      <c r="C44" s="1442" t="s">
        <v>2889</v>
      </c>
      <c r="D44" s="1442" t="s">
        <v>2889</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opLeftCell="B13" workbookViewId="0">
      <selection activeCell="S24" sqref="S24"/>
    </sheetView>
  </sheetViews>
  <sheetFormatPr defaultRowHeight="14.4"/>
  <cols>
    <col min="11" max="12" width="12.5546875" customWidth="1"/>
  </cols>
  <sheetData>
    <row r="1" spans="1:13" ht="16.2">
      <c r="A1" s="3409" t="s">
        <v>3318</v>
      </c>
      <c r="B1" s="3409" t="s">
        <v>3319</v>
      </c>
      <c r="C1" s="3410" t="s">
        <v>3273</v>
      </c>
      <c r="D1" s="3411" t="s">
        <v>2713</v>
      </c>
      <c r="E1" s="3411" t="s">
        <v>3320</v>
      </c>
      <c r="F1" s="3411" t="s">
        <v>3321</v>
      </c>
      <c r="G1" s="3411" t="s">
        <v>3322</v>
      </c>
      <c r="H1" s="3411" t="s">
        <v>3323</v>
      </c>
      <c r="I1" s="3411" t="s">
        <v>3324</v>
      </c>
      <c r="J1" s="3411" t="s">
        <v>3268</v>
      </c>
      <c r="K1" s="3411" t="s">
        <v>3325</v>
      </c>
      <c r="L1" s="3411" t="s">
        <v>3344</v>
      </c>
      <c r="M1" s="3409" t="s">
        <v>3326</v>
      </c>
    </row>
    <row r="2" spans="1:13" ht="16.2">
      <c r="A2" s="3409" t="s">
        <v>3327</v>
      </c>
      <c r="B2" s="3409" t="s">
        <v>3328</v>
      </c>
      <c r="C2" s="3409">
        <f>SUM(D2:L2)</f>
        <v>4102.01</v>
      </c>
      <c r="D2" s="3409">
        <v>3708.86</v>
      </c>
      <c r="E2" s="3409"/>
      <c r="F2" s="3409"/>
      <c r="G2" s="3409"/>
      <c r="H2" s="3409"/>
      <c r="I2" s="3409"/>
      <c r="J2" s="3409"/>
      <c r="K2" s="3409">
        <v>393.15</v>
      </c>
      <c r="L2" s="3409"/>
      <c r="M2" s="3409">
        <v>44</v>
      </c>
    </row>
    <row r="3" spans="1:13" ht="16.2">
      <c r="A3" s="3409" t="s">
        <v>3327</v>
      </c>
      <c r="B3" s="3409" t="s">
        <v>3329</v>
      </c>
      <c r="C3" s="3409">
        <f t="shared" ref="C3:C13" si="0">SUM(D3:L3)</f>
        <v>2714.92</v>
      </c>
      <c r="D3" s="3409">
        <v>2714.92</v>
      </c>
      <c r="E3" s="3409"/>
      <c r="F3" s="3409"/>
      <c r="G3" s="3409"/>
      <c r="H3" s="3409"/>
      <c r="I3" s="3409"/>
      <c r="J3" s="3409"/>
      <c r="K3" s="3409"/>
      <c r="L3" s="3409"/>
      <c r="M3" s="3409">
        <v>44</v>
      </c>
    </row>
    <row r="4" spans="1:13" ht="16.2">
      <c r="A4" s="3409" t="s">
        <v>3327</v>
      </c>
      <c r="B4" s="3409" t="s">
        <v>3330</v>
      </c>
      <c r="C4" s="3409">
        <f t="shared" si="0"/>
        <v>2717.6</v>
      </c>
      <c r="D4" s="3409">
        <v>2717.6</v>
      </c>
      <c r="E4" s="3409"/>
      <c r="F4" s="3409"/>
      <c r="G4" s="3409"/>
      <c r="H4" s="3409"/>
      <c r="I4" s="3409"/>
      <c r="J4" s="3409"/>
      <c r="K4" s="3409"/>
      <c r="L4" s="3409"/>
      <c r="M4" s="3409">
        <v>32</v>
      </c>
    </row>
    <row r="5" spans="1:13" ht="16.2">
      <c r="A5" s="3409" t="s">
        <v>3327</v>
      </c>
      <c r="B5" s="3409" t="s">
        <v>3331</v>
      </c>
      <c r="C5" s="3409">
        <f t="shared" si="0"/>
        <v>2725.73</v>
      </c>
      <c r="D5" s="3409">
        <v>2715.12</v>
      </c>
      <c r="E5" s="3409"/>
      <c r="F5" s="3409"/>
      <c r="G5" s="3409"/>
      <c r="H5" s="3409"/>
      <c r="I5" s="3409"/>
      <c r="J5" s="3409"/>
      <c r="K5" s="3409"/>
      <c r="L5" s="3409">
        <v>10.61</v>
      </c>
      <c r="M5" s="3409">
        <v>32</v>
      </c>
    </row>
    <row r="6" spans="1:13" ht="16.2">
      <c r="A6" s="3409" t="s">
        <v>3327</v>
      </c>
      <c r="B6" s="3409" t="s">
        <v>3332</v>
      </c>
      <c r="C6" s="3409">
        <f t="shared" si="0"/>
        <v>5784.9</v>
      </c>
      <c r="D6" s="3409">
        <v>5784.9</v>
      </c>
      <c r="E6" s="3409"/>
      <c r="F6" s="3409"/>
      <c r="G6" s="3409"/>
      <c r="H6" s="3409"/>
      <c r="I6" s="3409"/>
      <c r="J6" s="3409"/>
      <c r="K6" s="3409"/>
      <c r="L6" s="3409"/>
      <c r="M6" s="3409">
        <v>66</v>
      </c>
    </row>
    <row r="7" spans="1:13" ht="16.2">
      <c r="A7" s="3409" t="s">
        <v>3327</v>
      </c>
      <c r="B7" s="3409" t="s">
        <v>3333</v>
      </c>
      <c r="C7" s="3409">
        <f t="shared" si="0"/>
        <v>1932.66</v>
      </c>
      <c r="D7" s="3409">
        <v>1932.66</v>
      </c>
      <c r="E7" s="3409"/>
      <c r="F7" s="3409"/>
      <c r="G7" s="3409"/>
      <c r="H7" s="3409"/>
      <c r="I7" s="3409"/>
      <c r="J7" s="3409"/>
      <c r="K7" s="3409"/>
      <c r="L7" s="3409"/>
      <c r="M7" s="3409">
        <v>18</v>
      </c>
    </row>
    <row r="8" spans="1:13" ht="16.2">
      <c r="A8" s="3409" t="s">
        <v>3327</v>
      </c>
      <c r="B8" s="3409" t="s">
        <v>3334</v>
      </c>
      <c r="C8" s="3409">
        <f t="shared" si="0"/>
        <v>1933.74</v>
      </c>
      <c r="D8" s="3409">
        <v>1933.74</v>
      </c>
      <c r="E8" s="3409"/>
      <c r="F8" s="3409"/>
      <c r="G8" s="3409"/>
      <c r="H8" s="3409"/>
      <c r="I8" s="3409"/>
      <c r="J8" s="3409"/>
      <c r="K8" s="3409"/>
      <c r="L8" s="3409"/>
      <c r="M8" s="3409">
        <v>18</v>
      </c>
    </row>
    <row r="9" spans="1:13" ht="16.2">
      <c r="A9" s="3409" t="s">
        <v>3327</v>
      </c>
      <c r="B9" s="3409" t="s">
        <v>3335</v>
      </c>
      <c r="C9" s="3409">
        <f t="shared" si="0"/>
        <v>1933.02</v>
      </c>
      <c r="D9" s="3409">
        <v>1933.02</v>
      </c>
      <c r="E9" s="3409"/>
      <c r="F9" s="3409"/>
      <c r="G9" s="3409"/>
      <c r="H9" s="3409"/>
      <c r="I9" s="3409"/>
      <c r="J9" s="3409"/>
      <c r="K9" s="3409"/>
      <c r="L9" s="3409"/>
      <c r="M9" s="3409">
        <v>18</v>
      </c>
    </row>
    <row r="10" spans="1:13" ht="16.2">
      <c r="A10" s="3409" t="s">
        <v>3327</v>
      </c>
      <c r="B10" s="3409" t="s">
        <v>3336</v>
      </c>
      <c r="C10" s="3409">
        <f t="shared" si="0"/>
        <v>3978.32</v>
      </c>
      <c r="D10" s="3409">
        <v>3592.76</v>
      </c>
      <c r="E10" s="3409"/>
      <c r="F10" s="3409"/>
      <c r="G10" s="3409"/>
      <c r="H10" s="3409"/>
      <c r="I10" s="3409"/>
      <c r="J10" s="3409"/>
      <c r="K10" s="3409">
        <v>385.56</v>
      </c>
      <c r="L10" s="3409"/>
      <c r="M10" s="3409">
        <v>44</v>
      </c>
    </row>
    <row r="11" spans="1:13" ht="16.2">
      <c r="A11" s="3409" t="s">
        <v>3327</v>
      </c>
      <c r="B11" s="3409" t="s">
        <v>3337</v>
      </c>
      <c r="C11" s="3409">
        <f t="shared" si="0"/>
        <v>3610.42</v>
      </c>
      <c r="D11" s="3409">
        <v>3610.42</v>
      </c>
      <c r="E11" s="3409"/>
      <c r="F11" s="3409"/>
      <c r="G11" s="3409"/>
      <c r="H11" s="3409"/>
      <c r="I11" s="3409"/>
      <c r="J11" s="3409"/>
      <c r="K11" s="3409"/>
      <c r="L11" s="3409"/>
      <c r="M11" s="3409">
        <v>44</v>
      </c>
    </row>
    <row r="12" spans="1:13" ht="16.2">
      <c r="A12" s="3409" t="s">
        <v>3327</v>
      </c>
      <c r="B12" s="3409" t="s">
        <v>3338</v>
      </c>
      <c r="C12" s="3409">
        <f t="shared" si="0"/>
        <v>2305.38</v>
      </c>
      <c r="D12" s="3409">
        <v>2305.38</v>
      </c>
      <c r="E12" s="3409"/>
      <c r="F12" s="3409"/>
      <c r="G12" s="3409"/>
      <c r="H12" s="3409"/>
      <c r="I12" s="3409"/>
      <c r="J12" s="3409"/>
      <c r="K12" s="3409"/>
      <c r="L12" s="3409"/>
      <c r="M12" s="3409">
        <v>28</v>
      </c>
    </row>
    <row r="13" spans="1:13" ht="16.2">
      <c r="A13" s="3409" t="s">
        <v>3327</v>
      </c>
      <c r="B13" s="3410" t="s">
        <v>3267</v>
      </c>
      <c r="C13" s="3409">
        <f t="shared" si="0"/>
        <v>7542.87</v>
      </c>
      <c r="D13" s="3409"/>
      <c r="E13" s="3409"/>
      <c r="F13" s="3409"/>
      <c r="G13" s="3409"/>
      <c r="H13" s="3409">
        <v>3289.81</v>
      </c>
      <c r="I13" s="3409">
        <v>451.25</v>
      </c>
      <c r="J13" s="3409">
        <f>18.28+216.62+222.64+26.03+8.82</f>
        <v>492.38999999999993</v>
      </c>
      <c r="K13" s="3409"/>
      <c r="L13" s="3409">
        <v>3309.42</v>
      </c>
      <c r="M13" s="3409"/>
    </row>
    <row r="14" spans="1:13">
      <c r="A14" s="3409"/>
      <c r="B14" s="3409" t="s">
        <v>3339</v>
      </c>
      <c r="C14" s="3409">
        <f t="shared" ref="C14:L14" si="1">SUM(C2:C13)</f>
        <v>41281.57</v>
      </c>
      <c r="D14" s="3409">
        <f t="shared" si="1"/>
        <v>32949.379999999997</v>
      </c>
      <c r="E14" s="3409">
        <f t="shared" si="1"/>
        <v>0</v>
      </c>
      <c r="F14" s="3409">
        <f t="shared" si="1"/>
        <v>0</v>
      </c>
      <c r="G14" s="3409">
        <f t="shared" si="1"/>
        <v>0</v>
      </c>
      <c r="H14" s="3409">
        <f t="shared" si="1"/>
        <v>3289.81</v>
      </c>
      <c r="I14" s="3409">
        <f t="shared" si="1"/>
        <v>451.25</v>
      </c>
      <c r="J14" s="3409">
        <f t="shared" si="1"/>
        <v>492.38999999999993</v>
      </c>
      <c r="K14" s="3409">
        <f t="shared" si="1"/>
        <v>778.71</v>
      </c>
      <c r="L14" s="3409">
        <f t="shared" si="1"/>
        <v>3320.03</v>
      </c>
      <c r="M14" s="3409"/>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09" t="s">
        <v>3318</v>
      </c>
      <c r="B17" s="3409" t="s">
        <v>3319</v>
      </c>
      <c r="C17" s="3410" t="s">
        <v>3273</v>
      </c>
      <c r="D17" s="3411" t="s">
        <v>2713</v>
      </c>
      <c r="E17" s="3411" t="s">
        <v>3320</v>
      </c>
      <c r="F17" s="3411" t="s">
        <v>3321</v>
      </c>
      <c r="G17" s="3411" t="s">
        <v>3322</v>
      </c>
      <c r="H17" s="3411" t="s">
        <v>3323</v>
      </c>
      <c r="I17" s="3411" t="s">
        <v>3324</v>
      </c>
      <c r="J17" s="3411" t="s">
        <v>3268</v>
      </c>
      <c r="K17" s="3411" t="s">
        <v>3325</v>
      </c>
      <c r="L17" s="3411" t="s">
        <v>3344</v>
      </c>
      <c r="M17" s="3409" t="s">
        <v>3326</v>
      </c>
    </row>
    <row r="18" spans="1:13" ht="16.2">
      <c r="A18" s="3409" t="s">
        <v>3340</v>
      </c>
      <c r="B18" s="3409" t="s">
        <v>3328</v>
      </c>
      <c r="C18" s="3409">
        <f>SUM(D18:L18)</f>
        <v>3572.72</v>
      </c>
      <c r="D18" s="3409">
        <v>3572.72</v>
      </c>
      <c r="E18" s="3409"/>
      <c r="F18" s="3409"/>
      <c r="G18" s="3409"/>
      <c r="H18" s="3409"/>
      <c r="I18" s="3409"/>
      <c r="J18" s="3409"/>
      <c r="K18" s="3409"/>
      <c r="L18" s="3409"/>
      <c r="M18" s="3409">
        <v>44</v>
      </c>
    </row>
    <row r="19" spans="1:13" ht="16.2">
      <c r="A19" s="3409" t="s">
        <v>3340</v>
      </c>
      <c r="B19" s="3409" t="s">
        <v>3329</v>
      </c>
      <c r="C19" s="3409">
        <f t="shared" ref="C19:C31" si="2">SUM(D19:L19)</f>
        <v>3621.2</v>
      </c>
      <c r="D19" s="3409">
        <v>3621.2</v>
      </c>
      <c r="E19" s="3409"/>
      <c r="F19" s="3409"/>
      <c r="G19" s="3409"/>
      <c r="H19" s="3409"/>
      <c r="I19" s="3409"/>
      <c r="J19" s="3409"/>
      <c r="K19" s="3409"/>
      <c r="L19" s="3409"/>
      <c r="M19" s="3409">
        <v>44</v>
      </c>
    </row>
    <row r="20" spans="1:13" ht="16.2">
      <c r="A20" s="3409" t="s">
        <v>3340</v>
      </c>
      <c r="B20" s="3409" t="s">
        <v>3330</v>
      </c>
      <c r="C20" s="3409">
        <f t="shared" si="2"/>
        <v>3055.68</v>
      </c>
      <c r="D20" s="3409">
        <v>3055.68</v>
      </c>
      <c r="E20" s="3409"/>
      <c r="F20" s="3409"/>
      <c r="G20" s="3409"/>
      <c r="H20" s="3409"/>
      <c r="I20" s="3409"/>
      <c r="J20" s="3409"/>
      <c r="K20" s="3409"/>
      <c r="L20" s="3409"/>
      <c r="M20" s="3409">
        <v>36</v>
      </c>
    </row>
    <row r="21" spans="1:13" ht="16.2">
      <c r="A21" s="3409" t="s">
        <v>3340</v>
      </c>
      <c r="B21" s="3409" t="s">
        <v>3331</v>
      </c>
      <c r="C21" s="3409">
        <f t="shared" si="2"/>
        <v>3145.79</v>
      </c>
      <c r="D21" s="3409">
        <v>2717.68</v>
      </c>
      <c r="E21" s="3409"/>
      <c r="F21" s="3409"/>
      <c r="G21" s="3409"/>
      <c r="H21" s="3409"/>
      <c r="I21" s="3409"/>
      <c r="J21" s="3409"/>
      <c r="K21" s="3409">
        <v>428.11</v>
      </c>
      <c r="L21" s="3409"/>
      <c r="M21" s="3409">
        <v>32</v>
      </c>
    </row>
    <row r="22" spans="1:13" ht="16.2">
      <c r="A22" s="3409" t="s">
        <v>3340</v>
      </c>
      <c r="B22" s="3409" t="s">
        <v>3332</v>
      </c>
      <c r="C22" s="3409">
        <f t="shared" si="2"/>
        <v>5731.8</v>
      </c>
      <c r="D22" s="3409">
        <v>5731.8</v>
      </c>
      <c r="E22" s="3409"/>
      <c r="F22" s="3409"/>
      <c r="G22" s="3409"/>
      <c r="H22" s="3409"/>
      <c r="I22" s="3409"/>
      <c r="J22" s="3409"/>
      <c r="K22" s="3409"/>
      <c r="L22" s="3409"/>
      <c r="M22" s="3409">
        <v>66</v>
      </c>
    </row>
    <row r="23" spans="1:13" ht="16.2">
      <c r="A23" s="3409" t="s">
        <v>3340</v>
      </c>
      <c r="B23" s="3409" t="s">
        <v>3333</v>
      </c>
      <c r="C23" s="3409">
        <f t="shared" si="2"/>
        <v>1933.02</v>
      </c>
      <c r="D23" s="3409">
        <v>1933.02</v>
      </c>
      <c r="E23" s="3409"/>
      <c r="F23" s="3409"/>
      <c r="G23" s="3409"/>
      <c r="H23" s="3409"/>
      <c r="I23" s="3409"/>
      <c r="J23" s="3409"/>
      <c r="K23" s="3409"/>
      <c r="L23" s="3409"/>
      <c r="M23" s="3409">
        <v>18</v>
      </c>
    </row>
    <row r="24" spans="1:13" ht="16.2">
      <c r="A24" s="3409" t="s">
        <v>3340</v>
      </c>
      <c r="B24" s="3409" t="s">
        <v>3334</v>
      </c>
      <c r="C24" s="3409">
        <f t="shared" si="2"/>
        <v>1933.02</v>
      </c>
      <c r="D24" s="3409">
        <v>1933.02</v>
      </c>
      <c r="E24" s="3409"/>
      <c r="F24" s="3409"/>
      <c r="G24" s="3409"/>
      <c r="H24" s="3409"/>
      <c r="I24" s="3409"/>
      <c r="J24" s="3409"/>
      <c r="K24" s="3409"/>
      <c r="L24" s="3409"/>
      <c r="M24" s="3409">
        <v>18</v>
      </c>
    </row>
    <row r="25" spans="1:13" ht="16.2">
      <c r="A25" s="3409" t="s">
        <v>3340</v>
      </c>
      <c r="B25" s="3409" t="s">
        <v>3335</v>
      </c>
      <c r="C25" s="3409">
        <f t="shared" si="2"/>
        <v>4721.9399999999996</v>
      </c>
      <c r="D25" s="3409">
        <v>4721.9399999999996</v>
      </c>
      <c r="E25" s="3409"/>
      <c r="F25" s="3409"/>
      <c r="G25" s="3409"/>
      <c r="H25" s="3409"/>
      <c r="I25" s="3409"/>
      <c r="J25" s="3409"/>
      <c r="K25" s="3409"/>
      <c r="L25" s="3409"/>
      <c r="M25" s="3409">
        <v>54</v>
      </c>
    </row>
    <row r="26" spans="1:13" ht="16.2">
      <c r="A26" s="3409" t="s">
        <v>3340</v>
      </c>
      <c r="B26" s="3409" t="s">
        <v>3336</v>
      </c>
      <c r="C26" s="3409">
        <f t="shared" si="2"/>
        <v>3590.6</v>
      </c>
      <c r="D26" s="3409">
        <v>3590.6</v>
      </c>
      <c r="E26" s="3409"/>
      <c r="F26" s="3409"/>
      <c r="G26" s="3409"/>
      <c r="H26" s="3409"/>
      <c r="I26" s="3409"/>
      <c r="J26" s="3409"/>
      <c r="K26" s="3409"/>
      <c r="L26" s="3409"/>
      <c r="M26" s="3409">
        <v>44</v>
      </c>
    </row>
    <row r="27" spans="1:13" ht="16.2">
      <c r="A27" s="3409" t="s">
        <v>3340</v>
      </c>
      <c r="B27" s="3409" t="s">
        <v>3337</v>
      </c>
      <c r="C27" s="3409">
        <f t="shared" si="2"/>
        <v>3621.2</v>
      </c>
      <c r="D27" s="3409">
        <v>3621.2</v>
      </c>
      <c r="E27" s="3409"/>
      <c r="F27" s="3409"/>
      <c r="G27" s="3409"/>
      <c r="H27" s="3409"/>
      <c r="I27" s="3409"/>
      <c r="J27" s="3409"/>
      <c r="K27" s="3409"/>
      <c r="L27" s="3409"/>
      <c r="M27" s="3409">
        <v>44</v>
      </c>
    </row>
    <row r="28" spans="1:13" ht="16.2">
      <c r="A28" s="3409" t="s">
        <v>3340</v>
      </c>
      <c r="B28" s="3409" t="s">
        <v>3338</v>
      </c>
      <c r="C28" s="3409">
        <f t="shared" si="2"/>
        <v>3621.2</v>
      </c>
      <c r="D28" s="3409">
        <v>3621.2</v>
      </c>
      <c r="E28" s="3409"/>
      <c r="F28" s="3409"/>
      <c r="G28" s="3409"/>
      <c r="H28" s="3409"/>
      <c r="I28" s="3409"/>
      <c r="J28" s="3409"/>
      <c r="K28" s="3409"/>
      <c r="L28" s="3409"/>
      <c r="M28" s="3409">
        <v>44</v>
      </c>
    </row>
    <row r="29" spans="1:13" ht="16.2">
      <c r="A29" s="3409" t="s">
        <v>3340</v>
      </c>
      <c r="B29" s="3409" t="s">
        <v>3341</v>
      </c>
      <c r="C29" s="3409">
        <f t="shared" si="2"/>
        <v>3996.2299999999996</v>
      </c>
      <c r="D29" s="3409">
        <v>3613.72</v>
      </c>
      <c r="E29" s="3409"/>
      <c r="F29" s="3409"/>
      <c r="G29" s="3409"/>
      <c r="H29" s="3409"/>
      <c r="I29" s="3409"/>
      <c r="J29" s="3409"/>
      <c r="K29" s="3409">
        <v>382.51</v>
      </c>
      <c r="L29" s="3409"/>
      <c r="M29" s="3409">
        <v>44</v>
      </c>
    </row>
    <row r="30" spans="1:13" ht="16.2">
      <c r="A30" s="3409" t="s">
        <v>3342</v>
      </c>
      <c r="B30" s="3409" t="s">
        <v>3343</v>
      </c>
      <c r="C30" s="3409">
        <f t="shared" si="2"/>
        <v>1726.25</v>
      </c>
      <c r="D30" s="3409"/>
      <c r="E30" s="3409">
        <v>1213.5</v>
      </c>
      <c r="F30" s="3409">
        <v>152.97</v>
      </c>
      <c r="G30" s="3409">
        <f>112.13+224.55+23.1</f>
        <v>359.78000000000003</v>
      </c>
      <c r="H30" s="3409"/>
      <c r="I30" s="3409"/>
      <c r="J30" s="3409"/>
      <c r="K30" s="3409"/>
      <c r="L30" s="3409"/>
      <c r="M30" s="3409"/>
    </row>
    <row r="31" spans="1:13" ht="16.2">
      <c r="A31" s="3409" t="s">
        <v>3342</v>
      </c>
      <c r="B31" s="3410" t="s">
        <v>3267</v>
      </c>
      <c r="C31" s="3409">
        <f t="shared" si="2"/>
        <v>9125.26</v>
      </c>
      <c r="D31" s="3409"/>
      <c r="E31" s="3409"/>
      <c r="F31" s="3409"/>
      <c r="G31" s="3409"/>
      <c r="H31" s="3409">
        <v>4148.92</v>
      </c>
      <c r="I31" s="3409">
        <v>786.61</v>
      </c>
      <c r="J31" s="3409">
        <f>21.33+220.34+197.23+20.07+10.75</f>
        <v>469.71999999999997</v>
      </c>
      <c r="K31" s="3409"/>
      <c r="L31" s="3409">
        <v>3720.01</v>
      </c>
      <c r="M31" s="3409"/>
    </row>
    <row r="32" spans="1:13">
      <c r="A32" s="3409"/>
      <c r="B32" s="3409" t="s">
        <v>3339</v>
      </c>
      <c r="C32" s="3409">
        <f>SUM(C18:C31)</f>
        <v>53395.909999999996</v>
      </c>
      <c r="D32" s="3409">
        <f t="shared" ref="D32:K32" si="3">SUM(D18:D31)</f>
        <v>41733.78</v>
      </c>
      <c r="E32" s="3409">
        <f t="shared" si="3"/>
        <v>1213.5</v>
      </c>
      <c r="F32" s="3409">
        <f t="shared" si="3"/>
        <v>152.97</v>
      </c>
      <c r="G32" s="3409">
        <f t="shared" si="3"/>
        <v>359.78000000000003</v>
      </c>
      <c r="H32" s="3409">
        <f t="shared" si="3"/>
        <v>4148.92</v>
      </c>
      <c r="I32" s="3409">
        <f t="shared" si="3"/>
        <v>786.61</v>
      </c>
      <c r="J32" s="3409">
        <f t="shared" si="3"/>
        <v>469.71999999999997</v>
      </c>
      <c r="K32" s="3409">
        <f t="shared" si="3"/>
        <v>810.62</v>
      </c>
      <c r="L32" s="3409"/>
      <c r="M32" s="3409"/>
    </row>
    <row r="33" spans="1:13">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41616.929999999993</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41616.929999999993</v>
      </c>
      <c r="H5" s="23">
        <f t="shared" ref="H5:AT5" si="0">SUM(H13:H641)</f>
        <v>37025.799999999996</v>
      </c>
      <c r="I5" s="23">
        <f t="shared" si="0"/>
        <v>32949.379999999997</v>
      </c>
      <c r="J5" s="23">
        <f t="shared" si="0"/>
        <v>26949.749999999996</v>
      </c>
      <c r="K5" s="23">
        <f t="shared" si="0"/>
        <v>0</v>
      </c>
      <c r="L5" s="23">
        <f t="shared" si="0"/>
        <v>0</v>
      </c>
      <c r="M5" s="23">
        <f t="shared" si="0"/>
        <v>3289.81</v>
      </c>
      <c r="N5" s="23">
        <f t="shared" si="0"/>
        <v>0</v>
      </c>
      <c r="O5" s="23">
        <f t="shared" si="0"/>
        <v>786.61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1271.0999999999999</v>
      </c>
      <c r="AD5" s="23">
        <f t="shared" si="0"/>
        <v>0</v>
      </c>
      <c r="AE5" s="23">
        <f t="shared" si="0"/>
        <v>0</v>
      </c>
      <c r="AF5" s="23">
        <f t="shared" si="0"/>
        <v>778.71</v>
      </c>
      <c r="AG5" s="23">
        <f t="shared" si="0"/>
        <v>0</v>
      </c>
      <c r="AH5" s="23">
        <f t="shared" si="0"/>
        <v>0</v>
      </c>
      <c r="AI5" s="23">
        <f t="shared" si="0"/>
        <v>0</v>
      </c>
      <c r="AJ5" s="23">
        <f t="shared" si="0"/>
        <v>0</v>
      </c>
      <c r="AK5" s="23">
        <f t="shared" si="0"/>
        <v>0</v>
      </c>
      <c r="AL5" s="23">
        <f t="shared" si="0"/>
        <v>0</v>
      </c>
      <c r="AM5" s="23">
        <f t="shared" si="0"/>
        <v>0</v>
      </c>
      <c r="AN5" s="23">
        <f t="shared" si="0"/>
        <v>492.38999999999993</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11347.150000000001</v>
      </c>
      <c r="BA5" s="25">
        <f t="shared" si="1"/>
        <v>10076.050000000001</v>
      </c>
      <c r="BB5" s="25">
        <f t="shared" si="1"/>
        <v>5999.630000000001</v>
      </c>
      <c r="BC5" s="25">
        <f t="shared" si="1"/>
        <v>0</v>
      </c>
      <c r="BD5" s="25">
        <f t="shared" si="1"/>
        <v>3289.81</v>
      </c>
      <c r="BE5" s="25">
        <f t="shared" si="1"/>
        <v>786.61</v>
      </c>
      <c r="BF5" s="25">
        <f t="shared" si="1"/>
        <v>0</v>
      </c>
      <c r="BG5" s="25">
        <f t="shared" si="1"/>
        <v>0</v>
      </c>
      <c r="BH5" s="25">
        <f t="shared" si="1"/>
        <v>0</v>
      </c>
      <c r="BI5" s="25">
        <f t="shared" si="1"/>
        <v>0</v>
      </c>
      <c r="BJ5" s="25">
        <f t="shared" si="1"/>
        <v>0</v>
      </c>
      <c r="BK5" s="25">
        <f t="shared" si="1"/>
        <v>0</v>
      </c>
      <c r="BL5" s="25">
        <f t="shared" si="1"/>
        <v>1271.0999999999999</v>
      </c>
      <c r="BM5" s="25">
        <f t="shared" si="1"/>
        <v>0</v>
      </c>
      <c r="BN5" s="25">
        <f t="shared" si="1"/>
        <v>778.71</v>
      </c>
      <c r="BO5" s="25">
        <f t="shared" si="1"/>
        <v>0</v>
      </c>
      <c r="BP5" s="25">
        <f t="shared" si="1"/>
        <v>0</v>
      </c>
      <c r="BQ5" s="25">
        <f t="shared" si="1"/>
        <v>0</v>
      </c>
      <c r="BR5" s="25">
        <f t="shared" si="1"/>
        <v>492.38999999999993</v>
      </c>
      <c r="BS5" s="25">
        <f t="shared" si="1"/>
        <v>0</v>
      </c>
      <c r="BT5" s="26">
        <f t="shared" si="1"/>
        <v>0</v>
      </c>
    </row>
    <row r="6" spans="1:72" s="33" customFormat="1" ht="13.2">
      <c r="A6" s="22" t="s">
        <v>135</v>
      </c>
      <c r="B6" s="27"/>
      <c r="C6" s="27"/>
      <c r="D6" s="28"/>
      <c r="E6" s="23">
        <f>H6+AC6+AT6</f>
        <v>18738.04</v>
      </c>
      <c r="F6" s="23" t="s">
        <v>0</v>
      </c>
      <c r="G6" s="23" t="s">
        <v>1</v>
      </c>
      <c r="H6" s="29">
        <f>SUMIF(I$12:AB$12,"总值",I6:AB6)</f>
        <v>18116.11</v>
      </c>
      <c r="I6" s="23">
        <f t="shared" ref="I6:AB6" si="2">ROUND($A$3*I5/$B$3,2)</f>
        <v>16121.58</v>
      </c>
      <c r="J6" s="23">
        <f t="shared" si="2"/>
        <v>13186.06</v>
      </c>
      <c r="K6" s="23">
        <f t="shared" si="2"/>
        <v>0</v>
      </c>
      <c r="L6" s="23">
        <f t="shared" si="2"/>
        <v>0</v>
      </c>
      <c r="M6" s="23">
        <f t="shared" si="2"/>
        <v>1609.65</v>
      </c>
      <c r="N6" s="23">
        <f t="shared" si="2"/>
        <v>0</v>
      </c>
      <c r="O6" s="23">
        <f t="shared" si="2"/>
        <v>384.88</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621.92999999999995</v>
      </c>
      <c r="AD6" s="23">
        <f t="shared" ref="AD6:AS6" si="3">ROUND($A$3*AD5/$B$3,2)</f>
        <v>0</v>
      </c>
      <c r="AE6" s="23">
        <f t="shared" si="3"/>
        <v>0</v>
      </c>
      <c r="AF6" s="23">
        <f t="shared" si="3"/>
        <v>381.01</v>
      </c>
      <c r="AG6" s="23">
        <f t="shared" si="3"/>
        <v>0</v>
      </c>
      <c r="AH6" s="23">
        <f t="shared" si="3"/>
        <v>0</v>
      </c>
      <c r="AI6" s="23">
        <f t="shared" si="3"/>
        <v>0</v>
      </c>
      <c r="AJ6" s="23">
        <f t="shared" si="3"/>
        <v>0</v>
      </c>
      <c r="AK6" s="23">
        <f t="shared" si="3"/>
        <v>0</v>
      </c>
      <c r="AL6" s="23">
        <f t="shared" si="3"/>
        <v>0</v>
      </c>
      <c r="AM6" s="23">
        <f t="shared" si="3"/>
        <v>0</v>
      </c>
      <c r="AN6" s="23">
        <f t="shared" si="3"/>
        <v>240.92</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5551.97</v>
      </c>
      <c r="AZ6" s="23" t="s">
        <v>2</v>
      </c>
      <c r="BA6" s="23">
        <f>ROUND($AY$6*BA5/$AZ$5,2)</f>
        <v>4930.04</v>
      </c>
      <c r="BB6" s="23">
        <f>ROUND($AY$6*BB5/$AZ$5,2)</f>
        <v>2935.52</v>
      </c>
      <c r="BC6" s="23">
        <f t="shared" ref="BC6:BH6" si="4">ROUND($AY$6*BC5/$AZ$5,2)</f>
        <v>0</v>
      </c>
      <c r="BD6" s="23">
        <f t="shared" si="4"/>
        <v>1609.65</v>
      </c>
      <c r="BE6" s="23">
        <f t="shared" si="4"/>
        <v>384.88</v>
      </c>
      <c r="BF6" s="23">
        <f t="shared" si="4"/>
        <v>0</v>
      </c>
      <c r="BG6" s="23">
        <f t="shared" si="4"/>
        <v>0</v>
      </c>
      <c r="BH6" s="23">
        <f t="shared" si="4"/>
        <v>0</v>
      </c>
      <c r="BI6" s="23">
        <f t="shared" ref="BI6:BT6" si="5">ROUND($AY$6*BI5/$AZ$5,2)</f>
        <v>0</v>
      </c>
      <c r="BJ6" s="23">
        <f t="shared" si="5"/>
        <v>0</v>
      </c>
      <c r="BK6" s="23">
        <f t="shared" si="5"/>
        <v>0</v>
      </c>
      <c r="BL6" s="23">
        <f t="shared" si="5"/>
        <v>621.92999999999995</v>
      </c>
      <c r="BM6" s="23">
        <f t="shared" si="5"/>
        <v>0</v>
      </c>
      <c r="BN6" s="23">
        <f t="shared" si="5"/>
        <v>381.01</v>
      </c>
      <c r="BO6" s="23">
        <f t="shared" si="5"/>
        <v>0</v>
      </c>
      <c r="BP6" s="23">
        <f t="shared" si="5"/>
        <v>0</v>
      </c>
      <c r="BQ6" s="23">
        <f t="shared" si="5"/>
        <v>0</v>
      </c>
      <c r="BR6" s="23">
        <f t="shared" si="5"/>
        <v>240.92</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3348</v>
      </c>
      <c r="J9" s="47"/>
      <c r="K9" s="2304" t="s">
        <v>3348</v>
      </c>
      <c r="L9" s="47"/>
      <c r="M9" s="2304" t="s">
        <v>3349</v>
      </c>
      <c r="N9" s="47"/>
      <c r="O9" s="2304"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2727</v>
      </c>
      <c r="L10" s="47"/>
      <c r="M10" s="2306" t="s">
        <v>2728</v>
      </c>
      <c r="N10" s="47"/>
      <c r="O10" s="2306" t="s">
        <v>2728</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t="s">
        <v>3350</v>
      </c>
      <c r="B13" s="2300"/>
      <c r="C13" s="2300"/>
      <c r="D13" s="2301" t="s">
        <v>3354</v>
      </c>
      <c r="E13" s="23">
        <f t="shared" ref="E13:E20" si="6">IF($C$3="是",ROUND($A$3*G13/$B$3,2),ROUND($A$3*(G13-AT13)/$B$3,2))</f>
        <v>18738.03</v>
      </c>
      <c r="F13" s="76"/>
      <c r="G13" s="77">
        <f t="shared" ref="G13:G20" si="7">H13+AC13+AT13</f>
        <v>41616.929999999993</v>
      </c>
      <c r="H13" s="29">
        <f t="shared" ref="H13:H20" si="8">SUMIF(I$12:AB$12,"总值",I13:AB13)</f>
        <v>37025.799999999996</v>
      </c>
      <c r="I13" s="2303">
        <f>测绘!D14</f>
        <v>32949.379999999997</v>
      </c>
      <c r="J13" s="2303">
        <f>测绘!D14-测绘!D15</f>
        <v>26949.749999999996</v>
      </c>
      <c r="K13" s="2303">
        <f>测绘!E14</f>
        <v>0</v>
      </c>
      <c r="L13" s="2303"/>
      <c r="M13" s="2303">
        <f>测绘!H14</f>
        <v>3289.81</v>
      </c>
      <c r="N13" s="78"/>
      <c r="O13" s="78">
        <f>测绘!I32</f>
        <v>786.61</v>
      </c>
      <c r="P13" s="78"/>
      <c r="Q13" s="78"/>
      <c r="R13" s="78"/>
      <c r="S13" s="78"/>
      <c r="T13" s="78"/>
      <c r="U13" s="78"/>
      <c r="V13" s="78"/>
      <c r="W13" s="78"/>
      <c r="X13" s="78"/>
      <c r="Y13" s="78"/>
      <c r="Z13" s="78"/>
      <c r="AA13" s="78"/>
      <c r="AB13" s="78"/>
      <c r="AC13" s="23">
        <f t="shared" ref="AC13:AC20" si="9">SUMIF(AD$12:AS$12,"总值",AD13:AS13)</f>
        <v>1271.0999999999999</v>
      </c>
      <c r="AD13" s="2307"/>
      <c r="AE13" s="2307"/>
      <c r="AF13" s="2307">
        <f>测绘!K14</f>
        <v>778.71</v>
      </c>
      <c r="AG13" s="2307"/>
      <c r="AH13" s="2307"/>
      <c r="AI13" s="2307"/>
      <c r="AJ13" s="2307"/>
      <c r="AK13" s="2307"/>
      <c r="AL13" s="2307"/>
      <c r="AM13" s="2307"/>
      <c r="AN13" s="2307">
        <f>测绘!J14</f>
        <v>492.38999999999993</v>
      </c>
      <c r="AO13" s="2307"/>
      <c r="AP13" s="2307"/>
      <c r="AQ13" s="2307"/>
      <c r="AR13" s="2307"/>
      <c r="AS13" s="2307"/>
      <c r="AT13" s="2308">
        <f>测绘!L14</f>
        <v>3320.03</v>
      </c>
      <c r="AU13" s="2309"/>
      <c r="AV13" s="14" t="str">
        <f t="shared" ref="AV13:AX20" si="10">A13</f>
        <v>15地块</v>
      </c>
      <c r="AW13" s="14">
        <f t="shared" si="10"/>
        <v>0</v>
      </c>
      <c r="AX13" s="14">
        <f t="shared" si="10"/>
        <v>0</v>
      </c>
      <c r="AY13" s="910">
        <f t="shared" ref="AY13:AY20" si="11">ROUND($AY$6*AZ13/$AZ$5,2)</f>
        <v>5551.97</v>
      </c>
      <c r="AZ13" s="23">
        <f t="shared" ref="AZ13:AZ20" si="12">BA13+BL13</f>
        <v>11347.150000000001</v>
      </c>
      <c r="BA13" s="23">
        <f t="shared" ref="BA13:BA20" si="13">SUM(BB13:BK13)</f>
        <v>10076.050000000001</v>
      </c>
      <c r="BB13" s="23">
        <f t="shared" ref="BB13:BB20" si="14">IF($D13="是",I13-J13,0)</f>
        <v>5999.630000000001</v>
      </c>
      <c r="BC13" s="23">
        <f t="shared" ref="BC13:BC20" si="15">IF($D13="是",K13-L13,0)</f>
        <v>0</v>
      </c>
      <c r="BD13" s="23">
        <f t="shared" ref="BD13:BD20" si="16">IF($D13="是",M13-N13,0)</f>
        <v>3289.81</v>
      </c>
      <c r="BE13" s="23">
        <f t="shared" ref="BE13:BE20" si="17">IF($D13="是",O13-P13,0)</f>
        <v>786.61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1271.0999999999999</v>
      </c>
      <c r="BM13" s="23">
        <f t="shared" ref="BM13:BM20" si="25">IF($D13="是",AD13-AE13,0)</f>
        <v>0</v>
      </c>
      <c r="BN13" s="23">
        <f t="shared" ref="BN13:BN20" si="26">IF($D13="是",AF13-AG13,0)</f>
        <v>778.71</v>
      </c>
      <c r="BO13" s="23">
        <f t="shared" ref="BO13:BO20" si="27">IF($D13="是",AH13-AI13,0)</f>
        <v>0</v>
      </c>
      <c r="BP13" s="23">
        <f t="shared" ref="BP13:BP20" si="28">IF($D13="是",AJ13-AK13,0)</f>
        <v>0</v>
      </c>
      <c r="BQ13" s="23">
        <f t="shared" ref="BQ13:BQ20" si="29">IF($D13="是",AL13-AM13,0)</f>
        <v>0</v>
      </c>
      <c r="BR13" s="23">
        <f t="shared" ref="BR13:BR20" si="30">IF($D13="是",AN13-AO13,0)</f>
        <v>492.38999999999993</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3" t="s">
        <v>169</v>
      </c>
      <c r="B2" s="3503"/>
      <c r="C2" s="3503"/>
      <c r="D2" s="1631" t="s">
        <v>170</v>
      </c>
      <c r="E2" s="97" t="s">
        <v>171</v>
      </c>
      <c r="F2" s="2610"/>
      <c r="G2" s="1042"/>
      <c r="H2" s="1043"/>
      <c r="I2" s="1044" t="s">
        <v>795</v>
      </c>
      <c r="J2" s="2610"/>
      <c r="K2" s="2610"/>
      <c r="L2" s="2610"/>
      <c r="M2" s="2610"/>
      <c r="N2" s="2610"/>
      <c r="O2" s="2610"/>
      <c r="P2" s="2610"/>
    </row>
    <row r="3" spans="1:16" ht="15" thickBot="1">
      <c r="A3" s="3504" t="s">
        <v>172</v>
      </c>
      <c r="B3" s="3504"/>
      <c r="C3" s="3504"/>
      <c r="D3" s="98">
        <f>'数据-基础表'!AY6</f>
        <v>5551.97</v>
      </c>
      <c r="E3" s="98">
        <f>'数据-基础表'!AZ5</f>
        <v>11347.150000000001</v>
      </c>
      <c r="F3" s="2610"/>
      <c r="G3" s="106" t="s">
        <v>796</v>
      </c>
      <c r="H3" s="102" t="s">
        <v>797</v>
      </c>
      <c r="I3" s="997">
        <f>ROUND('数据-基础表'!B3/'数据-基础表'!A3,2)</f>
        <v>2.04</v>
      </c>
      <c r="J3" s="2610"/>
      <c r="K3" s="2610"/>
      <c r="L3" s="2610"/>
      <c r="M3" s="2610"/>
      <c r="N3" s="2610"/>
      <c r="O3" s="2610"/>
      <c r="P3" s="2610"/>
    </row>
    <row r="4" spans="1:16" ht="14.4">
      <c r="A4" s="3505"/>
      <c r="B4" s="3506"/>
      <c r="C4" s="3507"/>
      <c r="D4" s="99" t="s">
        <v>170</v>
      </c>
      <c r="E4" s="100" t="s">
        <v>171</v>
      </c>
      <c r="F4" s="2610"/>
      <c r="G4" s="119"/>
      <c r="H4" s="102" t="s">
        <v>798</v>
      </c>
      <c r="I4" s="997">
        <f>ROUND(SUMIF('数据-基础表'!I9:AS9,"地上",'数据-基础表'!I5:AS5)/'数据-基础表'!A3,2)</f>
        <v>1.62</v>
      </c>
      <c r="J4" s="2610"/>
      <c r="K4" s="2610"/>
      <c r="L4" s="2610"/>
      <c r="M4" s="2610"/>
      <c r="N4" s="2610"/>
      <c r="O4" s="2610"/>
      <c r="P4" s="2610"/>
    </row>
    <row r="5" spans="1:16" ht="14.4">
      <c r="A5" s="101" t="s">
        <v>173</v>
      </c>
      <c r="B5" s="3508" t="s">
        <v>196</v>
      </c>
      <c r="C5" s="3508"/>
      <c r="D5" s="102">
        <f>ROUND($D$3*E5/$E$3,2)</f>
        <v>2935.52</v>
      </c>
      <c r="E5" s="103">
        <f>SUMIF('数据-基础表'!$11:$11,"住宅",'数据-基础表'!$5:$5)</f>
        <v>5999.630000000001</v>
      </c>
      <c r="F5" s="2610"/>
      <c r="G5" s="106" t="s">
        <v>799</v>
      </c>
      <c r="H5" s="102" t="s">
        <v>797</v>
      </c>
      <c r="I5" s="997">
        <f>ROUND(E31/D31,2)</f>
        <v>2.04</v>
      </c>
      <c r="J5" s="2610"/>
      <c r="K5" s="2610"/>
      <c r="L5" s="2610"/>
      <c r="M5" s="2610"/>
      <c r="N5" s="2610"/>
      <c r="O5" s="2610"/>
      <c r="P5" s="2610"/>
    </row>
    <row r="6" spans="1:16" ht="15" thickBot="1">
      <c r="A6" s="104"/>
      <c r="B6" s="3508" t="s">
        <v>174</v>
      </c>
      <c r="C6" s="3508"/>
      <c r="D6" s="102">
        <f>ROUND($D$3*E6/$E$3,2)</f>
        <v>2616.4499999999998</v>
      </c>
      <c r="E6" s="103">
        <f>E3-E5</f>
        <v>5347.52</v>
      </c>
      <c r="F6" s="2610"/>
      <c r="G6" s="119"/>
      <c r="H6" s="102" t="s">
        <v>798</v>
      </c>
      <c r="I6" s="997">
        <f>ROUND(F31/D31,2)</f>
        <v>1.08</v>
      </c>
      <c r="J6" s="2610"/>
      <c r="K6" s="2610"/>
      <c r="L6" s="2610"/>
      <c r="M6" s="2610"/>
      <c r="N6" s="2610"/>
      <c r="O6" s="2610"/>
      <c r="P6" s="2610"/>
    </row>
    <row r="7" spans="1:16" ht="14.4">
      <c r="A7" s="3500"/>
      <c r="B7" s="3501"/>
      <c r="C7" s="3502"/>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2935.52</v>
      </c>
      <c r="E8" s="107">
        <f>SUMIF('数据-基础表'!BB10:BK10,"地上",'数据-基础表'!BB5:BK5)</f>
        <v>5999.630000000001</v>
      </c>
      <c r="F8" s="2610"/>
      <c r="G8" s="2610"/>
      <c r="H8" s="2610"/>
      <c r="I8" s="2610"/>
      <c r="J8" s="2610"/>
      <c r="K8" s="2610"/>
      <c r="L8" s="2610"/>
      <c r="M8" s="2610"/>
      <c r="N8" s="2610"/>
      <c r="O8" s="2610"/>
      <c r="P8" s="2610"/>
    </row>
    <row r="9" spans="1:16" ht="14.4">
      <c r="A9" s="108"/>
      <c r="B9" s="109"/>
      <c r="C9" s="102" t="s">
        <v>178</v>
      </c>
      <c r="D9" s="102">
        <f t="shared" si="0"/>
        <v>0</v>
      </c>
      <c r="E9" s="110">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1691</v>
      </c>
      <c r="D13" s="102">
        <f t="shared" si="0"/>
        <v>1994.52</v>
      </c>
      <c r="E13" s="107">
        <f>SUMPRODUCT(('数据-基础表'!BB10:BK10="地下")*('数据-基础表'!BB11:BK11="车库")*('数据-基础表'!BB5:BK5))</f>
        <v>4076.42</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4930.04</v>
      </c>
      <c r="E16" s="111">
        <f>SUM(E8:E15)</f>
        <v>10076.050000000001</v>
      </c>
      <c r="F16" s="2610"/>
      <c r="G16" s="2610"/>
      <c r="H16" s="883" t="s">
        <v>185</v>
      </c>
      <c r="I16" s="884"/>
      <c r="J16" s="1633"/>
      <c r="K16" s="3494" t="s">
        <v>1849</v>
      </c>
      <c r="L16" s="3495"/>
      <c r="M16" s="3495"/>
      <c r="N16" s="3495"/>
      <c r="O16" s="3495"/>
      <c r="P16" s="3496"/>
    </row>
    <row r="17" spans="1:19" ht="14.4">
      <c r="A17" s="112" t="s">
        <v>182</v>
      </c>
      <c r="B17" s="113" t="s">
        <v>183</v>
      </c>
      <c r="C17" s="1886" t="s">
        <v>1670</v>
      </c>
      <c r="D17" s="99" t="s">
        <v>170</v>
      </c>
      <c r="E17" s="115" t="s">
        <v>171</v>
      </c>
      <c r="F17" s="116"/>
      <c r="G17" s="1159"/>
      <c r="H17" s="885" t="s">
        <v>184</v>
      </c>
      <c r="I17" s="886" t="s">
        <v>1669</v>
      </c>
      <c r="J17" s="1633"/>
      <c r="K17" s="3497" t="s">
        <v>1850</v>
      </c>
      <c r="L17" s="3498"/>
      <c r="M17" s="3499"/>
      <c r="N17" s="3497" t="s">
        <v>1851</v>
      </c>
      <c r="O17" s="3498"/>
      <c r="P17" s="3499"/>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3351</v>
      </c>
      <c r="D19" s="102">
        <f t="shared" ref="D19:D26" si="1">ROUND($D$3*E19/$E$3,2)</f>
        <v>2935.52</v>
      </c>
      <c r="E19" s="124">
        <f t="shared" ref="E19:E26" si="2">SUM(F19:G19)</f>
        <v>5999.630000000001</v>
      </c>
      <c r="F19" s="2611">
        <f>'数据-基础表'!I5-'数据-基础表'!J5</f>
        <v>5999.630000000001</v>
      </c>
      <c r="G19" s="2612"/>
      <c r="H19" s="889">
        <f>ROUND($D$3*I19/$E$3,2)</f>
        <v>524.46</v>
      </c>
      <c r="I19" s="107">
        <f>IF($I$17="自定义",P19,M19)</f>
        <v>1071.9000000000001</v>
      </c>
      <c r="J19" s="1633"/>
      <c r="K19" s="889">
        <f t="shared" ref="K19:K26" si="3">ROUND(E$28*E19/E$27,2)</f>
        <v>293.19</v>
      </c>
      <c r="L19" s="102">
        <f t="shared" ref="L19:L26" si="4">ROUND(IF(COUNTIF(C19,"*住宅*")&gt;0,E$29*E19/E$32,0),2)</f>
        <v>778.71</v>
      </c>
      <c r="M19" s="107">
        <f>K19+L19</f>
        <v>1071.9000000000001</v>
      </c>
      <c r="N19" s="2066"/>
      <c r="O19" s="2067"/>
      <c r="P19" s="2068">
        <f>N19+O19</f>
        <v>0</v>
      </c>
      <c r="R19" s="102">
        <f t="shared" ref="R19:S26" si="5">D19+H19</f>
        <v>3459.98</v>
      </c>
      <c r="S19" s="124">
        <f t="shared" si="5"/>
        <v>7071.5300000000007</v>
      </c>
    </row>
    <row r="20" spans="1:19" ht="14.4">
      <c r="A20" s="123"/>
      <c r="B20" s="106" t="s">
        <v>192</v>
      </c>
      <c r="C20" s="2310" t="s">
        <v>3353</v>
      </c>
      <c r="D20" s="102">
        <f t="shared" si="1"/>
        <v>1609.65</v>
      </c>
      <c r="E20" s="124">
        <f t="shared" si="2"/>
        <v>3289.81</v>
      </c>
      <c r="F20" s="2611"/>
      <c r="G20" s="2612">
        <f>'数据-基础表'!M5</f>
        <v>3289.81</v>
      </c>
      <c r="H20" s="889">
        <f t="shared" ref="H20:H26" si="6">ROUND($D$3*I20/$E$3,2)</f>
        <v>78.66</v>
      </c>
      <c r="I20" s="107">
        <f t="shared" ref="I20:I26" si="7">IF($I$17="自定义",P20,M20)</f>
        <v>160.76</v>
      </c>
      <c r="J20" s="1633"/>
      <c r="K20" s="889">
        <f t="shared" si="3"/>
        <v>160.76</v>
      </c>
      <c r="L20" s="102">
        <f t="shared" si="4"/>
        <v>0</v>
      </c>
      <c r="M20" s="107">
        <f t="shared" ref="M20:M26" si="8">K20+L20</f>
        <v>160.76</v>
      </c>
      <c r="N20" s="2066"/>
      <c r="O20" s="2067"/>
      <c r="P20" s="2068">
        <f t="shared" ref="P20:P26" si="9">N20+O20</f>
        <v>0</v>
      </c>
      <c r="R20" s="102">
        <f t="shared" si="5"/>
        <v>1688.3100000000002</v>
      </c>
      <c r="S20" s="124">
        <f t="shared" si="5"/>
        <v>3450.5699999999997</v>
      </c>
    </row>
    <row r="21" spans="1:19" ht="14.4">
      <c r="A21" s="123"/>
      <c r="B21" s="106" t="s">
        <v>192</v>
      </c>
      <c r="C21" s="2310" t="s">
        <v>3352</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ht="14.4">
      <c r="A22" s="123"/>
      <c r="B22" s="106" t="s">
        <v>192</v>
      </c>
      <c r="C22" s="3081" t="s">
        <v>3513</v>
      </c>
      <c r="D22" s="102">
        <f t="shared" si="1"/>
        <v>384.88</v>
      </c>
      <c r="E22" s="124">
        <f t="shared" si="2"/>
        <v>786.61</v>
      </c>
      <c r="F22" s="2613"/>
      <c r="G22" s="2614">
        <f>'数据-基础表'!O13</f>
        <v>786.61</v>
      </c>
      <c r="H22" s="889">
        <f t="shared" si="6"/>
        <v>18.809999999999999</v>
      </c>
      <c r="I22" s="107">
        <f t="shared" si="7"/>
        <v>38.44</v>
      </c>
      <c r="J22" s="1633"/>
      <c r="K22" s="889">
        <f t="shared" si="3"/>
        <v>38.44</v>
      </c>
      <c r="L22" s="102">
        <f t="shared" si="4"/>
        <v>0</v>
      </c>
      <c r="M22" s="107">
        <f t="shared" si="8"/>
        <v>38.44</v>
      </c>
      <c r="N22" s="2066"/>
      <c r="O22" s="2067"/>
      <c r="P22" s="2068">
        <f t="shared" si="9"/>
        <v>0</v>
      </c>
      <c r="R22" s="102">
        <f t="shared" si="5"/>
        <v>403.69</v>
      </c>
      <c r="S22" s="124">
        <f t="shared" si="5"/>
        <v>825.05</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8.2" thickBot="1">
      <c r="A27" s="123"/>
      <c r="B27" s="102"/>
      <c r="C27" s="118" t="s">
        <v>181</v>
      </c>
      <c r="D27" s="124">
        <f>SUM(D19:D26)</f>
        <v>4930.05</v>
      </c>
      <c r="E27" s="129">
        <f>IF(SUM(E19:E26)='数据-基础表'!BA5,SUM(E19:E26),IF(F27="地上面积有误","面积有误","地下面积有误"))</f>
        <v>10076.050000000001</v>
      </c>
      <c r="F27" s="124">
        <f>IF(SUM(F19:F26)=E8,SUM(F19:F26),"地上面积有误")</f>
        <v>5999.630000000001</v>
      </c>
      <c r="G27" s="103">
        <f>SUM(G19:G26)</f>
        <v>4076.42</v>
      </c>
      <c r="H27" s="890">
        <f>SUM(H19:H26)</f>
        <v>621.92999999999995</v>
      </c>
      <c r="I27" s="891">
        <f>SUM(I19:I26)</f>
        <v>1271.1000000000001</v>
      </c>
      <c r="J27" s="1633"/>
      <c r="K27" s="2072">
        <f t="shared" ref="K27:P27" si="10">SUM(K19:K26)</f>
        <v>492.39</v>
      </c>
      <c r="L27" s="2073">
        <f t="shared" si="10"/>
        <v>778.71</v>
      </c>
      <c r="M27" s="2074">
        <f t="shared" si="10"/>
        <v>1271.1000000000001</v>
      </c>
      <c r="N27" s="2072">
        <f t="shared" si="10"/>
        <v>0</v>
      </c>
      <c r="O27" s="2073">
        <f t="shared" si="10"/>
        <v>0</v>
      </c>
      <c r="P27" s="194">
        <f t="shared" si="10"/>
        <v>0</v>
      </c>
      <c r="R27" s="1892" t="str">
        <f>IF(SUM(R19:R26)=$D$3,SUM(R19:R26),SUM(R19:R26)&amp;"误差"&amp;ROUND(SUM(R19:R26)-$D$3,2))</f>
        <v>5551.98误差0.01</v>
      </c>
      <c r="S27" s="102">
        <f>IF(SUM(S19:S26)=$E$3,SUM(S19:S26),SUM(S19:S26)&amp;"误差"&amp;ROUND(SUM(S19:S26)-E3,2))</f>
        <v>11347.15</v>
      </c>
    </row>
    <row r="28" spans="1:19" ht="14.4">
      <c r="A28" s="123"/>
      <c r="B28" s="106" t="s">
        <v>193</v>
      </c>
      <c r="C28" s="125" t="s">
        <v>194</v>
      </c>
      <c r="D28" s="102">
        <f>ROUND($D$3*E28/$E$3,2)</f>
        <v>240.92</v>
      </c>
      <c r="E28" s="124">
        <f>SUM(F28:G28)</f>
        <v>492.38999999999993</v>
      </c>
      <c r="F28" s="125">
        <f>'数据-基础表'!BQ5+'数据-基础表'!BS5</f>
        <v>0</v>
      </c>
      <c r="G28" s="130">
        <f>'数据-基础表'!BR5+'数据-基础表'!BT5</f>
        <v>492.38999999999993</v>
      </c>
      <c r="H28" s="2610"/>
      <c r="I28" s="2610"/>
      <c r="J28" s="2610"/>
      <c r="K28" s="2610"/>
      <c r="L28" s="2610"/>
      <c r="M28" s="2610"/>
      <c r="N28" s="2610"/>
      <c r="O28" s="2610"/>
      <c r="P28" s="2610"/>
    </row>
    <row r="29" spans="1:19" ht="14.4">
      <c r="A29" s="123"/>
      <c r="B29" s="106" t="s">
        <v>193</v>
      </c>
      <c r="C29" s="1900" t="s">
        <v>1677</v>
      </c>
      <c r="D29" s="102">
        <f>ROUND($D$3*E29/$E$3,2)</f>
        <v>381.01</v>
      </c>
      <c r="E29" s="124">
        <f>SUM(F29:G29)</f>
        <v>778.71</v>
      </c>
      <c r="F29" s="125">
        <f>'数据-基础表'!BM5+'数据-基础表'!BO5</f>
        <v>0</v>
      </c>
      <c r="G29" s="111">
        <f>'数据-基础表'!BN5+'数据-基础表'!BP5</f>
        <v>778.71</v>
      </c>
      <c r="H29" s="2610"/>
      <c r="I29" s="2610"/>
      <c r="J29" s="2610"/>
      <c r="K29" s="2610"/>
      <c r="L29" s="2610"/>
      <c r="M29" s="2610"/>
      <c r="N29" s="2610"/>
      <c r="O29" s="2610"/>
      <c r="P29" s="2610"/>
    </row>
    <row r="30" spans="1:19" ht="14.4">
      <c r="A30" s="123"/>
      <c r="B30" s="102"/>
      <c r="C30" s="131" t="s">
        <v>181</v>
      </c>
      <c r="D30" s="124">
        <f>SUM(D28:D29)</f>
        <v>621.92999999999995</v>
      </c>
      <c r="E30" s="124">
        <f>SUM(E28:E29)</f>
        <v>1271.0999999999999</v>
      </c>
      <c r="F30" s="124">
        <f>SUM(F28:F29)</f>
        <v>0</v>
      </c>
      <c r="G30" s="103">
        <f>SUM(G28:G29)</f>
        <v>1271.0999999999999</v>
      </c>
      <c r="H30" s="2610"/>
      <c r="I30" s="2610"/>
      <c r="J30" s="2610"/>
      <c r="K30" s="2610"/>
      <c r="L30" s="2610"/>
      <c r="M30" s="2610"/>
      <c r="N30" s="2610"/>
      <c r="O30" s="2610"/>
      <c r="P30" s="2610"/>
    </row>
    <row r="31" spans="1:19" ht="32.25" customHeight="1" thickBot="1">
      <c r="A31" s="1161"/>
      <c r="B31" s="1162" t="s">
        <v>195</v>
      </c>
      <c r="C31" s="1917" t="s">
        <v>1679</v>
      </c>
      <c r="D31" s="1163">
        <f>D27+D30</f>
        <v>5551.9800000000005</v>
      </c>
      <c r="E31" s="1163">
        <f>E27+E30</f>
        <v>11347.150000000001</v>
      </c>
      <c r="F31" s="1164">
        <f>F27+F30</f>
        <v>5999.630000000001</v>
      </c>
      <c r="G31" s="1165">
        <f>G27+G30</f>
        <v>5347.52</v>
      </c>
      <c r="H31" s="2610"/>
      <c r="I31" s="2610"/>
      <c r="J31" s="2610"/>
      <c r="K31" s="2610"/>
      <c r="L31" s="2610"/>
      <c r="M31" s="2610"/>
      <c r="N31" s="2610"/>
      <c r="O31" s="2610"/>
      <c r="P31" s="2610"/>
    </row>
    <row r="32" spans="1:19" ht="14.4">
      <c r="A32" s="1633"/>
      <c r="B32" s="1929" t="s">
        <v>1678</v>
      </c>
      <c r="C32" s="2087"/>
      <c r="D32" s="119"/>
      <c r="E32" s="119">
        <f>SUMIF(C19:C26,"*住宅*",E19:E26)</f>
        <v>5999.630000000001</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M17" sqref="M17"/>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5999.630000000001</v>
      </c>
      <c r="L6" s="2312">
        <v>6500</v>
      </c>
      <c r="M6" s="161">
        <f t="shared" ref="M6:M14" si="1">ROUND(K6*L6/10000,0)</f>
        <v>3900</v>
      </c>
      <c r="N6" s="2313">
        <v>0</v>
      </c>
      <c r="O6" s="161">
        <f>IF($N$5="成新度","——",ROUND(M6*N6,0))</f>
        <v>0</v>
      </c>
      <c r="P6" s="162">
        <f>IF($N$5="成新度","——",M6-O6)</f>
        <v>3900</v>
      </c>
      <c r="Q6" s="2314">
        <v>0.2</v>
      </c>
      <c r="R6" s="163">
        <f>SUMIF('数据-汇总表'!C$19:C$33,A6,'数据-汇总表'!R$19:R$33)</f>
        <v>3459.98</v>
      </c>
      <c r="S6" s="122">
        <f>IF('数据-汇总表'!$I$17="按面积比例",SUMIF('数据-汇总表'!C$19:C$33,A6,'数据-汇总表'!K$19:K$33),SUMIF('数据-汇总表'!C$19:C$33,A6,'数据-汇总表'!N$19:N$33))</f>
        <v>293.19</v>
      </c>
      <c r="T6" s="1827">
        <f>IF($T$4="按面积比例",IF(ISERROR(ROUND($M$14*S6/S$16,0)),"0",ROUND($M$14*S6/S$16,0)),"需自行计算录入")</f>
        <v>132</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2728</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3289.81</v>
      </c>
      <c r="L7" s="2312">
        <v>4500</v>
      </c>
      <c r="M7" s="161">
        <f t="shared" si="1"/>
        <v>1480</v>
      </c>
      <c r="N7" s="2313">
        <v>0</v>
      </c>
      <c r="O7" s="161">
        <f t="shared" ref="O7:O14" si="3">IF($N$5="成新度","——",ROUND(M7*N7,0))</f>
        <v>0</v>
      </c>
      <c r="P7" s="162">
        <f t="shared" ref="P7:P14" si="4">IF($N$5="成新度","——",M7-O7)</f>
        <v>1480</v>
      </c>
      <c r="Q7" s="2314">
        <v>0.1</v>
      </c>
      <c r="R7" s="163">
        <f>SUMIF('数据-汇总表'!C$19:C$33,A7,'数据-汇总表'!R$19:R$33)</f>
        <v>1688.3100000000002</v>
      </c>
      <c r="S7" s="122">
        <f>IF('数据-汇总表'!$I$17="按面积比例",SUMIF('数据-汇总表'!C$19:C$33,A7,'数据-汇总表'!K$19:K$33),SUMIF('数据-汇总表'!C$19:C$33,A7,'数据-汇总表'!N$19:N$33))</f>
        <v>160.76</v>
      </c>
      <c r="T7" s="1827">
        <f t="shared" ref="T7:T13" si="5">IF($T$4="按面积比例",IF(ISERROR(ROUND($M$14*S7/S$16,0)),"0",ROUND($M$14*S7/S$16,0)),"需自行计算录入")</f>
        <v>72</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测绘!H15</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2727</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0</v>
      </c>
      <c r="L8" s="2312">
        <v>4500</v>
      </c>
      <c r="M8" s="161">
        <f>ROUND(K8*L8/10000,0)</f>
        <v>0</v>
      </c>
      <c r="N8" s="2313">
        <v>0</v>
      </c>
      <c r="O8" s="161">
        <f t="shared" si="3"/>
        <v>0</v>
      </c>
      <c r="P8" s="162">
        <f t="shared" si="4"/>
        <v>0</v>
      </c>
      <c r="Q8" s="2314">
        <v>0.15</v>
      </c>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机械车位</v>
      </c>
      <c r="B9" s="1924" t="str">
        <f t="shared" si="2"/>
        <v>经营性</v>
      </c>
      <c r="C9" s="157" t="s">
        <v>2728</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786.61</v>
      </c>
      <c r="L9" s="2312">
        <f>L7</f>
        <v>4500</v>
      </c>
      <c r="M9" s="161">
        <f t="shared" si="1"/>
        <v>354</v>
      </c>
      <c r="N9" s="2313">
        <f>N8</f>
        <v>0</v>
      </c>
      <c r="O9" s="161">
        <f t="shared" si="3"/>
        <v>0</v>
      </c>
      <c r="P9" s="162">
        <f t="shared" si="4"/>
        <v>354</v>
      </c>
      <c r="Q9" s="175">
        <f>Q7</f>
        <v>0.1</v>
      </c>
      <c r="R9" s="163">
        <f>SUMIF('数据-汇总表'!C$19:C$33,A9,'数据-汇总表'!R$19:R$33)</f>
        <v>403.69</v>
      </c>
      <c r="S9" s="122">
        <f>IF('数据-汇总表'!$I$17="按面积比例",SUMIF('数据-汇总表'!C$19:C$33,A9,'数据-汇总表'!K$19:K$33),SUMIF('数据-汇总表'!C$19:C$33,A9,'数据-汇总表'!N$19:N$33))</f>
        <v>38.44</v>
      </c>
      <c r="T9" s="1827">
        <f t="shared" si="5"/>
        <v>17</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492.38999999999993</v>
      </c>
      <c r="L14" s="176">
        <v>4500</v>
      </c>
      <c r="M14" s="161">
        <f t="shared" si="1"/>
        <v>222</v>
      </c>
      <c r="N14" s="177">
        <v>0</v>
      </c>
      <c r="O14" s="161">
        <f t="shared" si="3"/>
        <v>0</v>
      </c>
      <c r="P14" s="162">
        <f t="shared" si="4"/>
        <v>222</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778.71</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11347.150000000001</v>
      </c>
      <c r="L16" s="187">
        <f>ROUND(M16*10000/SUM(K6:K14),0)</f>
        <v>5636</v>
      </c>
      <c r="M16" s="187">
        <f>SUM(M6:M14)</f>
        <v>5956</v>
      </c>
      <c r="N16" s="188">
        <f>ROUND(SUMPRODUCT(M6:M14,N6:N14)/M16,3)</f>
        <v>0</v>
      </c>
      <c r="O16" s="187">
        <f>SUM(O6:O14)</f>
        <v>0</v>
      </c>
      <c r="P16" s="187">
        <f>SUM(P6:P14)</f>
        <v>5956</v>
      </c>
      <c r="Q16" s="189">
        <f>ROUND(SUMPRODUCT(Q6:Q13,K6:K13)/SUMPRODUCT((Q6:Q13&gt;0)*(K6:K13)),2)</f>
        <v>0.16</v>
      </c>
      <c r="R16" s="1898">
        <f>SUM(R6:R13)</f>
        <v>5551.98</v>
      </c>
      <c r="S16" s="190">
        <f>SUM(S6:S13)</f>
        <v>492.39</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0.91300000000000003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2261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2262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7.0000000000000007E-2</v>
      </c>
      <c r="C33" s="2632" t="s">
        <v>3257</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0.05</v>
      </c>
      <c r="C34" s="2632" t="s">
        <v>2254</v>
      </c>
      <c r="D34" s="2633" t="s">
        <v>2259</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2255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3300</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3258</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2.5000000000000001E-2</v>
      </c>
      <c r="C38" s="2632" t="s">
        <v>3259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2276</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3260</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2256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2257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2256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2165</v>
      </c>
      <c r="D53" s="2636" t="s">
        <v>2260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2166</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2167</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2168</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2169</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2170</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2171</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2172</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2173</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2174</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2175</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6:T15">
    <cfRule type="expression" dxfId="147" priority="1" stopIfTrue="1">
      <formula>$T$4="按面积比例"</formula>
    </cfRule>
    <cfRule type="containsText" dxfId="146" priority="12" stopIfTrue="1" operator="containsText" text="自行计算">
      <formula>NOT(ISERROR(SEARCH("自行计算",T6)))</formula>
    </cfRule>
    <cfRule type="containsText" dxfId="145" priority="13" stopIfTrue="1" operator="containsText" text="自行计算">
      <formula>NOT(ISERROR(SEARCH("自行计算",T6)))</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fRule type="containsText" dxfId="142" priority="4" stopIfTrue="1" operator="containsText" text="自行计算">
      <formula>NOT(ISERROR(SEARCH("自行计算",T12)))</formula>
    </cfRule>
    <cfRule type="containsText" dxfId="141"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09" t="s">
        <v>1198</v>
      </c>
      <c r="B1" s="3510"/>
      <c r="C1" s="3510"/>
      <c r="D1" s="3510"/>
      <c r="E1" s="3510"/>
      <c r="F1" s="3510"/>
      <c r="G1" s="3510"/>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5" t="s">
        <v>3459</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5" t="s">
        <v>3459</v>
      </c>
      <c r="D6" s="2648"/>
      <c r="E6" s="2654"/>
      <c r="F6" s="2652" t="s">
        <v>1830</v>
      </c>
      <c r="G6" s="2656"/>
      <c r="H6" s="2645"/>
      <c r="I6" s="2645"/>
      <c r="J6" s="2645"/>
      <c r="K6" s="2645"/>
      <c r="L6" s="2645"/>
      <c r="M6" s="2645"/>
      <c r="N6" s="2645"/>
      <c r="O6" s="2645"/>
      <c r="P6" s="2645"/>
      <c r="Q6" s="2645"/>
    </row>
    <row r="7" spans="1:18" ht="15" thickBot="1">
      <c r="A7" s="2649"/>
      <c r="B7" s="2652" t="s">
        <v>1829</v>
      </c>
      <c r="C7" s="3415" t="s">
        <v>3459</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3459</v>
      </c>
      <c r="D9" s="2648"/>
      <c r="E9" s="2657"/>
      <c r="F9" s="2661"/>
      <c r="G9" s="2661"/>
      <c r="H9" s="2645"/>
      <c r="I9" s="2645"/>
      <c r="J9" s="2645"/>
      <c r="K9" s="2645"/>
      <c r="L9" s="2645"/>
      <c r="M9" s="2645"/>
      <c r="N9" s="2645"/>
      <c r="O9" s="2645"/>
      <c r="P9" s="2645"/>
      <c r="Q9" s="2645"/>
    </row>
    <row r="10" spans="1:18" ht="15" thickBot="1">
      <c r="A10" s="2662"/>
      <c r="B10" s="2663" t="s">
        <v>1206</v>
      </c>
      <c r="C10" s="3417" t="s">
        <v>3460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M20" sqref="M20"/>
    </sheetView>
  </sheetViews>
  <sheetFormatPr defaultColWidth="14.6640625" defaultRowHeight="14.4"/>
  <cols>
    <col min="1" max="1" width="24.33203125" style="2694" customWidth="1"/>
    <col min="2" max="16384" width="14.6640625" style="2694"/>
  </cols>
  <sheetData>
    <row r="1" spans="1:10" ht="15.6">
      <c r="A1" s="2693" t="s">
        <v>2118</v>
      </c>
      <c r="B1" s="2693">
        <f>SUM(B14:B23)</f>
        <v>58842.99</v>
      </c>
      <c r="C1" s="2701"/>
      <c r="D1" s="2701"/>
      <c r="E1" s="2701"/>
      <c r="F1" s="2701"/>
      <c r="G1" s="2702"/>
      <c r="H1" s="2702"/>
      <c r="I1" s="2702"/>
      <c r="J1" s="2702"/>
    </row>
    <row r="2" spans="1:10" ht="15.6">
      <c r="A2" s="2693" t="s">
        <v>2119</v>
      </c>
      <c r="B2" s="2693">
        <f>SUM(C14:C23)</f>
        <v>28478.36</v>
      </c>
      <c r="C2" s="2701"/>
      <c r="D2" s="2701"/>
      <c r="E2" s="2701"/>
      <c r="F2" s="2701"/>
      <c r="G2" s="2702"/>
      <c r="H2" s="2702"/>
      <c r="I2" s="2702"/>
      <c r="J2" s="2702"/>
    </row>
    <row r="3" spans="1:10" ht="15.6">
      <c r="A3" s="2693" t="s">
        <v>2120</v>
      </c>
      <c r="B3" s="2695">
        <f>项目基本情况!D3</f>
        <v>45908</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72735</v>
      </c>
      <c r="C5" s="2693">
        <f ca="1">ROUND(B5*10000/$B$1,0)</f>
        <v>12361</v>
      </c>
      <c r="D5" s="2693">
        <f ca="1">ROUND(B5*10000/$B$2,0)</f>
        <v>25540</v>
      </c>
      <c r="E5" s="2701"/>
      <c r="F5" s="2701"/>
      <c r="G5" s="2702"/>
      <c r="H5" s="2702"/>
      <c r="I5" s="2702"/>
      <c r="J5" s="2702"/>
    </row>
    <row r="6" spans="1:10" ht="15.6">
      <c r="A6" s="2693" t="s">
        <v>2126</v>
      </c>
      <c r="B6" s="2693">
        <f ca="1">SUM(G14:G23)</f>
        <v>72735</v>
      </c>
      <c r="C6" s="2693">
        <f ca="1">ROUND(B6*10000/$B$1,0)</f>
        <v>12361</v>
      </c>
      <c r="D6" s="2693">
        <f ca="1">ROUND(B6*10000/$B$2,0)</f>
        <v>25540</v>
      </c>
      <c r="E6" s="2701"/>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2145</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2144</v>
      </c>
      <c r="B13" s="2697" t="s">
        <v>2118</v>
      </c>
      <c r="C13" s="2697" t="s">
        <v>2119</v>
      </c>
      <c r="D13" s="2697" t="s">
        <v>2131</v>
      </c>
      <c r="E13" s="2693" t="s">
        <v>2143</v>
      </c>
      <c r="F13" s="2693" t="s">
        <v>2124</v>
      </c>
      <c r="G13" s="2697" t="s">
        <v>2132</v>
      </c>
      <c r="H13" s="2697" t="s">
        <v>2133</v>
      </c>
      <c r="I13" s="2697" t="s">
        <v>2134</v>
      </c>
      <c r="J13" s="2702"/>
    </row>
    <row r="14" spans="1:10" ht="15.6">
      <c r="A14" s="2698" t="s">
        <v>3510</v>
      </c>
      <c r="B14" s="2699">
        <f>结果表!L38</f>
        <v>11347.150000000001</v>
      </c>
      <c r="C14" s="2699">
        <f>结果表!K38</f>
        <v>5551.97</v>
      </c>
      <c r="D14" s="2699">
        <f ca="1">结果表!O38</f>
        <v>9612</v>
      </c>
      <c r="E14" s="2699">
        <f ca="1">ROUND(D14*10000/B14,0)</f>
        <v>8471</v>
      </c>
      <c r="F14" s="2699">
        <f ca="1">ROUND(D14*10000/C14,0)</f>
        <v>17313</v>
      </c>
      <c r="G14" s="2699">
        <f ca="1">D14</f>
        <v>9612</v>
      </c>
      <c r="H14" s="2699"/>
      <c r="I14" s="2699"/>
      <c r="J14" s="2702"/>
    </row>
    <row r="15" spans="1:10" ht="15.6">
      <c r="A15" s="2698" t="s">
        <v>3511</v>
      </c>
      <c r="B15" s="2699">
        <f>[2]系统读取表!$B$14</f>
        <v>47495.839999999997</v>
      </c>
      <c r="C15" s="2699">
        <f>[2]系统读取表!$C$14</f>
        <v>22926.39</v>
      </c>
      <c r="D15" s="2699">
        <f ca="1">[2]系统读取表!$D$14</f>
        <v>63123</v>
      </c>
      <c r="E15" s="2699">
        <f t="shared" ref="E15:E23" ca="1" si="0">ROUND(D15*10000/B15,0)</f>
        <v>13290</v>
      </c>
      <c r="F15" s="2699">
        <f t="shared" ref="F15:F23" ca="1" si="1">ROUND(D15*10000/C15,0)</f>
        <v>27533</v>
      </c>
      <c r="G15" s="2326">
        <f ca="1">D15</f>
        <v>63123</v>
      </c>
      <c r="H15" s="2326"/>
      <c r="I15" s="2700"/>
      <c r="J15" s="2702"/>
    </row>
    <row r="16" spans="1:10" ht="15.6">
      <c r="A16" s="2698" t="s">
        <v>2135</v>
      </c>
      <c r="B16" s="2700"/>
      <c r="C16" s="2700"/>
      <c r="D16" s="2700"/>
      <c r="E16" s="2699" t="e">
        <f t="shared" si="0"/>
        <v>#DIV/0!</v>
      </c>
      <c r="F16" s="2699" t="e">
        <f t="shared" si="1"/>
        <v>#DIV/0!</v>
      </c>
      <c r="G16" s="2326"/>
      <c r="H16" s="2326"/>
      <c r="I16" s="2700"/>
      <c r="J16" s="2702"/>
    </row>
    <row r="17" spans="1:10" ht="15.6">
      <c r="A17" s="2698" t="s">
        <v>2136</v>
      </c>
      <c r="B17" s="2700"/>
      <c r="C17" s="2700"/>
      <c r="D17" s="2700"/>
      <c r="E17" s="2699" t="e">
        <f t="shared" si="0"/>
        <v>#DIV/0!</v>
      </c>
      <c r="F17" s="2699" t="e">
        <f t="shared" si="1"/>
        <v>#DIV/0!</v>
      </c>
      <c r="G17" s="2326"/>
      <c r="H17" s="2326"/>
      <c r="I17" s="2700"/>
      <c r="J17" s="2702"/>
    </row>
    <row r="18" spans="1:10" ht="15.6">
      <c r="A18" s="2698" t="s">
        <v>2137</v>
      </c>
      <c r="B18" s="2700"/>
      <c r="C18" s="2700"/>
      <c r="D18" s="2700"/>
      <c r="E18" s="2699" t="e">
        <f t="shared" si="0"/>
        <v>#DIV/0!</v>
      </c>
      <c r="F18" s="2699" t="e">
        <f t="shared" si="1"/>
        <v>#DIV/0!</v>
      </c>
      <c r="G18" s="2700"/>
      <c r="H18" s="2700"/>
      <c r="I18" s="2700"/>
      <c r="J18" s="2702"/>
    </row>
    <row r="19" spans="1:10" ht="15.6">
      <c r="A19" s="2698" t="s">
        <v>2138</v>
      </c>
      <c r="B19" s="2700"/>
      <c r="C19" s="2700"/>
      <c r="D19" s="2700"/>
      <c r="E19" s="2699" t="e">
        <f t="shared" si="0"/>
        <v>#DIV/0!</v>
      </c>
      <c r="F19" s="2699" t="e">
        <f t="shared" si="1"/>
        <v>#DIV/0!</v>
      </c>
      <c r="G19" s="2700"/>
      <c r="H19" s="2700"/>
      <c r="I19" s="2700"/>
      <c r="J19" s="2702"/>
    </row>
    <row r="20" spans="1:10" ht="15.6">
      <c r="A20" s="2698" t="s">
        <v>2139</v>
      </c>
      <c r="B20" s="2700"/>
      <c r="C20" s="2700"/>
      <c r="D20" s="2700"/>
      <c r="E20" s="2699" t="e">
        <f t="shared" si="0"/>
        <v>#DIV/0!</v>
      </c>
      <c r="F20" s="2699" t="e">
        <f t="shared" si="1"/>
        <v>#DIV/0!</v>
      </c>
      <c r="G20" s="2700"/>
      <c r="H20" s="2700"/>
      <c r="I20" s="2700"/>
      <c r="J20" s="2702"/>
    </row>
    <row r="21" spans="1:10" ht="15.6">
      <c r="A21" s="2698" t="s">
        <v>2140</v>
      </c>
      <c r="B21" s="2700"/>
      <c r="C21" s="2700"/>
      <c r="D21" s="2700"/>
      <c r="E21" s="2699" t="e">
        <f t="shared" si="0"/>
        <v>#DIV/0!</v>
      </c>
      <c r="F21" s="2699" t="e">
        <f t="shared" si="1"/>
        <v>#DIV/0!</v>
      </c>
      <c r="G21" s="2700"/>
      <c r="H21" s="2700"/>
      <c r="I21" s="2700"/>
      <c r="J21" s="2702"/>
    </row>
    <row r="22" spans="1:10" ht="15.6">
      <c r="A22" s="2698" t="s">
        <v>2141</v>
      </c>
      <c r="B22" s="2700"/>
      <c r="C22" s="2700"/>
      <c r="D22" s="2700"/>
      <c r="E22" s="2699" t="e">
        <f t="shared" si="0"/>
        <v>#DIV/0!</v>
      </c>
      <c r="F22" s="2699" t="e">
        <f t="shared" si="1"/>
        <v>#DIV/0!</v>
      </c>
      <c r="G22" s="2700"/>
      <c r="H22" s="2700"/>
      <c r="I22" s="2700"/>
      <c r="J22" s="2702"/>
    </row>
    <row r="23" spans="1:10" ht="15.6">
      <c r="A23" s="2698" t="s">
        <v>2142</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4" zoomScaleNormal="100" zoomScaleSheetLayoutView="100" zoomScalePageLayoutView="80" workbookViewId="0">
      <selection activeCell="A2" sqref="A2:I2"/>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3508</v>
      </c>
      <c r="E1" s="1499" t="s">
        <v>1575</v>
      </c>
      <c r="F1" s="1501" t="s">
        <v>3509</v>
      </c>
      <c r="G1" s="287"/>
      <c r="H1" s="287"/>
      <c r="I1" s="287"/>
      <c r="J1" s="1636"/>
      <c r="K1" s="1636"/>
      <c r="L1" s="1636"/>
      <c r="M1" s="1636"/>
      <c r="N1" s="1636"/>
      <c r="O1" s="1636"/>
      <c r="P1" s="1636"/>
      <c r="Q1" s="1636"/>
      <c r="R1" s="1636"/>
      <c r="S1" s="1636"/>
      <c r="T1" s="1636"/>
      <c r="U1" s="1636"/>
      <c r="V1" s="1636"/>
    </row>
    <row r="2" spans="1:22" ht="21.75" customHeight="1" thickBot="1">
      <c r="A2" s="3555" t="str">
        <f>项目基本情况!K2</f>
        <v>北京市出让国有建设用地使用权</v>
      </c>
      <c r="B2" s="3556"/>
      <c r="C2" s="3557"/>
      <c r="D2" s="3557"/>
      <c r="E2" s="3557"/>
      <c r="F2" s="3557"/>
      <c r="G2" s="3556"/>
      <c r="H2" s="3556"/>
      <c r="I2" s="3558"/>
      <c r="J2" s="1643"/>
      <c r="K2" s="1636"/>
      <c r="L2" s="1636"/>
      <c r="M2" s="1636"/>
      <c r="N2" s="1636"/>
      <c r="O2" s="1636"/>
      <c r="P2" s="1636"/>
      <c r="Q2" s="1636"/>
      <c r="R2" s="1636"/>
      <c r="S2" s="1636"/>
      <c r="T2" s="1636"/>
      <c r="U2" s="1636"/>
      <c r="V2" s="1636"/>
    </row>
    <row r="3" spans="1:22" ht="13.8">
      <c r="A3" s="3566" t="s">
        <v>264</v>
      </c>
      <c r="B3" s="3567"/>
      <c r="C3" s="3567"/>
      <c r="D3" s="3567"/>
      <c r="E3" s="3567"/>
      <c r="F3" s="3567"/>
      <c r="G3" s="3567"/>
      <c r="H3" s="3567"/>
      <c r="I3" s="3567"/>
      <c r="J3" s="1643"/>
      <c r="K3" s="1636"/>
      <c r="L3" s="1636"/>
      <c r="M3" s="1636"/>
      <c r="N3" s="1636"/>
      <c r="O3" s="1636"/>
      <c r="P3" s="1636"/>
      <c r="Q3" s="1636"/>
      <c r="R3" s="1636"/>
      <c r="S3" s="1636"/>
      <c r="T3" s="1636"/>
      <c r="U3" s="1636"/>
      <c r="V3" s="1636"/>
    </row>
    <row r="4" spans="1:22" ht="14.4">
      <c r="A4" s="238" t="s">
        <v>265</v>
      </c>
      <c r="B4" s="239" t="s">
        <v>266</v>
      </c>
      <c r="C4" s="240" t="s">
        <v>3505</v>
      </c>
      <c r="D4" s="240" t="s">
        <v>3506</v>
      </c>
      <c r="E4" s="3530" t="s">
        <v>267</v>
      </c>
      <c r="F4" s="3572"/>
      <c r="G4" s="3572"/>
      <c r="H4" s="3572"/>
      <c r="I4" s="3531"/>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59" t="s">
        <v>268</v>
      </c>
      <c r="B5" s="3560">
        <v>25</v>
      </c>
      <c r="C5" s="3568"/>
      <c r="D5" s="3571"/>
      <c r="E5" s="241" t="s">
        <v>269</v>
      </c>
      <c r="F5" s="242"/>
      <c r="G5" s="242"/>
      <c r="H5" s="242"/>
      <c r="I5" s="243"/>
      <c r="J5" s="1643"/>
      <c r="K5" s="1636"/>
      <c r="L5" s="1636"/>
      <c r="M5" s="1636"/>
      <c r="N5" s="1636"/>
      <c r="O5" s="1636"/>
      <c r="P5" s="1636"/>
      <c r="Q5" s="1636"/>
      <c r="R5" s="1636"/>
      <c r="S5" s="1636"/>
      <c r="T5" s="1636"/>
      <c r="U5" s="1636"/>
      <c r="V5" s="1636"/>
    </row>
    <row r="6" spans="1:22" ht="13.8">
      <c r="A6" s="3559"/>
      <c r="B6" s="3560"/>
      <c r="C6" s="3569"/>
      <c r="D6" s="3571"/>
      <c r="E6" s="241" t="s">
        <v>270</v>
      </c>
      <c r="F6" s="242"/>
      <c r="G6" s="242"/>
      <c r="H6" s="242"/>
      <c r="I6" s="243"/>
      <c r="J6" s="1643"/>
      <c r="K6" s="1636"/>
      <c r="L6" s="1636"/>
      <c r="M6" s="1636"/>
      <c r="N6" s="1636"/>
      <c r="O6" s="1636"/>
      <c r="P6" s="1636"/>
      <c r="Q6" s="1636"/>
      <c r="R6" s="1636"/>
      <c r="S6" s="1636"/>
      <c r="T6" s="1636"/>
      <c r="U6" s="1636"/>
      <c r="V6" s="1636"/>
    </row>
    <row r="7" spans="1:22" ht="13.8">
      <c r="A7" s="3559"/>
      <c r="B7" s="3560"/>
      <c r="C7" s="3570"/>
      <c r="D7" s="3571"/>
      <c r="E7" s="241" t="s">
        <v>271</v>
      </c>
      <c r="F7" s="242"/>
      <c r="G7" s="242"/>
      <c r="H7" s="242"/>
      <c r="I7" s="243"/>
      <c r="J7" s="1643"/>
      <c r="K7" s="1636"/>
      <c r="L7" s="1636"/>
      <c r="M7" s="1636"/>
      <c r="N7" s="1636"/>
      <c r="O7" s="1636"/>
      <c r="P7" s="1636"/>
      <c r="Q7" s="1636"/>
      <c r="R7" s="1636"/>
      <c r="S7" s="1636"/>
      <c r="T7" s="1636"/>
      <c r="U7" s="1636"/>
      <c r="V7" s="1636"/>
    </row>
    <row r="8" spans="1:22" ht="13.8">
      <c r="A8" s="3559" t="s">
        <v>272</v>
      </c>
      <c r="B8" s="3560">
        <v>15</v>
      </c>
      <c r="C8" s="3568"/>
      <c r="D8" s="3571"/>
      <c r="E8" s="241" t="s">
        <v>273</v>
      </c>
      <c r="F8" s="242"/>
      <c r="G8" s="242"/>
      <c r="H8" s="242"/>
      <c r="I8" s="243"/>
      <c r="J8" s="1643"/>
      <c r="K8" s="1636"/>
      <c r="L8" s="1636"/>
      <c r="M8" s="1636"/>
      <c r="N8" s="1636"/>
      <c r="O8" s="1636"/>
      <c r="P8" s="1636"/>
      <c r="Q8" s="1636"/>
      <c r="R8" s="1636"/>
      <c r="S8" s="1636"/>
      <c r="T8" s="1636"/>
      <c r="U8" s="1636"/>
      <c r="V8" s="1636"/>
    </row>
    <row r="9" spans="1:22" ht="13.8">
      <c r="A9" s="3559"/>
      <c r="B9" s="3560"/>
      <c r="C9" s="3570"/>
      <c r="D9" s="3571"/>
      <c r="E9" s="241" t="s">
        <v>274</v>
      </c>
      <c r="F9" s="242"/>
      <c r="G9" s="242"/>
      <c r="H9" s="242"/>
      <c r="I9" s="243"/>
      <c r="J9" s="1643"/>
      <c r="K9" s="1636"/>
      <c r="L9" s="1636"/>
      <c r="M9" s="1636"/>
      <c r="N9" s="1636"/>
      <c r="O9" s="1636"/>
      <c r="P9" s="1636"/>
      <c r="Q9" s="1636"/>
      <c r="R9" s="1636"/>
      <c r="S9" s="1636"/>
      <c r="T9" s="1636"/>
      <c r="U9" s="1636"/>
      <c r="V9" s="1636"/>
    </row>
    <row r="10" spans="1:22" ht="13.8">
      <c r="A10" s="3559" t="s">
        <v>275</v>
      </c>
      <c r="B10" s="3560">
        <v>15</v>
      </c>
      <c r="C10" s="3568"/>
      <c r="D10" s="3571"/>
      <c r="E10" s="241" t="s">
        <v>276</v>
      </c>
      <c r="F10" s="242"/>
      <c r="G10" s="242"/>
      <c r="H10" s="242"/>
      <c r="I10" s="243"/>
      <c r="J10" s="1643"/>
      <c r="K10" s="1636"/>
      <c r="L10" s="1636"/>
      <c r="M10" s="1636"/>
      <c r="N10" s="1636"/>
      <c r="O10" s="1636"/>
      <c r="P10" s="1636"/>
      <c r="Q10" s="1636"/>
      <c r="R10" s="1636"/>
      <c r="S10" s="1636"/>
      <c r="T10" s="1636"/>
      <c r="U10" s="1636"/>
      <c r="V10" s="1636"/>
    </row>
    <row r="11" spans="1:22" ht="13.8">
      <c r="A11" s="3559"/>
      <c r="B11" s="3560"/>
      <c r="C11" s="3570"/>
      <c r="D11" s="3571"/>
      <c r="E11" s="241" t="s">
        <v>277</v>
      </c>
      <c r="F11" s="242"/>
      <c r="G11" s="242"/>
      <c r="H11" s="242"/>
      <c r="I11" s="243"/>
      <c r="J11" s="1643"/>
      <c r="K11" s="1636"/>
      <c r="L11" s="1636"/>
      <c r="M11" s="1636"/>
      <c r="N11" s="1636"/>
      <c r="O11" s="1636"/>
      <c r="P11" s="1636"/>
      <c r="Q11" s="1636"/>
      <c r="R11" s="1636"/>
      <c r="S11" s="1636"/>
      <c r="T11" s="1636"/>
      <c r="U11" s="1636"/>
      <c r="V11" s="1636"/>
    </row>
    <row r="12" spans="1:22" ht="13.8">
      <c r="A12" s="3559" t="s">
        <v>278</v>
      </c>
      <c r="B12" s="3560">
        <v>15</v>
      </c>
      <c r="C12" s="3568"/>
      <c r="D12" s="3571"/>
      <c r="E12" s="241" t="s">
        <v>279</v>
      </c>
      <c r="F12" s="242"/>
      <c r="G12" s="242"/>
      <c r="H12" s="242"/>
      <c r="I12" s="243"/>
      <c r="J12" s="1643"/>
      <c r="K12" s="1636"/>
      <c r="L12" s="1636"/>
      <c r="M12" s="1636"/>
      <c r="N12" s="1636"/>
      <c r="O12" s="1636"/>
      <c r="P12" s="1636"/>
      <c r="Q12" s="1636"/>
      <c r="R12" s="1636"/>
      <c r="S12" s="1636"/>
      <c r="T12" s="1636"/>
      <c r="U12" s="1636"/>
      <c r="V12" s="1636"/>
    </row>
    <row r="13" spans="1:22" ht="13.8">
      <c r="A13" s="3559"/>
      <c r="B13" s="3560"/>
      <c r="C13" s="3570"/>
      <c r="D13" s="3571"/>
      <c r="E13" s="241" t="s">
        <v>280</v>
      </c>
      <c r="F13" s="242"/>
      <c r="G13" s="242"/>
      <c r="H13" s="242"/>
      <c r="I13" s="243"/>
      <c r="J13" s="1643"/>
      <c r="K13" s="1636"/>
      <c r="L13" s="1636"/>
      <c r="M13" s="1636"/>
      <c r="N13" s="1636"/>
      <c r="O13" s="1636"/>
      <c r="P13" s="1636"/>
      <c r="Q13" s="1636"/>
      <c r="R13" s="1636"/>
      <c r="S13" s="1636"/>
      <c r="T13" s="1636"/>
      <c r="U13" s="1636"/>
      <c r="V13" s="1636"/>
    </row>
    <row r="14" spans="1:22" ht="13.8">
      <c r="A14" s="3559" t="s">
        <v>281</v>
      </c>
      <c r="B14" s="3560">
        <v>30</v>
      </c>
      <c r="C14" s="3568">
        <v>5</v>
      </c>
      <c r="D14" s="3571">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59"/>
      <c r="B15" s="3560"/>
      <c r="C15" s="3569"/>
      <c r="D15" s="3571"/>
      <c r="E15" s="241" t="s">
        <v>283</v>
      </c>
      <c r="F15" s="242"/>
      <c r="G15" s="242"/>
      <c r="H15" s="242"/>
      <c r="I15" s="243"/>
      <c r="J15" s="1643"/>
      <c r="K15" s="1636"/>
      <c r="L15" s="1636"/>
      <c r="M15" s="1636"/>
      <c r="N15" s="1636"/>
      <c r="O15" s="1636"/>
      <c r="P15" s="1636"/>
      <c r="Q15" s="1636"/>
      <c r="R15" s="1636"/>
      <c r="S15" s="1636"/>
      <c r="T15" s="1636"/>
      <c r="U15" s="1636"/>
      <c r="V15" s="1636"/>
    </row>
    <row r="16" spans="1:22" ht="13.8">
      <c r="A16" s="3559"/>
      <c r="B16" s="3560"/>
      <c r="C16" s="3570"/>
      <c r="D16" s="3571"/>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73" t="s">
        <v>2243</v>
      </c>
      <c r="F18" s="3574"/>
      <c r="G18" s="3574"/>
      <c r="H18" s="3574"/>
      <c r="I18" s="3574"/>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10018</v>
      </c>
      <c r="D19" s="251">
        <f ca="1">SUMIF(INDIRECT("'"&amp;D4&amp;"'"&amp;"!A:A"),结果表!B19,INDIRECT("'"&amp;D4&amp;"'"&amp;"!B:B"))</f>
        <v>9205</v>
      </c>
      <c r="E19" s="248" t="s">
        <v>289</v>
      </c>
      <c r="F19" s="249" t="s">
        <v>288</v>
      </c>
      <c r="G19" s="252">
        <f ca="1">ROUND(C19*$C$18+D19*$D$18,0)</f>
        <v>9612</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8829</v>
      </c>
      <c r="D20" s="256">
        <f ca="1">SUMIF(INDIRECT("'"&amp;D4&amp;"'"&amp;"!A:A"),结果表!B20,INDIRECT("'"&amp;D4&amp;"'"&amp;"!B:B"))</f>
        <v>8112</v>
      </c>
      <c r="E20" s="254"/>
      <c r="F20" s="102" t="s">
        <v>291</v>
      </c>
      <c r="G20" s="257">
        <f ca="1">ROUND(C20*$C$18+D20*$D$18,0)</f>
        <v>8471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18044</v>
      </c>
      <c r="D21" s="135">
        <f ca="1">SUMIF(INDIRECT("'"&amp;D4&amp;"'"&amp;"!A:A"),结果表!B21,INDIRECT("'"&amp;D4&amp;"'"&amp;"!B:B"))</f>
        <v>16580</v>
      </c>
      <c r="E21" s="254"/>
      <c r="F21" s="106" t="s">
        <v>293</v>
      </c>
      <c r="G21" s="260">
        <f ca="1">ROUND(C21*$C$18+D21*$D$18,0)</f>
        <v>17312</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8.8321564367191741E-2</v>
      </c>
      <c r="E22" s="262"/>
      <c r="F22" s="263"/>
      <c r="G22" s="264">
        <f ca="1">ROUND(G19/('数据-汇总表'!D3/666.67),0)</f>
        <v>1154</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2"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79"/>
      <c r="B25" s="1125" t="s">
        <v>297</v>
      </c>
      <c r="C25" s="268">
        <f>IF(B30=0,0,C30)</f>
        <v>0</v>
      </c>
      <c r="D25" s="269"/>
      <c r="E25" s="287"/>
      <c r="F25" s="287"/>
      <c r="G25" s="287"/>
      <c r="H25" s="287"/>
      <c r="I25" s="287"/>
      <c r="J25" s="1636"/>
      <c r="K25" s="1062" t="str">
        <f ca="1">项目基本情况!A17&amp;"国有建设用地使用权价格："&amp;O38&amp;"万元"</f>
        <v>出让国有建设用地使用权价格：9612万元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大写金额：人民币玖仟陆佰壹拾贰万元整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单位面积地价：17313元/平方米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楼面地价：8471元/平方米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抵押价格：9612万元</v>
      </c>
      <c r="L29" s="1061"/>
      <c r="M29" s="1061"/>
      <c r="N29" s="1061"/>
      <c r="O29" s="258"/>
      <c r="P29" s="1636"/>
      <c r="V29" s="1636"/>
    </row>
    <row r="30" spans="1:22" ht="18" thickBot="1">
      <c r="A30" s="2365" t="s">
        <v>302</v>
      </c>
      <c r="B30" s="285"/>
      <c r="C30" s="285"/>
      <c r="D30" s="286"/>
      <c r="E30" s="2539" t="s">
        <v>2244</v>
      </c>
      <c r="F30" s="287"/>
      <c r="G30" s="287"/>
      <c r="H30" s="287"/>
      <c r="I30" s="287"/>
      <c r="J30" s="1636"/>
      <c r="K30" s="1065" t="str">
        <f ca="1">IF(K29="——","——","大写金额：人民币"&amp;NUMBERSTRING(INT(O39*10000),2)&amp;"元整")</f>
        <v>大写金额：人民币玖仟陆佰壹拾贰万元整</v>
      </c>
      <c r="L30" s="1061"/>
      <c r="M30" s="1061"/>
      <c r="N30" s="1061"/>
      <c r="O30" s="258"/>
      <c r="P30" s="1636"/>
      <c r="V30" s="1636"/>
    </row>
    <row r="31" spans="1:22" ht="24" customHeight="1" thickBot="1">
      <c r="A31" s="3575" t="s">
        <v>2245</v>
      </c>
      <c r="B31" s="3575"/>
      <c r="C31" s="3575"/>
      <c r="D31" s="3575"/>
      <c r="E31" s="3575"/>
      <c r="F31" s="3575"/>
      <c r="G31" s="3575"/>
      <c r="H31" s="3575"/>
      <c r="I31" s="3575"/>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9612</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8471</v>
      </c>
      <c r="D33" s="1173" t="s">
        <v>1224</v>
      </c>
      <c r="E33" s="3532"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17313</v>
      </c>
      <c r="D34" s="1173" t="s">
        <v>1224</v>
      </c>
      <c r="E34" s="3533"/>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1154</v>
      </c>
      <c r="D35" s="1176" t="s">
        <v>1226</v>
      </c>
      <c r="E35" s="3534"/>
      <c r="F35" s="278" t="s">
        <v>308</v>
      </c>
      <c r="G35" s="897"/>
      <c r="H35" s="896" t="s">
        <v>309</v>
      </c>
      <c r="I35" s="287"/>
      <c r="J35" s="1636"/>
      <c r="K35" s="3538" t="s">
        <v>316</v>
      </c>
      <c r="L35" s="3538" t="s">
        <v>317</v>
      </c>
      <c r="M35" s="1071" t="s">
        <v>318</v>
      </c>
      <c r="N35" s="3538" t="s">
        <v>319</v>
      </c>
      <c r="O35" s="3538" t="s">
        <v>320</v>
      </c>
      <c r="P35" s="1636"/>
      <c r="V35" s="1636"/>
    </row>
    <row r="36" spans="1:22" ht="16.5" customHeight="1">
      <c r="A36" s="280" t="s">
        <v>310</v>
      </c>
      <c r="B36" s="281" t="s">
        <v>299</v>
      </c>
      <c r="C36" s="282" t="s">
        <v>311</v>
      </c>
      <c r="D36" s="282" t="s">
        <v>312</v>
      </c>
      <c r="E36" s="283" t="s">
        <v>313</v>
      </c>
      <c r="F36" s="287"/>
      <c r="G36" s="287"/>
      <c r="H36" s="287"/>
      <c r="I36" s="287"/>
      <c r="J36" s="1644"/>
      <c r="K36" s="3539"/>
      <c r="L36" s="3539"/>
      <c r="M36" s="1073" t="s">
        <v>321</v>
      </c>
      <c r="N36" s="3539"/>
      <c r="O36" s="3539"/>
      <c r="P36" s="1636"/>
      <c r="V36" s="1636"/>
    </row>
    <row r="37" spans="1:22" ht="16.5" customHeight="1" thickBot="1">
      <c r="A37" s="1067" t="s">
        <v>314</v>
      </c>
      <c r="B37" s="270"/>
      <c r="C37" s="271"/>
      <c r="D37" s="271"/>
      <c r="E37" s="272"/>
      <c r="F37" s="287"/>
      <c r="G37" s="287"/>
      <c r="H37" s="287"/>
      <c r="I37" s="287"/>
      <c r="J37" s="1644"/>
      <c r="K37" s="3540"/>
      <c r="L37" s="3540"/>
      <c r="M37" s="1074"/>
      <c r="N37" s="3540"/>
      <c r="O37" s="3540"/>
      <c r="P37" s="1636"/>
      <c r="V37" s="1636"/>
    </row>
    <row r="38" spans="1:22" ht="16.5" customHeight="1" thickBot="1">
      <c r="A38" s="1067" t="s">
        <v>315</v>
      </c>
      <c r="B38" s="270"/>
      <c r="C38" s="271"/>
      <c r="D38" s="271"/>
      <c r="E38" s="272"/>
      <c r="F38" s="287"/>
      <c r="G38" s="287"/>
      <c r="H38" s="287"/>
      <c r="I38" s="287"/>
      <c r="J38" s="1644"/>
      <c r="K38" s="1075">
        <f>'数据-汇总表'!D3</f>
        <v>5551.97</v>
      </c>
      <c r="L38" s="1076">
        <f>'数据-汇总表'!E3</f>
        <v>11347.150000000001</v>
      </c>
      <c r="M38" s="1076">
        <f ca="1">C34</f>
        <v>17313</v>
      </c>
      <c r="N38" s="1076">
        <f ca="1">C33</f>
        <v>8471</v>
      </c>
      <c r="O38" s="1077">
        <f ca="1">C32</f>
        <v>9612</v>
      </c>
      <c r="P38" s="1636"/>
      <c r="V38" s="1636"/>
    </row>
    <row r="39" spans="1:22" ht="16.5" customHeight="1" thickBot="1">
      <c r="A39" s="1072"/>
      <c r="B39" s="284"/>
      <c r="C39" s="285"/>
      <c r="D39" s="285"/>
      <c r="E39" s="286"/>
      <c r="F39" s="287"/>
      <c r="G39" s="287"/>
      <c r="H39" s="287"/>
      <c r="I39" s="287"/>
      <c r="J39" s="1644"/>
      <c r="K39" s="3551" t="str">
        <f>MID(A44,3,LEN(A44)-2)</f>
        <v>抵押价格</v>
      </c>
      <c r="L39" s="3552"/>
      <c r="M39" s="3552"/>
      <c r="N39" s="3553"/>
      <c r="O39" s="1178">
        <f ca="1">C44</f>
        <v>9612</v>
      </c>
      <c r="P39" s="1636"/>
      <c r="V39" s="1636"/>
    </row>
    <row r="40" spans="1:22" ht="18" thickBot="1">
      <c r="A40" s="95" t="s">
        <v>810</v>
      </c>
      <c r="B40" s="287"/>
      <c r="C40" s="287"/>
      <c r="D40" s="287"/>
      <c r="E40" s="287"/>
      <c r="F40" s="287"/>
      <c r="G40" s="287"/>
      <c r="H40" s="287"/>
      <c r="I40" s="287"/>
      <c r="J40" s="1644"/>
      <c r="K40" s="3551" t="str">
        <f>MID(A45,3,LEN(A45)-2)</f>
        <v/>
      </c>
      <c r="L40" s="3552"/>
      <c r="M40" s="3552"/>
      <c r="N40" s="3553"/>
      <c r="O40" s="1178" t="str">
        <f>C45</f>
        <v>——</v>
      </c>
      <c r="P40" s="1636"/>
      <c r="V40" s="1636"/>
    </row>
    <row r="41" spans="1:22" ht="16.2" thickBot="1">
      <c r="A41" s="288" t="s">
        <v>322</v>
      </c>
      <c r="B41" s="289"/>
      <c r="C41" s="290" t="s">
        <v>323</v>
      </c>
      <c r="D41" s="291" t="s">
        <v>324</v>
      </c>
      <c r="E41" s="291" t="s">
        <v>325</v>
      </c>
      <c r="F41" s="292" t="s">
        <v>326</v>
      </c>
      <c r="G41" s="287"/>
      <c r="H41" s="287"/>
      <c r="I41" s="287"/>
      <c r="J41" s="1644"/>
      <c r="K41" s="3551" t="str">
        <f>MID(A46,3,LEN(A46)-2)</f>
        <v/>
      </c>
      <c r="L41" s="3552"/>
      <c r="M41" s="3552"/>
      <c r="N41" s="3553"/>
      <c r="O41" s="1178" t="str">
        <f>C46</f>
        <v>——</v>
      </c>
      <c r="P41" s="1636"/>
      <c r="V41" s="1636"/>
    </row>
    <row r="42" spans="1:22" ht="31.2">
      <c r="A42" s="3580" t="s">
        <v>1585</v>
      </c>
      <c r="B42" s="3581"/>
      <c r="C42" s="244">
        <f ca="1">C32</f>
        <v>9612</v>
      </c>
      <c r="D42" s="293">
        <f ca="1">C33</f>
        <v>8471</v>
      </c>
      <c r="E42" s="293">
        <f ca="1">C34</f>
        <v>17313</v>
      </c>
      <c r="F42" s="294">
        <f ca="1">C35</f>
        <v>1154</v>
      </c>
      <c r="G42" s="287"/>
      <c r="H42" s="287"/>
      <c r="I42" s="295"/>
      <c r="J42" s="1644"/>
      <c r="K42" s="1078" t="s">
        <v>327</v>
      </c>
      <c r="L42" s="1660" t="s">
        <v>328</v>
      </c>
      <c r="M42" s="1079" t="s">
        <v>329</v>
      </c>
      <c r="N42" s="1661" t="s">
        <v>330</v>
      </c>
      <c r="O42" s="1662" t="s">
        <v>331</v>
      </c>
      <c r="P42" s="1636"/>
      <c r="V42" s="1636"/>
    </row>
    <row r="43" spans="1:22" ht="30">
      <c r="A43" s="3590" t="s">
        <v>2012</v>
      </c>
      <c r="B43" s="3591"/>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10018</v>
      </c>
      <c r="M43" s="1082">
        <f>C18</f>
        <v>0.5</v>
      </c>
      <c r="N43" s="1083">
        <f ca="1">IF(N42="测算结果/万元",G19,G20)</f>
        <v>9612</v>
      </c>
      <c r="O43" s="1084">
        <f ca="1">IF(O42="最终结果/万元",C32,C33)</f>
        <v>9612</v>
      </c>
      <c r="P43" s="1636"/>
      <c r="V43" s="1636"/>
    </row>
    <row r="44" spans="1:22" ht="30.6" thickBot="1">
      <c r="A44" s="3580" t="str">
        <f>IF(OR(项目基本情况!E8="抵押价格",项目基本情况!E8="已注销及未注销"),"3.抵押价格","——")</f>
        <v>3.抵押价格</v>
      </c>
      <c r="B44" s="3581"/>
      <c r="C44" s="244">
        <f ca="1">IF(A44="——","——",C42-C43)</f>
        <v>9612</v>
      </c>
      <c r="D44" s="293">
        <f ca="1">ROUND(C44*10000/'数据-汇总表'!E3,0)</f>
        <v>8471</v>
      </c>
      <c r="E44" s="293">
        <f ca="1">ROUND(C44*10000/'数据-汇总表'!D3,0)</f>
        <v>17313</v>
      </c>
      <c r="F44" s="294">
        <f ca="1">ROUND(C44/('数据-汇总表'!D3/666.67),0)</f>
        <v>1154</v>
      </c>
      <c r="G44" s="287"/>
      <c r="H44" s="287"/>
      <c r="I44" s="295"/>
      <c r="J44" s="1644"/>
      <c r="K44" s="1085" t="str">
        <f>D4</f>
        <v>剩余法-待开发</v>
      </c>
      <c r="L44" s="1086">
        <f ca="1">IF(L42="估价结果/万元",D19,D20)</f>
        <v>9205</v>
      </c>
      <c r="M44" s="1087">
        <f>D18</f>
        <v>0.5</v>
      </c>
      <c r="N44" s="1088"/>
      <c r="O44" s="1089"/>
      <c r="P44" s="1636"/>
      <c r="V44" s="1636"/>
    </row>
    <row r="45" spans="1:22" ht="13.8">
      <c r="A45" s="3585" t="str">
        <f>IF(项目基本情况!E8="已注销及未注销","4.抵押担保权已注销时的抵押价格",IF(项目基本情况!E8="已注销","3.抵押担保权已注销时的抵押价格","——"))</f>
        <v>——</v>
      </c>
      <c r="B45" s="358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82" t="str">
        <f>IF(项目基本情况!E9="抵押净值",IF(A45="——","4.抵押净值","5.抵押净值"),"——")</f>
        <v>——</v>
      </c>
      <c r="B46" s="358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43" t="s">
        <v>340</v>
      </c>
      <c r="B63" s="3544"/>
      <c r="C63" s="3545"/>
      <c r="D63" s="315">
        <f ca="1">ROUND(C42*F63,0)</f>
        <v>9612</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7" t="s">
        <v>344</v>
      </c>
      <c r="B64" s="3588"/>
      <c r="C64" s="3588"/>
      <c r="D64" s="3588"/>
      <c r="E64" s="3588"/>
      <c r="F64" s="3588"/>
      <c r="G64" s="3589"/>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84" t="s">
        <v>352</v>
      </c>
      <c r="B66" s="3550"/>
      <c r="C66" s="3550"/>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11" t="s">
        <v>351</v>
      </c>
      <c r="M66" s="3512"/>
      <c r="N66" s="1973"/>
      <c r="O66" s="1974"/>
      <c r="P66" s="1975"/>
      <c r="Q66" s="1636"/>
      <c r="R66" s="1636"/>
      <c r="S66" s="1636"/>
      <c r="T66" s="1636"/>
      <c r="U66" s="1636"/>
      <c r="V66" s="1636"/>
    </row>
    <row r="67" spans="1:22" ht="25.5" customHeight="1">
      <c r="A67" s="326" t="s">
        <v>355</v>
      </c>
      <c r="B67" s="3562" t="s">
        <v>356</v>
      </c>
      <c r="C67" s="3562"/>
      <c r="D67" s="327">
        <v>0</v>
      </c>
      <c r="E67" s="37" t="s">
        <v>357</v>
      </c>
      <c r="F67" s="58" t="s">
        <v>15</v>
      </c>
      <c r="G67" s="3546"/>
      <c r="H67" s="2542" t="s">
        <v>2246</v>
      </c>
      <c r="I67" s="2544"/>
      <c r="J67" s="1649"/>
      <c r="K67" s="1632">
        <v>2</v>
      </c>
      <c r="L67" s="3516" t="s">
        <v>354</v>
      </c>
      <c r="M67" s="3516"/>
      <c r="N67" s="1129">
        <f>'数据-取费表'!B2</f>
        <v>45908</v>
      </c>
      <c r="O67" s="1129"/>
      <c r="P67" s="1129"/>
      <c r="Q67" s="1636"/>
      <c r="R67" s="1636"/>
      <c r="S67" s="1636"/>
      <c r="T67" s="1636"/>
      <c r="U67" s="1636"/>
      <c r="V67" s="1636"/>
    </row>
    <row r="68" spans="1:22" ht="25.5" customHeight="1">
      <c r="A68" s="328"/>
      <c r="B68" s="3562" t="s">
        <v>359</v>
      </c>
      <c r="C68" s="3562"/>
      <c r="D68" s="329"/>
      <c r="E68" s="73"/>
      <c r="F68" s="330"/>
      <c r="G68" s="3547"/>
      <c r="H68" s="2543" t="s">
        <v>2247</v>
      </c>
      <c r="I68" s="2544"/>
      <c r="J68" s="1649"/>
      <c r="K68" s="1632">
        <v>3</v>
      </c>
      <c r="L68" s="3516" t="s">
        <v>358</v>
      </c>
      <c r="M68" s="3516"/>
      <c r="N68" s="1099">
        <f ca="1">C42</f>
        <v>9612</v>
      </c>
      <c r="O68" s="1099"/>
      <c r="P68" s="1099"/>
      <c r="Q68" s="1636"/>
      <c r="R68" s="1636"/>
      <c r="S68" s="1636"/>
      <c r="T68" s="1636"/>
      <c r="U68" s="1636"/>
      <c r="V68" s="1636"/>
    </row>
    <row r="69" spans="1:22" ht="23.4" customHeight="1">
      <c r="A69" s="331"/>
      <c r="B69" s="3562" t="s">
        <v>360</v>
      </c>
      <c r="C69" s="3562"/>
      <c r="D69" s="332"/>
      <c r="E69" s="69"/>
      <c r="F69" s="330"/>
      <c r="G69" s="3548"/>
      <c r="H69" s="2543" t="s">
        <v>2248</v>
      </c>
      <c r="I69" s="2544"/>
      <c r="J69" s="1649"/>
      <c r="K69" s="1100">
        <v>4</v>
      </c>
      <c r="L69" s="3517" t="s">
        <v>2155</v>
      </c>
      <c r="M69" s="3518"/>
      <c r="N69" s="1101">
        <f ca="1">C44</f>
        <v>9612</v>
      </c>
      <c r="O69" s="1101"/>
      <c r="P69" s="1101"/>
      <c r="Q69" s="1636"/>
      <c r="R69" s="1636"/>
      <c r="S69" s="1636"/>
      <c r="T69" s="1636"/>
      <c r="U69" s="1636"/>
      <c r="V69" s="1636"/>
    </row>
    <row r="70" spans="1:22" ht="24" customHeight="1">
      <c r="A70" s="333" t="s">
        <v>361</v>
      </c>
      <c r="B70" s="3562" t="s">
        <v>362</v>
      </c>
      <c r="C70" s="3562"/>
      <c r="D70" s="332">
        <f ca="1">ROUND(D63*'数据-取费表'!B41/(1+'数据-取费表'!C42),0)</f>
        <v>503</v>
      </c>
      <c r="E70" s="14" t="s">
        <v>363</v>
      </c>
      <c r="F70" s="334">
        <f>'数据-取费表'!B41</f>
        <v>5.5000000000000007E-2</v>
      </c>
      <c r="G70" s="335"/>
      <c r="H70" s="287"/>
      <c r="I70" s="1098"/>
      <c r="J70" s="1649"/>
      <c r="K70" s="2333"/>
      <c r="L70" s="2334"/>
      <c r="M70" s="2334"/>
      <c r="N70" s="2335" t="s">
        <v>2159</v>
      </c>
      <c r="O70" s="2334"/>
      <c r="P70" s="2336"/>
      <c r="Q70" s="1636"/>
      <c r="R70" s="1636"/>
      <c r="S70" s="1636"/>
      <c r="T70" s="1636"/>
      <c r="U70" s="1636"/>
      <c r="V70" s="1636"/>
    </row>
    <row r="71" spans="1:22" ht="12" customHeight="1">
      <c r="A71" s="333" t="s">
        <v>369</v>
      </c>
      <c r="B71" s="3561" t="s">
        <v>2271</v>
      </c>
      <c r="C71" s="3578"/>
      <c r="D71" s="332">
        <f ca="1">ROUND(D63*'数据-取费表'!B41/(1+'数据-取费表'!C42),0)</f>
        <v>503</v>
      </c>
      <c r="E71" s="14" t="s">
        <v>363</v>
      </c>
      <c r="F71" s="334">
        <f>'数据-取费表'!B41</f>
        <v>5.5000000000000007E-2</v>
      </c>
      <c r="G71" s="335"/>
      <c r="H71" s="287"/>
      <c r="I71" s="1098"/>
      <c r="J71" s="1649"/>
      <c r="K71" s="2332" t="s">
        <v>364</v>
      </c>
      <c r="L71" s="3519" t="s">
        <v>365</v>
      </c>
      <c r="M71" s="3519"/>
      <c r="N71" s="2332" t="s">
        <v>366</v>
      </c>
      <c r="O71" s="2332" t="s">
        <v>367</v>
      </c>
      <c r="P71" s="2332" t="s">
        <v>368</v>
      </c>
      <c r="Q71" s="1636"/>
      <c r="R71" s="1636"/>
      <c r="S71" s="1636"/>
      <c r="T71" s="1636"/>
      <c r="U71" s="1636"/>
      <c r="V71" s="1636"/>
    </row>
    <row r="72" spans="1:22" ht="12" customHeight="1">
      <c r="A72" s="333" t="s">
        <v>371</v>
      </c>
      <c r="B72" s="3561" t="s">
        <v>2272</v>
      </c>
      <c r="C72" s="3578"/>
      <c r="D72" s="332">
        <f ca="1">C86</f>
        <v>503</v>
      </c>
      <c r="E72" s="69" t="s">
        <v>372</v>
      </c>
      <c r="F72" s="334">
        <f>'数据-取费表'!B41</f>
        <v>5.5000000000000007E-2</v>
      </c>
      <c r="G72" s="335"/>
      <c r="H72" s="1104"/>
      <c r="I72" s="1098"/>
      <c r="J72" s="1649"/>
      <c r="K72" s="1632">
        <v>1</v>
      </c>
      <c r="L72" s="3515" t="s">
        <v>370</v>
      </c>
      <c r="M72" s="3515"/>
      <c r="N72" s="1102" t="b">
        <f>D66</f>
        <v>0</v>
      </c>
      <c r="O72" s="1539" t="str">
        <f>E66</f>
        <v>销售额×税（费）率</v>
      </c>
      <c r="P72" s="1103">
        <f>F66</f>
        <v>5.5000000000000007E-2</v>
      </c>
      <c r="Q72" s="1636"/>
      <c r="R72" s="1636"/>
      <c r="S72" s="1636"/>
      <c r="T72" s="1636"/>
      <c r="U72" s="1636"/>
      <c r="V72" s="1636"/>
    </row>
    <row r="73" spans="1:22" ht="24" customHeight="1">
      <c r="A73" s="3549" t="s">
        <v>374</v>
      </c>
      <c r="B73" s="3550"/>
      <c r="C73" s="3550"/>
      <c r="D73" s="336">
        <f ca="1">IF(H73="个人住宅",0,ROUND(D63*I73,0))</f>
        <v>5</v>
      </c>
      <c r="E73" s="14" t="s">
        <v>375</v>
      </c>
      <c r="F73" s="334" t="str">
        <f>IF(H73="正常",I73,"免征")</f>
        <v>免征</v>
      </c>
      <c r="G73" s="335"/>
      <c r="H73" s="174"/>
      <c r="I73" s="334">
        <f>'数据-取费表'!B49</f>
        <v>5.0000000000000001E-4</v>
      </c>
      <c r="J73" s="1649"/>
      <c r="K73" s="1632">
        <v>2</v>
      </c>
      <c r="L73" s="3515" t="s">
        <v>373</v>
      </c>
      <c r="M73" s="3515"/>
      <c r="N73" s="1102">
        <f t="shared" ref="N73:P74" ca="1" si="0">D73</f>
        <v>5</v>
      </c>
      <c r="O73" s="1539" t="str">
        <f t="shared" si="0"/>
        <v>销售额×税（费）率</v>
      </c>
      <c r="P73" s="1103" t="str">
        <f t="shared" si="0"/>
        <v>免征</v>
      </c>
      <c r="Q73" s="1636"/>
      <c r="R73" s="1636"/>
      <c r="S73" s="1636"/>
      <c r="T73" s="1636"/>
      <c r="U73" s="1636"/>
      <c r="V73" s="1636"/>
    </row>
    <row r="74" spans="1:22" ht="25.2">
      <c r="A74" s="3549" t="s">
        <v>377</v>
      </c>
      <c r="B74" s="3550"/>
      <c r="C74" s="3550"/>
      <c r="D74" s="336">
        <f ca="1">IF(H74="个人住宅",D75,D76)</f>
        <v>5449</v>
      </c>
      <c r="E74" s="14" t="s">
        <v>378</v>
      </c>
      <c r="F74" s="334" t="str">
        <f>IF(H74="正常",F76,"免征")</f>
        <v>免征</v>
      </c>
      <c r="G74" s="898" t="s">
        <v>379</v>
      </c>
      <c r="H74" s="337"/>
      <c r="I74" s="38"/>
      <c r="J74" s="1649"/>
      <c r="K74" s="1632">
        <v>3</v>
      </c>
      <c r="L74" s="3515" t="s">
        <v>376</v>
      </c>
      <c r="M74" s="3515"/>
      <c r="N74" s="1102">
        <f t="shared" ca="1" si="0"/>
        <v>5449</v>
      </c>
      <c r="O74" s="1539" t="str">
        <f t="shared" si="0"/>
        <v>增值额×税（费）率</v>
      </c>
      <c r="P74" s="1105" t="str">
        <f t="shared" si="0"/>
        <v>免征</v>
      </c>
      <c r="Q74" s="1636"/>
      <c r="R74" s="1636"/>
      <c r="S74" s="1636"/>
      <c r="T74" s="1636"/>
      <c r="U74" s="1636"/>
      <c r="V74" s="1636"/>
    </row>
    <row r="75" spans="1:22" ht="13.2">
      <c r="A75" s="333" t="s">
        <v>380</v>
      </c>
      <c r="B75" s="3530" t="s">
        <v>381</v>
      </c>
      <c r="C75" s="3531"/>
      <c r="D75" s="338">
        <v>0</v>
      </c>
      <c r="E75" s="37" t="s">
        <v>382</v>
      </c>
      <c r="F75" s="339"/>
      <c r="G75" s="335"/>
      <c r="H75" s="38"/>
      <c r="I75" s="38"/>
      <c r="J75" s="1649"/>
      <c r="K75" s="1632">
        <f>IF(H77="非个人房产","",4)</f>
        <v>4</v>
      </c>
      <c r="L75" s="3515" t="str">
        <f>IF(H77="非个人房产","——","个人所得税")</f>
        <v>个人所得税</v>
      </c>
      <c r="M75" s="3515"/>
      <c r="N75" s="1106">
        <f>D77</f>
        <v>0</v>
      </c>
      <c r="O75" s="1540" t="str">
        <f>E77</f>
        <v>差额计税</v>
      </c>
      <c r="P75" s="1107">
        <f>F77</f>
        <v>0.01</v>
      </c>
      <c r="Q75" s="1636"/>
      <c r="R75" s="1636"/>
      <c r="S75" s="1636"/>
      <c r="T75" s="1636"/>
      <c r="U75" s="1636"/>
      <c r="V75" s="1636"/>
    </row>
    <row r="76" spans="1:22" ht="25.2">
      <c r="A76" s="333" t="s">
        <v>361</v>
      </c>
      <c r="B76" s="3530" t="s">
        <v>384</v>
      </c>
      <c r="C76" s="3572"/>
      <c r="D76" s="336">
        <f ca="1">IF(H76="转让取得",C99,C115)</f>
        <v>5449</v>
      </c>
      <c r="E76" s="14" t="s">
        <v>385</v>
      </c>
      <c r="F76" s="49" t="s">
        <v>15</v>
      </c>
      <c r="G76" s="335"/>
      <c r="H76" s="337"/>
      <c r="I76" s="38"/>
      <c r="J76" s="1649"/>
      <c r="K76" s="1632" t="str">
        <f>IF(项目基本情况!K6="上海银行",IF(K75="",4,K75+1),"")</f>
        <v/>
      </c>
      <c r="L76" s="3526" t="str">
        <f>IF(项目基本情况!K6="上海银行","其他处置费用","")</f>
        <v/>
      </c>
      <c r="M76" s="3527"/>
      <c r="N76" s="1102" t="str">
        <f>IF(项目基本情况!K6="上海银行",N89,"")</f>
        <v/>
      </c>
      <c r="O76" s="3528" t="str">
        <f>IF(项目基本情况!K6="上海银行","包含处置中涉及的律师、诉讼、拍卖、评估等费用","")</f>
        <v/>
      </c>
      <c r="P76" s="3529"/>
      <c r="Q76" s="1636"/>
      <c r="R76" s="1636"/>
      <c r="S76" s="1636"/>
      <c r="T76" s="1636"/>
      <c r="U76" s="1636"/>
      <c r="V76" s="1636"/>
    </row>
    <row r="77" spans="1:22" ht="24.6" thickBot="1">
      <c r="A77" s="3541" t="s">
        <v>387</v>
      </c>
      <c r="B77" s="3542"/>
      <c r="C77" s="3542"/>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2249</v>
      </c>
      <c r="J77" s="1649"/>
      <c r="K77" s="3537">
        <f>IF(AND(K75="",K76=""),4,IF(项目基本情况!K6="上海银行",K76+1,K75+1))</f>
        <v>5</v>
      </c>
      <c r="L77" s="3515" t="s">
        <v>2156</v>
      </c>
      <c r="M77" s="2331" t="s">
        <v>383</v>
      </c>
      <c r="N77" s="1108"/>
      <c r="O77" s="1109">
        <f ca="1">SUMIF(N72:N76,"&lt;9e307")</f>
        <v>5454</v>
      </c>
      <c r="P77" s="1110"/>
      <c r="Q77" s="2329">
        <f ca="1">O77/N69</f>
        <v>0.56741573033707871</v>
      </c>
      <c r="R77" s="1636"/>
      <c r="S77" s="1636"/>
      <c r="T77" s="1636"/>
      <c r="U77" s="1636"/>
      <c r="V77" s="1636"/>
    </row>
    <row r="78" spans="1:22" ht="12" customHeight="1">
      <c r="A78" s="1111"/>
      <c r="B78" s="287"/>
      <c r="C78" s="287"/>
      <c r="D78" s="287"/>
      <c r="E78" s="38"/>
      <c r="F78" s="38"/>
      <c r="G78" s="38"/>
      <c r="H78" s="867"/>
      <c r="I78" s="287"/>
      <c r="J78" s="1649"/>
      <c r="K78" s="3537"/>
      <c r="L78" s="3515"/>
      <c r="M78" s="2331" t="s">
        <v>386</v>
      </c>
      <c r="N78" s="1108"/>
      <c r="O78" s="1109" t="str">
        <f ca="1">NUMBERSTRING(INT(O77*10000),2)&amp;"元整"</f>
        <v>伍仟肆佰伍拾肆万元整</v>
      </c>
      <c r="P78" s="1110"/>
      <c r="Q78" s="1636"/>
      <c r="R78" s="1636"/>
      <c r="S78" s="1636"/>
      <c r="T78" s="1636"/>
      <c r="U78" s="1636"/>
      <c r="V78" s="1636"/>
    </row>
    <row r="79" spans="1:22" ht="13.8" thickBot="1">
      <c r="A79" s="3592" t="s">
        <v>388</v>
      </c>
      <c r="B79" s="3592"/>
      <c r="C79" s="3592"/>
      <c r="D79" s="3592"/>
      <c r="E79" s="3592"/>
      <c r="F79" s="38"/>
      <c r="G79" s="38"/>
      <c r="H79" s="867"/>
      <c r="I79" s="287"/>
      <c r="J79" s="1649"/>
      <c r="K79" s="3513">
        <f>K77+1</f>
        <v>6</v>
      </c>
      <c r="L79" s="3515" t="s">
        <v>2157</v>
      </c>
      <c r="M79" s="2331" t="s">
        <v>383</v>
      </c>
      <c r="N79" s="1108"/>
      <c r="O79" s="1109">
        <f ca="1">N69-O77</f>
        <v>4158</v>
      </c>
      <c r="P79" s="1110"/>
      <c r="Q79" s="1636"/>
      <c r="R79" s="1636"/>
      <c r="S79" s="1636"/>
      <c r="T79" s="1636"/>
      <c r="U79" s="1636"/>
      <c r="V79" s="1636"/>
    </row>
    <row r="80" spans="1:22" ht="26.4">
      <c r="A80" s="3523" t="s">
        <v>389</v>
      </c>
      <c r="B80" s="3524"/>
      <c r="C80" s="908"/>
      <c r="D80" s="908" t="s">
        <v>390</v>
      </c>
      <c r="E80" s="340" t="s">
        <v>391</v>
      </c>
      <c r="F80" s="38"/>
      <c r="G80" s="38"/>
      <c r="H80" s="867"/>
      <c r="I80" s="287"/>
      <c r="J80" s="1636"/>
      <c r="K80" s="3514"/>
      <c r="L80" s="3515"/>
      <c r="M80" s="2331" t="s">
        <v>386</v>
      </c>
      <c r="N80" s="1108"/>
      <c r="O80" s="1109" t="str">
        <f ca="1">NUMBERSTRING(INT(O79*10000),2)&amp;"元整"</f>
        <v>肆仟壹佰伍拾捌万元整</v>
      </c>
      <c r="P80" s="1110"/>
      <c r="Q80" s="1636"/>
      <c r="R80" s="1636"/>
      <c r="S80" s="1636"/>
      <c r="T80" s="1636"/>
      <c r="U80" s="1636"/>
      <c r="V80" s="1636"/>
    </row>
    <row r="81" spans="1:26" ht="13.8" thickBot="1">
      <c r="A81" s="351" t="s">
        <v>1352</v>
      </c>
      <c r="B81" s="341" t="s">
        <v>392</v>
      </c>
      <c r="C81" s="342">
        <f ca="1">ROUND((C82+C83)/(1+'数据-取费表'!C42),0)</f>
        <v>9154</v>
      </c>
      <c r="D81" s="343"/>
      <c r="E81" s="344"/>
      <c r="F81" s="38"/>
      <c r="G81" s="38"/>
      <c r="H81" s="867"/>
      <c r="I81" s="287"/>
      <c r="J81" s="1636"/>
      <c r="K81" s="1632">
        <f>K79+1</f>
        <v>7</v>
      </c>
      <c r="L81" s="3535" t="s">
        <v>2158</v>
      </c>
      <c r="M81" s="3536"/>
      <c r="N81" s="1112"/>
      <c r="O81" s="1113">
        <f ca="1">ROUND(O79*10000/'数据-汇总表'!E3,0)</f>
        <v>3664</v>
      </c>
      <c r="P81" s="1114"/>
      <c r="Q81" s="1636"/>
      <c r="R81" s="1636"/>
      <c r="S81" s="1636"/>
      <c r="T81" s="1636"/>
      <c r="U81" s="1636"/>
      <c r="V81" s="1636"/>
    </row>
    <row r="82" spans="1:26" ht="13.8" thickTop="1">
      <c r="A82" s="345" t="s">
        <v>1353</v>
      </c>
      <c r="B82" s="346" t="s">
        <v>393</v>
      </c>
      <c r="C82" s="347">
        <f ca="1">D63</f>
        <v>9612</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25" t="s">
        <v>2146</v>
      </c>
      <c r="L83" s="2337" t="s">
        <v>2147</v>
      </c>
      <c r="M83" s="2327">
        <f ca="1">IF(N69&gt;10000,N69*0.5%,IF(AND(N69&gt;1000,N69&lt;=10000),N69*1%,IF(AND(N69&gt;100,N69&lt;=1000),N69*3%,IF(AND(N69&gt;10,N69&lt;=100),N69*5%,N69*8%))))</f>
        <v>96.12</v>
      </c>
      <c r="N83" s="49">
        <f ca="1">ROUND(M83,1)</f>
        <v>96.1</v>
      </c>
      <c r="O83" s="2330"/>
      <c r="P83" s="1636"/>
      <c r="Q83" s="1636"/>
      <c r="R83" s="1636"/>
      <c r="S83" s="1636"/>
      <c r="T83" s="1636"/>
      <c r="U83" s="1636"/>
      <c r="V83" s="1636"/>
    </row>
    <row r="84" spans="1:26" ht="25.2">
      <c r="A84" s="351" t="s">
        <v>1355</v>
      </c>
      <c r="B84" s="352" t="s">
        <v>395</v>
      </c>
      <c r="C84" s="353"/>
      <c r="D84" s="354" t="s">
        <v>13</v>
      </c>
      <c r="E84" s="2352" t="s">
        <v>2192</v>
      </c>
      <c r="F84" s="38"/>
      <c r="G84" s="38"/>
      <c r="H84" s="867"/>
      <c r="I84" s="287"/>
      <c r="J84" s="1636"/>
      <c r="K84" s="3525"/>
      <c r="L84" s="2337" t="s">
        <v>2148</v>
      </c>
      <c r="M84" s="2327">
        <f ca="1">IF(N69&gt;2000,N69*0.5%,IF(AND(N69&gt;1000,N69&lt;=2000),N69*0.6%,IF(AND(N69&gt;500,N69&lt;=1000),N69*0.7%,IF(AND(N69&gt;200,N69&lt;=500),N69*0.8%,IF(AND(N69&gt;100,N69&lt;=200),N69*0.9%,IF(AND(N69&gt;50,N69&lt;=100),N69*1%,IF(AND(N69&gt;20,N69&lt;=50),N69*1.5%,IF(AND(N69&gt;10,N69&lt;=20),N69*2%,IF(AND(N69&gt;1,N69&lt;=10),N69*2.5%)))))))))</f>
        <v>48.06</v>
      </c>
      <c r="N84" s="49">
        <f ca="1">ROUND(M84,1)</f>
        <v>48.1</v>
      </c>
      <c r="O84" s="1636" t="s">
        <v>2149</v>
      </c>
      <c r="P84" s="1636"/>
      <c r="Q84" s="1636"/>
      <c r="R84" s="1636"/>
      <c r="S84" s="1636"/>
      <c r="T84" s="1636"/>
      <c r="U84" s="1636"/>
      <c r="V84" s="1636"/>
    </row>
    <row r="85" spans="1:26" ht="13.2">
      <c r="A85" s="351" t="s">
        <v>1356</v>
      </c>
      <c r="B85" s="352" t="s">
        <v>396</v>
      </c>
      <c r="C85" s="355">
        <f ca="1">C81-C84</f>
        <v>9154</v>
      </c>
      <c r="D85" s="348" t="s">
        <v>13</v>
      </c>
      <c r="E85" s="349"/>
      <c r="F85" s="38"/>
      <c r="G85" s="38"/>
      <c r="H85" s="867"/>
      <c r="I85" s="287"/>
      <c r="J85" s="1636"/>
      <c r="K85" s="3525"/>
      <c r="L85" s="2337" t="s">
        <v>2150</v>
      </c>
      <c r="M85" s="2327">
        <f ca="1">IF(N69&gt;1000,N69*0.1%,IF(AND(N69&gt;500,N69&lt;=1000),N69*0.5%,IF(AND(N69&gt;50,N69&lt;=500),N69*1%,IF(AND(N69&gt;1,N69&lt;=50),N69*1.5%))))</f>
        <v>9.6120000000000001</v>
      </c>
      <c r="N85" s="49">
        <f ca="1">ROUND(M85,1)</f>
        <v>9.6</v>
      </c>
      <c r="O85" s="1636" t="s">
        <v>2149</v>
      </c>
      <c r="P85" s="1636"/>
      <c r="Q85" s="1636"/>
      <c r="R85" s="1636"/>
      <c r="S85" s="1636"/>
      <c r="T85" s="1636"/>
      <c r="U85" s="1636"/>
      <c r="V85" s="1636"/>
    </row>
    <row r="86" spans="1:26" ht="13.8" thickBot="1">
      <c r="A86" s="356" t="s">
        <v>1357</v>
      </c>
      <c r="B86" s="357" t="s">
        <v>397</v>
      </c>
      <c r="C86" s="358">
        <f ca="1">IF(C85&lt;=0,0,ROUND(C85*D86,0))</f>
        <v>503</v>
      </c>
      <c r="D86" s="359">
        <f>'数据-取费表'!B41</f>
        <v>5.5000000000000007E-2</v>
      </c>
      <c r="E86" s="360"/>
      <c r="F86" s="38"/>
      <c r="G86" s="38"/>
      <c r="H86" s="867"/>
      <c r="I86" s="287"/>
      <c r="J86" s="1636"/>
      <c r="K86" s="3525"/>
      <c r="L86" s="2337" t="s">
        <v>2151</v>
      </c>
      <c r="M86" s="2327">
        <f ca="1">N69*0.5%</f>
        <v>48.06</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25"/>
      <c r="L87" s="2337" t="s">
        <v>2153</v>
      </c>
      <c r="M87" s="2327">
        <f ca="1">IF(N69&gt;=10000,(8.25+(N69-10000)*0.01%),IF(AND(N69&gt;=8000,N69&lt;10000),(7.85+(N69-8000)*0.02%),IF(AND(N69&gt;=5000,N69&lt;8000),(6.65+(N69-5000)*0.04%),IF(AND(N69&gt;=2000,N69&lt;5000),(4.25+(PN69-2000)*0.08%),IF(AND(N69&gt;=1000,N69&lt;2000),(2.75+(N69-1000)*0.15%),IF(AND(N69&gt;=100,N69&lt;1000),(0.5+(N69-100)*0.25%),IF(AND(N69&gt;0,N69&lt;100),N69*0.5%)))))))</f>
        <v>8.1723999999999997</v>
      </c>
      <c r="N87" s="49">
        <f ca="1">ROUND(M87*0.9,1)</f>
        <v>7.4</v>
      </c>
      <c r="O87" s="2330"/>
      <c r="P87" s="1636"/>
      <c r="Q87" s="1636"/>
      <c r="R87" s="1636"/>
      <c r="S87" s="1636"/>
      <c r="T87" s="1636"/>
      <c r="U87" s="1636"/>
      <c r="V87" s="1636"/>
    </row>
    <row r="88" spans="1:26" s="1008" customFormat="1" ht="14.4" thickBot="1">
      <c r="A88" s="3564" t="s">
        <v>398</v>
      </c>
      <c r="B88" s="3565"/>
      <c r="C88" s="3565"/>
      <c r="D88" s="3565"/>
      <c r="E88" s="3565"/>
      <c r="F88" s="3565"/>
      <c r="G88" s="3565"/>
      <c r="H88" s="3565"/>
      <c r="I88" s="1120"/>
      <c r="J88" s="1650"/>
      <c r="K88" s="3525"/>
      <c r="L88" s="2337" t="s">
        <v>2154</v>
      </c>
      <c r="M88" s="2327">
        <f ca="1">IF(N69&gt;10000,N69*0.5%,IF(AND(N69&gt;5000,N69&lt;=10000),N69*1%,IF(AND(N69&gt;1000,N69&lt;=5000),N69*2%,IF(AND(N69&gt;200,N69&lt;=1000),N69*3%,N69*5%))))</f>
        <v>96.12</v>
      </c>
      <c r="N88" s="49">
        <f ca="1">ROUND(M88,1)</f>
        <v>96.1</v>
      </c>
      <c r="O88" s="2330"/>
      <c r="P88" s="1647"/>
      <c r="Q88" s="1647"/>
      <c r="R88" s="1647"/>
      <c r="S88" s="1647"/>
      <c r="T88" s="1647"/>
      <c r="U88" s="1647"/>
      <c r="V88" s="1647"/>
      <c r="W88" s="1651"/>
      <c r="X88" s="1651"/>
      <c r="Y88" s="1651"/>
      <c r="Z88" s="1651"/>
    </row>
    <row r="89" spans="1:26" s="1008" customFormat="1" ht="13.8">
      <c r="A89" s="3523" t="s">
        <v>389</v>
      </c>
      <c r="B89" s="3524"/>
      <c r="C89" s="908"/>
      <c r="D89" s="908" t="s">
        <v>390</v>
      </c>
      <c r="E89" s="361" t="s">
        <v>399</v>
      </c>
      <c r="F89" s="362"/>
      <c r="G89" s="362"/>
      <c r="H89" s="363"/>
      <c r="I89" s="1121"/>
      <c r="J89" s="1652"/>
      <c r="K89" s="3525"/>
      <c r="L89" s="2337" t="s">
        <v>16</v>
      </c>
      <c r="M89" s="2328"/>
      <c r="N89" s="49">
        <f ca="1">ROUND(SUM(N83:N88),0)</f>
        <v>258</v>
      </c>
      <c r="O89" s="2338">
        <f ca="1">N89/N69</f>
        <v>2.6841448189762796E-2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9154</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46</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61" t="s">
        <v>407</v>
      </c>
      <c r="F94" s="3562"/>
      <c r="G94" s="3562"/>
      <c r="H94" s="3563"/>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46</v>
      </c>
      <c r="D96" s="376">
        <f>'数据-取费表'!B43</f>
        <v>5.000000000000001E-3</v>
      </c>
      <c r="E96" s="3520" t="s">
        <v>1780</v>
      </c>
      <c r="F96" s="3521"/>
      <c r="G96" s="3521"/>
      <c r="H96" s="3522"/>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9108</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5449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4" t="s">
        <v>414</v>
      </c>
      <c r="B101" s="3565"/>
      <c r="C101" s="3565"/>
      <c r="D101" s="3565"/>
      <c r="E101" s="3565"/>
      <c r="F101" s="3565"/>
      <c r="G101" s="3565"/>
      <c r="H101" s="3565"/>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23" t="s">
        <v>389</v>
      </c>
      <c r="B102" s="3524"/>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9154</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46</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2265</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76" t="s">
        <v>2241</v>
      </c>
      <c r="H108" s="3577"/>
      <c r="I108" s="2417"/>
      <c r="J108" s="1647"/>
      <c r="K108" s="2743" t="s">
        <v>2266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4" t="s">
        <v>422</v>
      </c>
      <c r="F109" s="3521"/>
      <c r="G109" s="352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4" t="s">
        <v>424</v>
      </c>
      <c r="F110" s="3521"/>
      <c r="G110" s="3521"/>
      <c r="H110" s="3522"/>
      <c r="I110" s="9"/>
      <c r="J110" s="1647"/>
      <c r="K110" s="2744" t="s">
        <v>2267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46</v>
      </c>
      <c r="D111" s="376">
        <f>'数据-取费表'!B43</f>
        <v>5.000000000000001E-3</v>
      </c>
      <c r="E111" s="3520" t="s">
        <v>1780</v>
      </c>
      <c r="F111" s="3521"/>
      <c r="G111" s="3521"/>
      <c r="H111" s="3522"/>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4" t="s">
        <v>1799</v>
      </c>
      <c r="F112" s="3521"/>
      <c r="G112" s="3521"/>
      <c r="H112" s="3522"/>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9108</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5449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0" priority="3" stopIfTrue="1">
      <formula>$H$106&lt;&gt;"仅含出让金"</formula>
    </cfRule>
  </conditionalFormatting>
  <conditionalFormatting sqref="C109">
    <cfRule type="expression" dxfId="139" priority="2" stopIfTrue="1">
      <formula>$H$109="由企业提供"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I33">
    <cfRule type="expression" dxfId="135"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5956</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417</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195</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227</v>
      </c>
      <c r="D16" s="420">
        <f ca="1">IF(B1="",'数据-汇总表'!E3,INDIRECT("'数据-取费表'!K"&amp;$K$1)+INDIRECT("'数据-取费表'!S"&amp;$K$1))</f>
        <v>11347.150000000001</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119</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6914</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138</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282</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2284</v>
      </c>
      <c r="B21" s="2316" t="s">
        <v>2107</v>
      </c>
      <c r="C21" s="447">
        <f ca="1">ROUND((C18+C19)*F21,0)</f>
        <v>1128</v>
      </c>
      <c r="D21" s="2785"/>
      <c r="E21" s="431"/>
      <c r="F21" s="448">
        <f ca="1">IF(B1="",'数据-取费表'!Q16,INDIRECT("'数据-取费表'!q"&amp;$K$1))</f>
        <v>0.16</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2285</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3" t="s">
        <v>1394</v>
      </c>
      <c r="B24" s="359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3" t="s">
        <v>2282</v>
      </c>
      <c r="B25" s="3594"/>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3" t="s">
        <v>2283</v>
      </c>
      <c r="B26" s="359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5" t="s">
        <v>2281</v>
      </c>
      <c r="B27" s="3596"/>
      <c r="C27" s="2803">
        <f ca="1">(C6-C23-C24-C25)/((1+F26)*(1+D20+F21))</f>
        <v>0</v>
      </c>
      <c r="D27" s="2804"/>
      <c r="E27" s="2804"/>
      <c r="F27" s="2804"/>
      <c r="G27" s="2805" t="s">
        <v>2220</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3" t="str">
        <f>项目基本情况!B1</f>
        <v>北京市出让国有建设用地使用权抵押价格预评估</v>
      </c>
      <c r="C37" s="3423"/>
      <c r="D37" s="3423"/>
      <c r="E37" s="3423"/>
      <c r="F37" s="3423"/>
      <c r="G37" s="3423"/>
      <c r="H37" s="3423"/>
      <c r="I37" s="342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40" zoomScale="85" zoomScaleNormal="95" zoomScaleSheetLayoutView="85" workbookViewId="0">
      <selection activeCell="K29" sqref="K29"/>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10018</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8829</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18044</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1203</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20" t="s">
        <v>471</v>
      </c>
      <c r="D6" s="3621"/>
      <c r="E6" s="3620" t="s">
        <v>472</v>
      </c>
      <c r="F6" s="3621"/>
      <c r="G6" s="3620" t="s">
        <v>473</v>
      </c>
      <c r="H6" s="3621"/>
      <c r="I6" s="3620" t="s">
        <v>474</v>
      </c>
      <c r="J6" s="3621"/>
      <c r="K6" s="465" t="s">
        <v>475</v>
      </c>
      <c r="L6" s="1741"/>
      <c r="M6" s="1740"/>
      <c r="N6" s="1740"/>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ht="72.599999999999994" customHeight="1">
      <c r="A7" s="466"/>
      <c r="B7" s="467"/>
      <c r="C7" s="3631" t="s">
        <v>2181</v>
      </c>
      <c r="D7" s="3632"/>
      <c r="E7" s="3631" t="s">
        <v>3415</v>
      </c>
      <c r="F7" s="3632"/>
      <c r="G7" s="3631" t="s">
        <v>3439</v>
      </c>
      <c r="H7" s="3632"/>
      <c r="I7" s="3631" t="str">
        <f>案例!A3</f>
        <v>北京市顺义区顺义新城0201街区东风商场片区项目SY00-0201-093、096地块R2二类居住用地、SY00-0201-086地块A334托幼用地</v>
      </c>
      <c r="J7" s="3632"/>
      <c r="K7" s="465"/>
      <c r="L7" s="1741"/>
      <c r="M7" s="1740"/>
      <c r="N7" s="1740"/>
      <c r="O7" s="1742"/>
      <c r="P7" s="3624"/>
      <c r="Q7" s="3625"/>
      <c r="R7" s="3608"/>
      <c r="S7" s="3609"/>
      <c r="T7" s="3608"/>
      <c r="U7" s="3609"/>
      <c r="V7" s="3628"/>
      <c r="W7" s="3628"/>
      <c r="X7" s="1302"/>
      <c r="Y7" s="3608"/>
      <c r="Z7" s="3609"/>
      <c r="AA7" s="3602"/>
      <c r="AB7" s="3602"/>
      <c r="AC7" s="3602"/>
    </row>
    <row r="8" spans="1:29" ht="21.6" thickBot="1">
      <c r="A8" s="466"/>
      <c r="B8" s="467"/>
      <c r="C8" s="3633" t="s">
        <v>2185</v>
      </c>
      <c r="D8" s="3634"/>
      <c r="E8" s="3633" t="s">
        <v>3461</v>
      </c>
      <c r="F8" s="3634"/>
      <c r="G8" s="3629" t="s">
        <v>3461</v>
      </c>
      <c r="H8" s="3630"/>
      <c r="I8" s="3629" t="s">
        <v>2185</v>
      </c>
      <c r="J8" s="3630"/>
      <c r="K8" s="465" t="s">
        <v>477</v>
      </c>
      <c r="L8" s="1741"/>
      <c r="M8" s="1740"/>
      <c r="N8" s="1740"/>
      <c r="O8" s="1742"/>
      <c r="P8" s="3626"/>
      <c r="Q8" s="3627"/>
      <c r="R8" s="3608"/>
      <c r="S8" s="3609"/>
      <c r="T8" s="3610"/>
      <c r="U8" s="3611"/>
      <c r="V8" s="3628"/>
      <c r="W8" s="3628"/>
      <c r="X8" s="1302"/>
      <c r="Y8" s="3610"/>
      <c r="Z8" s="3611"/>
      <c r="AA8" s="3603"/>
      <c r="AB8" s="3603"/>
      <c r="AC8" s="3603"/>
    </row>
    <row r="9" spans="1:29" s="1060" customFormat="1" ht="21.6"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04" t="s">
        <v>479</v>
      </c>
      <c r="Q9" s="3613"/>
      <c r="R9" s="1303" t="s">
        <v>5</v>
      </c>
      <c r="S9" s="1304">
        <f t="shared" ref="S9:S17" si="0">F9</f>
        <v>102</v>
      </c>
      <c r="T9" s="1303" t="s">
        <v>5</v>
      </c>
      <c r="U9" s="1304">
        <f t="shared" ref="U9:U17" si="1">H9</f>
        <v>102</v>
      </c>
      <c r="V9" s="1303" t="s">
        <v>5</v>
      </c>
      <c r="W9" s="1304">
        <f t="shared" ref="W9:W17" si="2">J9</f>
        <v>100</v>
      </c>
      <c r="X9" s="1305"/>
      <c r="Y9" s="3604" t="s">
        <v>479</v>
      </c>
      <c r="Z9" s="3605"/>
      <c r="AA9" s="997">
        <f>D9/F9</f>
        <v>0.98039215686274506</v>
      </c>
      <c r="AB9" s="997">
        <f>D9/H9</f>
        <v>0.98039215686274506</v>
      </c>
      <c r="AC9" s="997">
        <f>D9/J9</f>
        <v>1</v>
      </c>
    </row>
    <row r="10" spans="1:29" s="1060" customFormat="1" ht="21.6" thickBot="1">
      <c r="A10" s="2210"/>
      <c r="B10" s="2217"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3"/>
      <c r="M10" s="1740"/>
      <c r="N10" s="1740"/>
      <c r="O10" s="1640"/>
      <c r="P10" s="3604" t="s">
        <v>482</v>
      </c>
      <c r="Q10" s="3605"/>
      <c r="R10" s="1303" t="s">
        <v>5</v>
      </c>
      <c r="S10" s="1304">
        <f t="shared" si="0"/>
        <v>100</v>
      </c>
      <c r="T10" s="1303" t="s">
        <v>5</v>
      </c>
      <c r="U10" s="1304">
        <f t="shared" si="1"/>
        <v>100</v>
      </c>
      <c r="V10" s="1303" t="s">
        <v>5</v>
      </c>
      <c r="W10" s="1304">
        <f t="shared" si="2"/>
        <v>100</v>
      </c>
      <c r="X10" s="1305"/>
      <c r="Y10" s="3604" t="s">
        <v>482</v>
      </c>
      <c r="Z10" s="3605"/>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612" t="s">
        <v>484</v>
      </c>
      <c r="Q11" s="818" t="str">
        <f t="shared" ref="Q11:Q17" si="6">B11</f>
        <v>用途</v>
      </c>
      <c r="R11" s="1303" t="s">
        <v>5</v>
      </c>
      <c r="S11" s="1304">
        <f t="shared" si="0"/>
        <v>100</v>
      </c>
      <c r="T11" s="1303" t="s">
        <v>5</v>
      </c>
      <c r="U11" s="1304">
        <f t="shared" si="1"/>
        <v>100</v>
      </c>
      <c r="V11" s="1303" t="s">
        <v>5</v>
      </c>
      <c r="W11" s="1304">
        <f t="shared" si="2"/>
        <v>100</v>
      </c>
      <c r="X11" s="1305"/>
      <c r="Y11" s="3560"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ROUND(100/'数据-取费表'!G16,0)</f>
        <v>101</v>
      </c>
      <c r="G12" s="480"/>
      <c r="H12" s="235">
        <f>ROUND(100/'数据-取费表'!G16,0)</f>
        <v>101</v>
      </c>
      <c r="I12" s="480"/>
      <c r="J12" s="235">
        <f>ROUND(100/'数据-取费表'!G16,0)</f>
        <v>101</v>
      </c>
      <c r="K12" s="481"/>
      <c r="L12" s="1745"/>
      <c r="M12" s="1740"/>
      <c r="N12" s="1740"/>
      <c r="O12" s="1746"/>
      <c r="P12" s="3612"/>
      <c r="Q12" s="818" t="str">
        <f t="shared" si="6"/>
        <v>土地使用年限（年）</v>
      </c>
      <c r="R12" s="1303" t="s">
        <v>5</v>
      </c>
      <c r="S12" s="1304">
        <f t="shared" si="0"/>
        <v>101</v>
      </c>
      <c r="T12" s="1303" t="s">
        <v>5</v>
      </c>
      <c r="U12" s="1304">
        <f t="shared" si="1"/>
        <v>101</v>
      </c>
      <c r="V12" s="1303" t="s">
        <v>5</v>
      </c>
      <c r="W12" s="1304">
        <f t="shared" si="2"/>
        <v>101</v>
      </c>
      <c r="X12" s="1305"/>
      <c r="Y12" s="3560"/>
      <c r="Z12" s="997" t="str">
        <f t="shared" si="7"/>
        <v>土地使用年限（年）</v>
      </c>
      <c r="AA12" s="997">
        <f t="shared" si="3"/>
        <v>0.99009900990099009</v>
      </c>
      <c r="AB12" s="997">
        <f t="shared" si="4"/>
        <v>0.99009900990099009</v>
      </c>
      <c r="AC12" s="997">
        <f t="shared" si="5"/>
        <v>0.99009900990099009</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612"/>
      <c r="Q13" s="818" t="str">
        <f t="shared" si="6"/>
        <v>容积率</v>
      </c>
      <c r="R13" s="1303" t="s">
        <v>5</v>
      </c>
      <c r="S13" s="1304">
        <f t="shared" si="0"/>
        <v>100</v>
      </c>
      <c r="T13" s="1303" t="s">
        <v>5</v>
      </c>
      <c r="U13" s="1304">
        <f t="shared" si="1"/>
        <v>100</v>
      </c>
      <c r="V13" s="1303" t="s">
        <v>5</v>
      </c>
      <c r="W13" s="1304">
        <f t="shared" si="2"/>
        <v>100</v>
      </c>
      <c r="X13" s="1305"/>
      <c r="Y13" s="3560"/>
      <c r="Z13" s="997" t="str">
        <f t="shared" si="7"/>
        <v>容积率</v>
      </c>
      <c r="AA13" s="997">
        <f t="shared" si="3"/>
        <v>1</v>
      </c>
      <c r="AB13" s="997">
        <f t="shared" si="4"/>
        <v>1</v>
      </c>
      <c r="AC13" s="997">
        <f t="shared" si="5"/>
        <v>1</v>
      </c>
    </row>
    <row r="14" spans="1:29" s="1060" customFormat="1" ht="21">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612"/>
      <c r="Q14" s="818" t="str">
        <f t="shared" si="6"/>
        <v>配建</v>
      </c>
      <c r="R14" s="1303" t="s">
        <v>5</v>
      </c>
      <c r="S14" s="1304">
        <f t="shared" si="0"/>
        <v>100</v>
      </c>
      <c r="T14" s="1303" t="s">
        <v>5</v>
      </c>
      <c r="U14" s="1304">
        <f t="shared" si="1"/>
        <v>100</v>
      </c>
      <c r="V14" s="1303" t="s">
        <v>5</v>
      </c>
      <c r="W14" s="1304">
        <f t="shared" si="2"/>
        <v>100</v>
      </c>
      <c r="X14" s="1305"/>
      <c r="Y14" s="3560"/>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2"/>
      <c r="Q15" s="818">
        <f t="shared" si="6"/>
        <v>111</v>
      </c>
      <c r="R15" s="1303" t="s">
        <v>5</v>
      </c>
      <c r="S15" s="1304">
        <f t="shared" si="0"/>
        <v>100</v>
      </c>
      <c r="T15" s="1303" t="s">
        <v>5</v>
      </c>
      <c r="U15" s="1304">
        <f t="shared" si="1"/>
        <v>100</v>
      </c>
      <c r="V15" s="1303" t="s">
        <v>5</v>
      </c>
      <c r="W15" s="1304">
        <f t="shared" si="2"/>
        <v>100</v>
      </c>
      <c r="X15" s="1305"/>
      <c r="Y15" s="3560"/>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2"/>
      <c r="Q16" s="818">
        <f t="shared" si="6"/>
        <v>111</v>
      </c>
      <c r="R16" s="1303" t="s">
        <v>5</v>
      </c>
      <c r="S16" s="1304">
        <f t="shared" si="0"/>
        <v>100</v>
      </c>
      <c r="T16" s="1303" t="s">
        <v>5</v>
      </c>
      <c r="U16" s="1304">
        <f t="shared" si="1"/>
        <v>100</v>
      </c>
      <c r="V16" s="1303" t="s">
        <v>5</v>
      </c>
      <c r="W16" s="1304">
        <f t="shared" si="2"/>
        <v>100</v>
      </c>
      <c r="X16" s="1305"/>
      <c r="Y16" s="3560"/>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14" t="s">
        <v>489</v>
      </c>
      <c r="Q17" s="1306" t="str">
        <f t="shared" si="6"/>
        <v>居住社区成熟度</v>
      </c>
      <c r="R17" s="1307" t="s">
        <v>5</v>
      </c>
      <c r="S17" s="1308">
        <f t="shared" si="0"/>
        <v>100</v>
      </c>
      <c r="T17" s="1307" t="s">
        <v>5</v>
      </c>
      <c r="U17" s="1308">
        <f t="shared" si="1"/>
        <v>103</v>
      </c>
      <c r="V17" s="1307" t="s">
        <v>5</v>
      </c>
      <c r="W17" s="1308">
        <f t="shared" si="2"/>
        <v>103</v>
      </c>
      <c r="X17" s="1302"/>
      <c r="Y17" s="3614" t="s">
        <v>489</v>
      </c>
      <c r="Z17" s="1309" t="str">
        <f t="shared" si="7"/>
        <v>居住社区成熟度</v>
      </c>
      <c r="AA17" s="1309">
        <f t="shared" si="3"/>
        <v>1</v>
      </c>
      <c r="AB17" s="1309">
        <f t="shared" si="4"/>
        <v>0.970873786407767</v>
      </c>
      <c r="AC17" s="1309">
        <f t="shared" si="5"/>
        <v>0.970873786407767</v>
      </c>
    </row>
    <row r="18" spans="1:29" ht="21">
      <c r="A18" s="482"/>
      <c r="B18" s="503"/>
      <c r="C18" s="504" t="s">
        <v>3470</v>
      </c>
      <c r="D18" s="507"/>
      <c r="E18" s="508" t="s">
        <v>3470</v>
      </c>
      <c r="F18" s="505"/>
      <c r="G18" s="506" t="s">
        <v>3467</v>
      </c>
      <c r="H18" s="509"/>
      <c r="I18" s="508" t="s">
        <v>3467</v>
      </c>
      <c r="J18" s="505"/>
      <c r="K18" s="481"/>
      <c r="L18" s="1749"/>
      <c r="M18" s="1740"/>
      <c r="N18" s="1740"/>
      <c r="O18" s="1748"/>
      <c r="P18" s="3615"/>
      <c r="Q18" s="1306"/>
      <c r="R18" s="1307"/>
      <c r="S18" s="1308"/>
      <c r="T18" s="1307"/>
      <c r="U18" s="1308"/>
      <c r="V18" s="1307"/>
      <c r="W18" s="1308"/>
      <c r="X18" s="1302"/>
      <c r="Y18" s="3615"/>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5"/>
      <c r="Q19" s="1306" t="str">
        <f>B19</f>
        <v>商业繁华度</v>
      </c>
      <c r="R19" s="1307" t="s">
        <v>5</v>
      </c>
      <c r="S19" s="1308">
        <f>F19</f>
        <v>100</v>
      </c>
      <c r="T19" s="1307" t="s">
        <v>5</v>
      </c>
      <c r="U19" s="1308">
        <f>H19</f>
        <v>100</v>
      </c>
      <c r="V19" s="1307" t="s">
        <v>5</v>
      </c>
      <c r="W19" s="1308">
        <f>J19</f>
        <v>100</v>
      </c>
      <c r="X19" s="1302"/>
      <c r="Y19" s="3615"/>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15"/>
      <c r="Q20" s="1306"/>
      <c r="R20" s="1307"/>
      <c r="S20" s="1308"/>
      <c r="T20" s="1307"/>
      <c r="U20" s="1308"/>
      <c r="V20" s="1307"/>
      <c r="W20" s="1308"/>
      <c r="X20" s="1302"/>
      <c r="Y20" s="3615"/>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5"/>
      <c r="Q21" s="1306" t="str">
        <f>B21</f>
        <v>办公集聚程度</v>
      </c>
      <c r="R21" s="1307" t="s">
        <v>5</v>
      </c>
      <c r="S21" s="1308">
        <f>F21</f>
        <v>100</v>
      </c>
      <c r="T21" s="1307" t="s">
        <v>5</v>
      </c>
      <c r="U21" s="1308">
        <f>H21</f>
        <v>100</v>
      </c>
      <c r="V21" s="1307" t="s">
        <v>5</v>
      </c>
      <c r="W21" s="1308">
        <f>J21</f>
        <v>100</v>
      </c>
      <c r="X21" s="1302"/>
      <c r="Y21" s="3615"/>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15"/>
      <c r="Q22" s="1306"/>
      <c r="R22" s="1307"/>
      <c r="S22" s="1308"/>
      <c r="T22" s="1307"/>
      <c r="U22" s="1308"/>
      <c r="V22" s="1307"/>
      <c r="W22" s="1308"/>
      <c r="X22" s="1302"/>
      <c r="Y22" s="3615"/>
      <c r="Z22" s="1309"/>
      <c r="AA22" s="1309">
        <v>1</v>
      </c>
      <c r="AB22" s="1309">
        <v>1</v>
      </c>
      <c r="AC22" s="1309">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15"/>
      <c r="Q23" s="1306" t="str">
        <f>B23</f>
        <v>交通便捷度</v>
      </c>
      <c r="R23" s="1307" t="s">
        <v>5</v>
      </c>
      <c r="S23" s="1308">
        <f>F23</f>
        <v>102</v>
      </c>
      <c r="T23" s="1307" t="s">
        <v>5</v>
      </c>
      <c r="U23" s="1308">
        <f>H23</f>
        <v>100</v>
      </c>
      <c r="V23" s="1307" t="s">
        <v>5</v>
      </c>
      <c r="W23" s="1308">
        <f>J23</f>
        <v>102</v>
      </c>
      <c r="X23" s="1302"/>
      <c r="Y23" s="3615"/>
      <c r="Z23" s="1309" t="str">
        <f>Q23</f>
        <v>交通便捷度</v>
      </c>
      <c r="AA23" s="1309">
        <f t="shared" si="3"/>
        <v>0.98039215686274506</v>
      </c>
      <c r="AB23" s="1309">
        <f t="shared" si="4"/>
        <v>1</v>
      </c>
      <c r="AC23" s="1309">
        <f t="shared" si="5"/>
        <v>0.98039215686274506</v>
      </c>
    </row>
    <row r="24" spans="1:29" ht="21">
      <c r="A24" s="482"/>
      <c r="B24" s="528"/>
      <c r="C24" s="504" t="s">
        <v>3470</v>
      </c>
      <c r="D24" s="507"/>
      <c r="E24" s="508" t="s">
        <v>3467</v>
      </c>
      <c r="F24" s="505"/>
      <c r="G24" s="506" t="s">
        <v>3470</v>
      </c>
      <c r="H24" s="505"/>
      <c r="I24" s="508" t="s">
        <v>3467</v>
      </c>
      <c r="J24" s="505"/>
      <c r="K24" s="481"/>
      <c r="L24" s="1749"/>
      <c r="M24" s="1740"/>
      <c r="N24" s="1740"/>
      <c r="O24" s="1748"/>
      <c r="P24" s="3615"/>
      <c r="Q24" s="1306"/>
      <c r="R24" s="1307"/>
      <c r="S24" s="1308"/>
      <c r="T24" s="1307"/>
      <c r="U24" s="1308"/>
      <c r="V24" s="1307"/>
      <c r="W24" s="1308"/>
      <c r="X24" s="1302"/>
      <c r="Y24" s="3615"/>
      <c r="Z24" s="1309"/>
      <c r="AA24" s="1309">
        <v>1</v>
      </c>
      <c r="AB24" s="1309">
        <v>1</v>
      </c>
      <c r="AC24" s="1309">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49"/>
      <c r="M25" s="1740"/>
      <c r="N25" s="1740"/>
      <c r="O25" s="1748"/>
      <c r="P25" s="3615"/>
      <c r="Q25" s="1306" t="str">
        <f t="shared" ref="Q25:Q39" si="8">B25</f>
        <v>区域土地利用方向</v>
      </c>
      <c r="R25" s="1307" t="s">
        <v>5</v>
      </c>
      <c r="S25" s="1308">
        <f>F25</f>
        <v>102</v>
      </c>
      <c r="T25" s="1307" t="s">
        <v>5</v>
      </c>
      <c r="U25" s="1308">
        <f>H25</f>
        <v>102</v>
      </c>
      <c r="V25" s="1307" t="s">
        <v>5</v>
      </c>
      <c r="W25" s="1308">
        <f>J25</f>
        <v>102</v>
      </c>
      <c r="X25" s="1302"/>
      <c r="Y25" s="3615"/>
      <c r="Z25" s="1309" t="str">
        <f>Q25</f>
        <v>区域土地利用方向</v>
      </c>
      <c r="AA25" s="1309">
        <f t="shared" si="3"/>
        <v>0.98039215686274506</v>
      </c>
      <c r="AB25" s="1309">
        <f t="shared" si="4"/>
        <v>0.98039215686274506</v>
      </c>
      <c r="AC25" s="1309">
        <f t="shared" si="5"/>
        <v>0.98039215686274506</v>
      </c>
    </row>
    <row r="26" spans="1:29" ht="21">
      <c r="A26" s="466"/>
      <c r="B26" s="919"/>
      <c r="C26" s="504" t="s">
        <v>3470</v>
      </c>
      <c r="D26" s="507"/>
      <c r="E26" s="508" t="s">
        <v>3467</v>
      </c>
      <c r="F26" s="505"/>
      <c r="G26" s="506" t="s">
        <v>3467</v>
      </c>
      <c r="H26" s="505"/>
      <c r="I26" s="506" t="s">
        <v>3467</v>
      </c>
      <c r="J26" s="505"/>
      <c r="K26" s="481"/>
      <c r="L26" s="1749"/>
      <c r="M26" s="1740"/>
      <c r="N26" s="1740"/>
      <c r="O26" s="1748"/>
      <c r="P26" s="3615"/>
      <c r="Q26" s="1306"/>
      <c r="R26" s="1307"/>
      <c r="S26" s="1308"/>
      <c r="T26" s="1307"/>
      <c r="U26" s="1308"/>
      <c r="V26" s="1307"/>
      <c r="W26" s="1308"/>
      <c r="X26" s="1302"/>
      <c r="Y26" s="3615"/>
      <c r="Z26" s="1309"/>
      <c r="AA26" s="1309"/>
      <c r="AB26" s="1309"/>
      <c r="AC26" s="1309"/>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49"/>
      <c r="M27" s="1740"/>
      <c r="N27" s="1740"/>
      <c r="O27" s="1748"/>
      <c r="P27" s="3615"/>
      <c r="Q27" s="1306" t="str">
        <f t="shared" si="8"/>
        <v>自然及人文环境状况</v>
      </c>
      <c r="R27" s="1307" t="s">
        <v>5</v>
      </c>
      <c r="S27" s="1308">
        <f>F27</f>
        <v>102</v>
      </c>
      <c r="T27" s="1307" t="s">
        <v>5</v>
      </c>
      <c r="U27" s="1308">
        <f>H27</f>
        <v>100</v>
      </c>
      <c r="V27" s="1307" t="s">
        <v>5</v>
      </c>
      <c r="W27" s="1308">
        <f>J27</f>
        <v>100</v>
      </c>
      <c r="X27" s="1302"/>
      <c r="Y27" s="3615"/>
      <c r="Z27" s="1309" t="str">
        <f>Q27</f>
        <v>自然及人文环境状况</v>
      </c>
      <c r="AA27" s="1309">
        <f t="shared" si="3"/>
        <v>0.98039215686274506</v>
      </c>
      <c r="AB27" s="1309">
        <f t="shared" si="4"/>
        <v>1</v>
      </c>
      <c r="AC27" s="1309">
        <f t="shared" si="5"/>
        <v>1</v>
      </c>
    </row>
    <row r="28" spans="1:29" ht="21">
      <c r="A28" s="466"/>
      <c r="B28" s="516"/>
      <c r="C28" s="504" t="s">
        <v>3470</v>
      </c>
      <c r="D28" s="507"/>
      <c r="E28" s="526" t="s">
        <v>3467</v>
      </c>
      <c r="F28" s="505"/>
      <c r="G28" s="504" t="s">
        <v>3470</v>
      </c>
      <c r="H28" s="505"/>
      <c r="I28" s="504" t="s">
        <v>3470</v>
      </c>
      <c r="J28" s="505"/>
      <c r="K28" s="481"/>
      <c r="L28" s="1749"/>
      <c r="M28" s="1740"/>
      <c r="N28" s="1740"/>
      <c r="O28" s="1748"/>
      <c r="P28" s="3615"/>
      <c r="Q28" s="1306"/>
      <c r="R28" s="1307"/>
      <c r="S28" s="1308"/>
      <c r="T28" s="1307"/>
      <c r="U28" s="1308"/>
      <c r="V28" s="1307"/>
      <c r="W28" s="1308"/>
      <c r="X28" s="1302"/>
      <c r="Y28" s="3615"/>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3"/>
      <c r="M29" s="1740"/>
      <c r="N29" s="1740"/>
      <c r="O29" s="1744"/>
      <c r="P29" s="3615"/>
      <c r="Q29" s="818" t="str">
        <f t="shared" si="8"/>
        <v>公共配套设施</v>
      </c>
      <c r="R29" s="1303" t="s">
        <v>5</v>
      </c>
      <c r="S29" s="1304">
        <f>F29</f>
        <v>100</v>
      </c>
      <c r="T29" s="1303" t="s">
        <v>5</v>
      </c>
      <c r="U29" s="1304">
        <f>H29</f>
        <v>100</v>
      </c>
      <c r="V29" s="1303" t="s">
        <v>5</v>
      </c>
      <c r="W29" s="1304">
        <f>J29</f>
        <v>103</v>
      </c>
      <c r="X29" s="1305"/>
      <c r="Y29" s="3615"/>
      <c r="Z29" s="997" t="str">
        <f>Q29</f>
        <v>公共配套设施</v>
      </c>
      <c r="AA29" s="1309">
        <f>D29/F29</f>
        <v>1</v>
      </c>
      <c r="AB29" s="1309">
        <f>D29/H29</f>
        <v>1</v>
      </c>
      <c r="AC29" s="1309">
        <f>D29/J29</f>
        <v>0.970873786407767</v>
      </c>
    </row>
    <row r="30" spans="1:29" s="1060" customFormat="1" ht="21">
      <c r="A30" s="527"/>
      <c r="B30" s="516"/>
      <c r="C30" s="504" t="s">
        <v>3470</v>
      </c>
      <c r="D30" s="507"/>
      <c r="E30" s="526" t="s">
        <v>3470</v>
      </c>
      <c r="F30" s="505"/>
      <c r="G30" s="504" t="s">
        <v>3470</v>
      </c>
      <c r="H30" s="505"/>
      <c r="I30" s="504" t="s">
        <v>3467</v>
      </c>
      <c r="J30" s="505"/>
      <c r="K30" s="481"/>
      <c r="L30" s="1743"/>
      <c r="M30" s="1740"/>
      <c r="N30" s="1740"/>
      <c r="O30" s="1744"/>
      <c r="P30" s="3615"/>
      <c r="Q30" s="818"/>
      <c r="R30" s="1303"/>
      <c r="S30" s="1304"/>
      <c r="T30" s="1303"/>
      <c r="U30" s="1304"/>
      <c r="V30" s="1303"/>
      <c r="W30" s="1304"/>
      <c r="X30" s="1305"/>
      <c r="Y30" s="3615"/>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15"/>
      <c r="Q31" s="818" t="str">
        <f>B31</f>
        <v>基础设施水平</v>
      </c>
      <c r="R31" s="1303" t="s">
        <v>5</v>
      </c>
      <c r="S31" s="1304">
        <f>F31</f>
        <v>100</v>
      </c>
      <c r="T31" s="1303" t="s">
        <v>5</v>
      </c>
      <c r="U31" s="1304">
        <f>H31</f>
        <v>100</v>
      </c>
      <c r="V31" s="1303" t="s">
        <v>5</v>
      </c>
      <c r="W31" s="1304">
        <f>J31</f>
        <v>100</v>
      </c>
      <c r="X31" s="1305"/>
      <c r="Y31" s="3615"/>
      <c r="Z31" s="997" t="str">
        <f>Q31</f>
        <v>基础设施水平</v>
      </c>
      <c r="AA31" s="1309">
        <f>D31/F31</f>
        <v>1</v>
      </c>
      <c r="AB31" s="1309">
        <f>D31/H31</f>
        <v>1</v>
      </c>
      <c r="AC31" s="1309">
        <f>D31/J31</f>
        <v>1</v>
      </c>
    </row>
    <row r="32" spans="1:29" s="1060" customFormat="1" ht="21">
      <c r="A32" s="527"/>
      <c r="B32" s="516"/>
      <c r="C32" s="2051" t="s">
        <v>3468</v>
      </c>
      <c r="D32" s="507"/>
      <c r="E32" s="2051" t="s">
        <v>3468</v>
      </c>
      <c r="F32" s="505"/>
      <c r="G32" s="529" t="s">
        <v>3468</v>
      </c>
      <c r="H32" s="505"/>
      <c r="I32" s="529" t="s">
        <v>3468</v>
      </c>
      <c r="J32" s="505"/>
      <c r="K32" s="481"/>
      <c r="L32" s="1743"/>
      <c r="M32" s="1740"/>
      <c r="N32" s="1740"/>
      <c r="O32" s="1744"/>
      <c r="P32" s="3615"/>
      <c r="Q32" s="818"/>
      <c r="R32" s="1303"/>
      <c r="S32" s="1304"/>
      <c r="T32" s="1303"/>
      <c r="U32" s="1304"/>
      <c r="V32" s="1303"/>
      <c r="W32" s="1304"/>
      <c r="X32" s="1305"/>
      <c r="Y32" s="3615"/>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5"/>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5"/>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5"/>
      <c r="Q34" s="1306" t="str">
        <f t="shared" si="8"/>
        <v>毗邻道路的类型与等级</v>
      </c>
      <c r="R34" s="1307" t="s">
        <v>5</v>
      </c>
      <c r="S34" s="1308">
        <f t="shared" si="9"/>
        <v>100</v>
      </c>
      <c r="T34" s="1307" t="s">
        <v>5</v>
      </c>
      <c r="U34" s="1308">
        <f t="shared" si="10"/>
        <v>100</v>
      </c>
      <c r="V34" s="1307" t="s">
        <v>5</v>
      </c>
      <c r="W34" s="1308">
        <f t="shared" si="11"/>
        <v>100</v>
      </c>
      <c r="X34" s="1302"/>
      <c r="Y34" s="3615"/>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15"/>
      <c r="Q35" s="1306"/>
      <c r="R35" s="1307"/>
      <c r="S35" s="1308"/>
      <c r="T35" s="1307"/>
      <c r="U35" s="1308"/>
      <c r="V35" s="1307"/>
      <c r="W35" s="1308"/>
      <c r="X35" s="1302"/>
      <c r="Y35" s="3615"/>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5"/>
      <c r="Q36" s="1306" t="str">
        <f t="shared" si="8"/>
        <v>土地级别</v>
      </c>
      <c r="R36" s="1307" t="s">
        <v>5</v>
      </c>
      <c r="S36" s="1308">
        <f t="shared" si="9"/>
        <v>100</v>
      </c>
      <c r="T36" s="1307" t="s">
        <v>5</v>
      </c>
      <c r="U36" s="1308">
        <f t="shared" si="10"/>
        <v>100</v>
      </c>
      <c r="V36" s="1307" t="s">
        <v>5</v>
      </c>
      <c r="W36" s="1308">
        <f t="shared" si="11"/>
        <v>100</v>
      </c>
      <c r="X36" s="1302"/>
      <c r="Y36" s="3615"/>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5"/>
      <c r="Q37" s="1306">
        <f t="shared" si="8"/>
        <v>111</v>
      </c>
      <c r="R37" s="1307" t="s">
        <v>5</v>
      </c>
      <c r="S37" s="1308">
        <f t="shared" si="9"/>
        <v>100</v>
      </c>
      <c r="T37" s="1307" t="s">
        <v>5</v>
      </c>
      <c r="U37" s="1308">
        <f t="shared" si="10"/>
        <v>100</v>
      </c>
      <c r="V37" s="1307" t="s">
        <v>5</v>
      </c>
      <c r="W37" s="1308">
        <f t="shared" si="11"/>
        <v>100</v>
      </c>
      <c r="X37" s="1302"/>
      <c r="Y37" s="3615"/>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6" t="s">
        <v>499</v>
      </c>
      <c r="Q38" s="1306">
        <f t="shared" si="8"/>
        <v>111</v>
      </c>
      <c r="R38" s="1307" t="s">
        <v>5</v>
      </c>
      <c r="S38" s="1308">
        <f t="shared" si="9"/>
        <v>100</v>
      </c>
      <c r="T38" s="1307" t="s">
        <v>5</v>
      </c>
      <c r="U38" s="1308">
        <f t="shared" si="10"/>
        <v>100</v>
      </c>
      <c r="V38" s="1307" t="s">
        <v>5</v>
      </c>
      <c r="W38" s="1308">
        <f t="shared" si="11"/>
        <v>100</v>
      </c>
      <c r="X38" s="1302"/>
      <c r="Y38" s="3617"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7"/>
      <c r="Q39" s="1306">
        <f t="shared" si="8"/>
        <v>111</v>
      </c>
      <c r="R39" s="1310" t="s">
        <v>5</v>
      </c>
      <c r="S39" s="1311">
        <f t="shared" si="9"/>
        <v>100</v>
      </c>
      <c r="T39" s="1310" t="s">
        <v>5</v>
      </c>
      <c r="U39" s="1311">
        <f t="shared" si="10"/>
        <v>100</v>
      </c>
      <c r="V39" s="1310" t="s">
        <v>5</v>
      </c>
      <c r="W39" s="1311">
        <f t="shared" si="11"/>
        <v>100</v>
      </c>
      <c r="X39" s="1312"/>
      <c r="Y39" s="3617"/>
      <c r="Z39" s="1313">
        <f t="shared" si="12"/>
        <v>111</v>
      </c>
      <c r="AA39" s="1309">
        <f t="shared" si="3"/>
        <v>1</v>
      </c>
      <c r="AB39" s="1309">
        <f t="shared" si="4"/>
        <v>1</v>
      </c>
      <c r="AC39" s="1309">
        <f t="shared" si="5"/>
        <v>1</v>
      </c>
    </row>
    <row r="40" spans="1:29" ht="21">
      <c r="A40" s="2204" t="s">
        <v>2037</v>
      </c>
      <c r="B40" s="544" t="s">
        <v>501</v>
      </c>
      <c r="C40" s="545">
        <f>'[3]数据-汇总表'!D3</f>
        <v>25774.37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17"/>
      <c r="Q40" s="1306" t="str">
        <f>B40</f>
        <v>宗地面积</v>
      </c>
      <c r="R40" s="1307" t="s">
        <v>5</v>
      </c>
      <c r="S40" s="1308">
        <f t="shared" si="9"/>
        <v>100</v>
      </c>
      <c r="T40" s="1307" t="s">
        <v>5</v>
      </c>
      <c r="U40" s="1308">
        <f t="shared" si="10"/>
        <v>102</v>
      </c>
      <c r="V40" s="1307" t="s">
        <v>5</v>
      </c>
      <c r="W40" s="1308">
        <f t="shared" si="11"/>
        <v>102</v>
      </c>
      <c r="X40" s="1302"/>
      <c r="Y40" s="3617"/>
      <c r="Z40" s="1309" t="str">
        <f t="shared" si="12"/>
        <v>宗地面积</v>
      </c>
      <c r="AA40" s="1309">
        <f t="shared" si="3"/>
        <v>1</v>
      </c>
      <c r="AB40" s="1309">
        <f t="shared" si="4"/>
        <v>0.98039215686274506</v>
      </c>
      <c r="AC40" s="1309">
        <f t="shared" si="5"/>
        <v>0.98039215686274506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3472</v>
      </c>
      <c r="J41" s="490">
        <f>SUMIF(120:120,I41,121:121)-SUMIF(120:120,C41,121:121)+100</f>
        <v>96</v>
      </c>
      <c r="K41" s="533">
        <v>4</v>
      </c>
      <c r="L41" s="1749"/>
      <c r="M41" s="1740"/>
      <c r="N41" s="1740"/>
      <c r="O41" s="1748"/>
      <c r="P41" s="3617"/>
      <c r="Q41" s="1306" t="str">
        <f t="shared" ref="Q41:Q47" si="13">B41</f>
        <v>宗地形状</v>
      </c>
      <c r="R41" s="1307" t="s">
        <v>5</v>
      </c>
      <c r="S41" s="1308">
        <f t="shared" si="9"/>
        <v>96</v>
      </c>
      <c r="T41" s="1307" t="s">
        <v>5</v>
      </c>
      <c r="U41" s="1308">
        <f t="shared" si="10"/>
        <v>100</v>
      </c>
      <c r="V41" s="1307" t="s">
        <v>5</v>
      </c>
      <c r="W41" s="1308">
        <f t="shared" si="11"/>
        <v>96</v>
      </c>
      <c r="X41" s="1302"/>
      <c r="Y41" s="3617"/>
      <c r="Z41" s="1309" t="str">
        <f t="shared" si="12"/>
        <v>宗地形状</v>
      </c>
      <c r="AA41" s="1309">
        <f t="shared" si="3"/>
        <v>1.0416666666666667</v>
      </c>
      <c r="AB41" s="1309">
        <f t="shared" si="4"/>
        <v>1</v>
      </c>
      <c r="AC41" s="1309">
        <f t="shared" si="5"/>
        <v>1.0416666666666667</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7"/>
      <c r="Q42" s="1306" t="str">
        <f t="shared" si="13"/>
        <v>临街宽度及深度</v>
      </c>
      <c r="R42" s="1307" t="s">
        <v>5</v>
      </c>
      <c r="S42" s="1308">
        <f t="shared" si="9"/>
        <v>100</v>
      </c>
      <c r="T42" s="1307" t="s">
        <v>5</v>
      </c>
      <c r="U42" s="1308">
        <f t="shared" si="10"/>
        <v>100</v>
      </c>
      <c r="V42" s="1307" t="s">
        <v>5</v>
      </c>
      <c r="W42" s="1308">
        <f t="shared" si="11"/>
        <v>100</v>
      </c>
      <c r="X42" s="1302"/>
      <c r="Y42" s="3617"/>
      <c r="Z42" s="1309" t="str">
        <f t="shared" si="12"/>
        <v>临街宽度及深度</v>
      </c>
      <c r="AA42" s="1309">
        <f t="shared" si="3"/>
        <v>1</v>
      </c>
      <c r="AB42" s="1309">
        <f t="shared" si="4"/>
        <v>1</v>
      </c>
      <c r="AC42" s="1309">
        <f t="shared" si="5"/>
        <v>1</v>
      </c>
    </row>
    <row r="43" spans="1:29" s="1060" customFormat="1" ht="21">
      <c r="A43" s="549"/>
      <c r="B43" s="1554"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3"/>
      <c r="M43" s="1740"/>
      <c r="N43" s="1740"/>
      <c r="O43" s="1744"/>
      <c r="P43" s="3617"/>
      <c r="Q43" s="1306" t="str">
        <f t="shared" si="13"/>
        <v>宗地开发程度</v>
      </c>
      <c r="R43" s="1303" t="s">
        <v>5</v>
      </c>
      <c r="S43" s="1304">
        <f t="shared" si="9"/>
        <v>99</v>
      </c>
      <c r="T43" s="1303" t="s">
        <v>5</v>
      </c>
      <c r="U43" s="1304">
        <f t="shared" si="10"/>
        <v>99</v>
      </c>
      <c r="V43" s="1303" t="s">
        <v>5</v>
      </c>
      <c r="W43" s="1304">
        <f t="shared" si="11"/>
        <v>99</v>
      </c>
      <c r="X43" s="1305"/>
      <c r="Y43" s="3617"/>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49"/>
      <c r="M44" s="1740"/>
      <c r="N44" s="1740"/>
      <c r="O44" s="1748"/>
      <c r="P44" s="3617" t="s">
        <v>499</v>
      </c>
      <c r="Q44" s="1306" t="str">
        <f t="shared" si="13"/>
        <v>工程地质条件</v>
      </c>
      <c r="R44" s="1307" t="s">
        <v>5</v>
      </c>
      <c r="S44" s="1308">
        <f t="shared" si="9"/>
        <v>100</v>
      </c>
      <c r="T44" s="1307" t="s">
        <v>5</v>
      </c>
      <c r="U44" s="1308">
        <f t="shared" si="10"/>
        <v>100</v>
      </c>
      <c r="V44" s="1307" t="s">
        <v>5</v>
      </c>
      <c r="W44" s="1308">
        <f t="shared" si="11"/>
        <v>100</v>
      </c>
      <c r="X44" s="1302"/>
      <c r="Y44" s="3617"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7"/>
      <c r="Q45" s="1306">
        <f t="shared" si="13"/>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7"/>
      <c r="Q46" s="1306">
        <f t="shared" si="13"/>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7"/>
      <c r="Q47" s="1306">
        <f t="shared" si="13"/>
        <v>111</v>
      </c>
      <c r="R47" s="1310" t="s">
        <v>5</v>
      </c>
      <c r="S47" s="1311">
        <f t="shared" si="9"/>
        <v>100</v>
      </c>
      <c r="T47" s="1310" t="s">
        <v>5</v>
      </c>
      <c r="U47" s="1311">
        <f t="shared" si="10"/>
        <v>100</v>
      </c>
      <c r="V47" s="1310" t="s">
        <v>5</v>
      </c>
      <c r="W47" s="1311">
        <f t="shared" si="11"/>
        <v>100</v>
      </c>
      <c r="X47" s="1312"/>
      <c r="Y47" s="3617"/>
      <c r="Z47" s="1313">
        <f t="shared" si="12"/>
        <v>111</v>
      </c>
      <c r="AA47" s="1309">
        <f t="shared" si="3"/>
        <v>1</v>
      </c>
      <c r="AB47" s="1309">
        <f t="shared" si="4"/>
        <v>1</v>
      </c>
      <c r="AC47" s="1309">
        <f t="shared" si="5"/>
        <v>1</v>
      </c>
    </row>
    <row r="48" spans="1:29" ht="21">
      <c r="A48" s="556" t="s">
        <v>505</v>
      </c>
      <c r="B48" s="557" t="s">
        <v>3507</v>
      </c>
      <c r="C48" s="558" t="s">
        <v>0</v>
      </c>
      <c r="D48" s="559"/>
      <c r="E48" s="560">
        <f>案例!Q6</f>
        <v>14486</v>
      </c>
      <c r="F48" s="561"/>
      <c r="G48" s="562">
        <f>案例!Q9</f>
        <v>18524</v>
      </c>
      <c r="H48" s="563"/>
      <c r="I48" s="560">
        <f>案例!Q3</f>
        <v>19406</v>
      </c>
      <c r="J48" s="563"/>
      <c r="K48" s="1135"/>
      <c r="L48" s="1751"/>
      <c r="M48" s="1740"/>
      <c r="N48" s="1740"/>
      <c r="O48" s="1742"/>
      <c r="P48" s="3612" t="str">
        <f>A48</f>
        <v>成交单价</v>
      </c>
      <c r="Q48" s="3612"/>
      <c r="R48" s="3628">
        <f>E48</f>
        <v>14486</v>
      </c>
      <c r="S48" s="3628"/>
      <c r="T48" s="3628">
        <f>G48</f>
        <v>18524</v>
      </c>
      <c r="U48" s="3628"/>
      <c r="V48" s="3628">
        <f>I48</f>
        <v>19406</v>
      </c>
      <c r="W48" s="3628"/>
      <c r="X48" s="799"/>
      <c r="Y48" s="1314"/>
      <c r="Z48" s="799"/>
      <c r="AA48" s="799"/>
      <c r="AB48" s="799"/>
      <c r="AC48" s="799"/>
    </row>
    <row r="49" spans="1:29" ht="21.6" thickBot="1">
      <c r="A49" s="564" t="s">
        <v>1975</v>
      </c>
      <c r="B49" s="565"/>
      <c r="C49" s="566">
        <f>R50</f>
        <v>16283</v>
      </c>
      <c r="D49" s="2550" t="s">
        <v>2250</v>
      </c>
      <c r="E49" s="566">
        <f>R49</f>
        <v>13942</v>
      </c>
      <c r="F49" s="2551">
        <v>0.4</v>
      </c>
      <c r="G49" s="567">
        <f>T49</f>
        <v>16949</v>
      </c>
      <c r="H49" s="2551">
        <v>0.4</v>
      </c>
      <c r="I49" s="566">
        <f>V49</f>
        <v>17957</v>
      </c>
      <c r="J49" s="2551">
        <v>0.2</v>
      </c>
      <c r="K49" s="2552">
        <f>F49+H49+J49</f>
        <v>1</v>
      </c>
      <c r="L49" s="1751"/>
      <c r="M49" s="1740"/>
      <c r="N49" s="1740"/>
      <c r="O49" s="1742"/>
      <c r="P49" s="3612" t="str">
        <f>A49</f>
        <v>比较价格（元/平方米）</v>
      </c>
      <c r="Q49" s="3612"/>
      <c r="R49" s="3636">
        <f>ROUND(PRODUCT(R48,AA9:AA47),0)</f>
        <v>13942</v>
      </c>
      <c r="S49" s="3636"/>
      <c r="T49" s="3636">
        <f>ROUND(PRODUCT(T48,AB9:AB47),0)</f>
        <v>16949</v>
      </c>
      <c r="U49" s="3636"/>
      <c r="V49" s="3636">
        <f>ROUND(PRODUCT(V48,AC9:AC47),0)</f>
        <v>17957</v>
      </c>
      <c r="W49" s="3636"/>
      <c r="X49" s="799"/>
      <c r="Y49" s="799"/>
      <c r="Z49" s="799"/>
      <c r="AA49" s="799"/>
      <c r="AB49" s="799"/>
      <c r="AC49" s="799"/>
    </row>
    <row r="50" spans="1:29" ht="21.6" thickBot="1">
      <c r="A50" s="568" t="s">
        <v>2187</v>
      </c>
      <c r="B50" s="569"/>
      <c r="C50" s="570">
        <f>R50</f>
        <v>16283</v>
      </c>
      <c r="D50" s="570"/>
      <c r="E50" s="570"/>
      <c r="F50" s="570"/>
      <c r="G50" s="570"/>
      <c r="H50" s="570"/>
      <c r="I50" s="570"/>
      <c r="J50" s="570"/>
      <c r="K50" s="1136"/>
      <c r="L50" s="1751"/>
      <c r="M50" s="1740"/>
      <c r="N50" s="1740"/>
      <c r="O50" s="1742"/>
      <c r="P50" s="3618" t="str">
        <f>A50</f>
        <v>估价对象XX用房的比较价格（楼面单价，元/平方米）</v>
      </c>
      <c r="Q50" s="3619"/>
      <c r="R50" s="3635">
        <f>ROUND(IF(D49="简单平均",AVERAGE(R49:W49),R49*F49+T49*H49+V49*J49),0)</f>
        <v>16283</v>
      </c>
      <c r="S50" s="3635"/>
      <c r="T50" s="3635"/>
      <c r="U50" s="3635"/>
      <c r="V50" s="3635"/>
      <c r="W50" s="3635"/>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3.9018792138860947E-2</v>
      </c>
      <c r="F53" s="574" t="str">
        <f>IF(OR(E53&gt;=0.3,E53&lt;=-0.3),"超过30%","")</f>
        <v/>
      </c>
      <c r="G53" s="573">
        <f>IF(G48&lt;G49,G49/G48-1,G48/G49-1)</f>
        <v>9.2925836332526934E-2</v>
      </c>
      <c r="H53" s="574" t="str">
        <f>IF(OR(G53&gt;=0.3,G53&lt;=-0.3),"超过30%","")</f>
        <v/>
      </c>
      <c r="I53" s="573">
        <f>IF(I48&lt;I49,I49/I48-1,I48/I49-1)</f>
        <v>8.0692766052235854E-2</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0.21567924257638782</v>
      </c>
      <c r="F54" s="574" t="str">
        <f>IF(OR(E54&gt;=0.2,E54&lt;=-0.2),"超过20%","")</f>
        <v>超过20%</v>
      </c>
      <c r="G54" s="573">
        <f>IF(G49&lt;I49,I49/G49-1,G49/I49-1)</f>
        <v>5.9472535252817371E-2</v>
      </c>
      <c r="H54" s="574" t="str">
        <f>IF(OR(G54&gt;=0.2,G54&lt;=-0.2),"超过20%","")</f>
        <v/>
      </c>
      <c r="I54" s="573">
        <f>IF(I49&lt;E49,E49/I49-1,I49/E49-1)</f>
        <v>0.28797876918663023</v>
      </c>
      <c r="J54" s="574" t="str">
        <f>IF(OR(I54&gt;=0.2,I54&lt;=-0.2),"超过20%","")</f>
        <v>超过20%</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7" t="s">
        <v>1639</v>
      </c>
      <c r="H57" s="3598"/>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16283</v>
      </c>
      <c r="C58" s="582">
        <v>1</v>
      </c>
      <c r="D58" s="1822">
        <v>1</v>
      </c>
      <c r="E58" s="582">
        <f>'数据-汇总表'!E8+'数据-汇总表'!E9</f>
        <v>5999.630000000001</v>
      </c>
      <c r="F58" s="583">
        <f t="shared" ref="F58:F66" si="14">ROUND(B58*E58/10000,0)</f>
        <v>9769</v>
      </c>
      <c r="G58" s="3599"/>
      <c r="H58" s="3600"/>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2442</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1221</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1018</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1018</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1018</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611</v>
      </c>
      <c r="C64" s="348">
        <f t="shared" si="15"/>
        <v>0.15</v>
      </c>
      <c r="D64" s="1823">
        <v>0.25</v>
      </c>
      <c r="E64" s="588">
        <f>'数据-汇总表'!E13</f>
        <v>4076.42</v>
      </c>
      <c r="F64" s="583">
        <f t="shared" si="14"/>
        <v>249</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611</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611</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10076.050000000001</v>
      </c>
      <c r="F67" s="591">
        <f>IF(B48="楼面地价",SUM(F58:F66),ROUND(C50*E67/10000,0))</f>
        <v>10018</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3462</v>
      </c>
      <c r="D120" s="3419" t="s">
        <v>3463</v>
      </c>
      <c r="E120" s="3419" t="s">
        <v>3464</v>
      </c>
      <c r="F120" s="3419" t="s">
        <v>3465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4" priority="14" stopIfTrue="1">
      <formula>$F$53="超过30%"</formula>
    </cfRule>
  </conditionalFormatting>
  <conditionalFormatting sqref="E54">
    <cfRule type="expression" dxfId="133" priority="12" stopIfTrue="1">
      <formula>$F$54="超过20%"</formula>
    </cfRule>
  </conditionalFormatting>
  <conditionalFormatting sqref="E55">
    <cfRule type="expression" dxfId="132" priority="11" stopIfTrue="1">
      <formula>$F$55="超过30%"</formula>
    </cfRule>
  </conditionalFormatting>
  <conditionalFormatting sqref="F9:F47 H9:H47 J9:J47">
    <cfRule type="cellIs" dxfId="131" priority="2" operator="notEqual">
      <formula>100</formula>
    </cfRule>
  </conditionalFormatting>
  <conditionalFormatting sqref="F49">
    <cfRule type="expression" dxfId="130" priority="5">
      <formula>$D$49="简单平均"</formula>
    </cfRule>
  </conditionalFormatting>
  <conditionalFormatting sqref="F53:F55 H53:H55 J53:J55">
    <cfRule type="containsText" dxfId="129" priority="15" stopIfTrue="1" operator="containsText" text="超过">
      <formula>NOT(ISERROR(SEARCH("超过",F53)))</formula>
    </cfRule>
  </conditionalFormatting>
  <conditionalFormatting sqref="G53">
    <cfRule type="expression" dxfId="128" priority="10" stopIfTrue="1">
      <formula>$H$55+$H$53="超过30%"</formula>
    </cfRule>
  </conditionalFormatting>
  <conditionalFormatting sqref="G54">
    <cfRule type="expression" dxfId="127" priority="9" stopIfTrue="1">
      <formula>$H$54="超过20%"</formula>
    </cfRule>
  </conditionalFormatting>
  <conditionalFormatting sqref="G55">
    <cfRule type="expression" dxfId="126" priority="13" stopIfTrue="1">
      <formula>$H$55="超过30%"</formula>
    </cfRule>
  </conditionalFormatting>
  <conditionalFormatting sqref="I53">
    <cfRule type="expression" dxfId="124" priority="8" stopIfTrue="1">
      <formula>$J$53="超过30%"</formula>
    </cfRule>
  </conditionalFormatting>
  <conditionalFormatting sqref="I54">
    <cfRule type="expression" dxfId="123" priority="7" stopIfTrue="1">
      <formula>$J$54="超过20%"</formula>
    </cfRule>
  </conditionalFormatting>
  <conditionalFormatting sqref="I55">
    <cfRule type="expression" dxfId="122" priority="6" stopIfTrue="1">
      <formula>$J$55="超过30%"</formula>
    </cfRule>
  </conditionalFormatting>
  <conditionalFormatting sqref="J49">
    <cfRule type="expression" dxfId="121" priority="3">
      <formula>$D$49="简单平均"</formula>
    </cfRule>
  </conditionalFormatting>
  <conditionalFormatting sqref="H49">
    <cfRule type="expression" dxfId="0" priority="1">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20" t="s">
        <v>471</v>
      </c>
      <c r="D6" s="3621"/>
      <c r="E6" s="3642" t="s">
        <v>472</v>
      </c>
      <c r="F6" s="3643"/>
      <c r="G6" s="3620" t="s">
        <v>473</v>
      </c>
      <c r="H6" s="3621"/>
      <c r="I6" s="3620" t="s">
        <v>474</v>
      </c>
      <c r="J6" s="3621"/>
      <c r="K6" s="465" t="s">
        <v>475</v>
      </c>
      <c r="L6" s="1741"/>
      <c r="M6" s="1742"/>
      <c r="N6" s="1742"/>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c r="A7" s="466"/>
      <c r="B7" s="467"/>
      <c r="C7" s="3631" t="s">
        <v>2181</v>
      </c>
      <c r="D7" s="3632"/>
      <c r="E7" s="3644" t="s">
        <v>2182</v>
      </c>
      <c r="F7" s="3645"/>
      <c r="G7" s="3631" t="s">
        <v>2183</v>
      </c>
      <c r="H7" s="3632"/>
      <c r="I7" s="3631" t="s">
        <v>2184</v>
      </c>
      <c r="J7" s="3632"/>
      <c r="K7" s="465"/>
      <c r="L7" s="1741"/>
      <c r="M7" s="1742"/>
      <c r="N7" s="1742"/>
      <c r="O7" s="1742"/>
      <c r="P7" s="3624"/>
      <c r="Q7" s="3625"/>
      <c r="R7" s="3608"/>
      <c r="S7" s="3609"/>
      <c r="T7" s="3608"/>
      <c r="U7" s="3609"/>
      <c r="V7" s="3628"/>
      <c r="W7" s="3628"/>
      <c r="X7" s="1302"/>
      <c r="Y7" s="3608"/>
      <c r="Z7" s="3609"/>
      <c r="AA7" s="3602"/>
      <c r="AB7" s="3602"/>
      <c r="AC7" s="3602"/>
    </row>
    <row r="8" spans="1:29" ht="15" thickBot="1">
      <c r="A8" s="468"/>
      <c r="B8" s="469"/>
      <c r="C8" s="3629" t="s">
        <v>2185</v>
      </c>
      <c r="D8" s="3630"/>
      <c r="E8" s="3646" t="s">
        <v>2185</v>
      </c>
      <c r="F8" s="3647"/>
      <c r="G8" s="3629" t="s">
        <v>2185</v>
      </c>
      <c r="H8" s="3630"/>
      <c r="I8" s="3629" t="s">
        <v>2185</v>
      </c>
      <c r="J8" s="3630"/>
      <c r="K8" s="465" t="s">
        <v>477</v>
      </c>
      <c r="L8" s="1741"/>
      <c r="M8" s="1742"/>
      <c r="N8" s="1742"/>
      <c r="O8" s="1742"/>
      <c r="P8" s="3626"/>
      <c r="Q8" s="3627"/>
      <c r="R8" s="3608"/>
      <c r="S8" s="3609"/>
      <c r="T8" s="3610"/>
      <c r="U8" s="3611"/>
      <c r="V8" s="3628"/>
      <c r="W8" s="3628"/>
      <c r="X8" s="1302"/>
      <c r="Y8" s="3610"/>
      <c r="Z8" s="3611"/>
      <c r="AA8" s="3603"/>
      <c r="AB8" s="3603"/>
      <c r="AC8" s="3603"/>
    </row>
    <row r="9" spans="1:29" s="1060" customFormat="1" ht="1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4" t="s">
        <v>479</v>
      </c>
      <c r="Q9" s="3613"/>
      <c r="R9" s="1303" t="s">
        <v>5</v>
      </c>
      <c r="S9" s="1304">
        <f t="shared" ref="S9:S17" si="0">F9</f>
        <v>0</v>
      </c>
      <c r="T9" s="1303" t="s">
        <v>5</v>
      </c>
      <c r="U9" s="1304">
        <f t="shared" ref="U9:U17" si="1">H9</f>
        <v>0</v>
      </c>
      <c r="V9" s="1303" t="s">
        <v>5</v>
      </c>
      <c r="W9" s="1304">
        <f t="shared" ref="W9:W17" si="2">J9</f>
        <v>0</v>
      </c>
      <c r="X9" s="1305"/>
      <c r="Y9" s="3604" t="s">
        <v>479</v>
      </c>
      <c r="Z9" s="3605"/>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4" t="s">
        <v>482</v>
      </c>
      <c r="Q10" s="3605"/>
      <c r="R10" s="1303" t="s">
        <v>5</v>
      </c>
      <c r="S10" s="1304">
        <f t="shared" si="0"/>
        <v>0</v>
      </c>
      <c r="T10" s="1303" t="s">
        <v>5</v>
      </c>
      <c r="U10" s="1304">
        <f t="shared" si="1"/>
        <v>0</v>
      </c>
      <c r="V10" s="1303" t="s">
        <v>5</v>
      </c>
      <c r="W10" s="1304">
        <f t="shared" si="2"/>
        <v>0</v>
      </c>
      <c r="X10" s="1305"/>
      <c r="Y10" s="3604" t="s">
        <v>482</v>
      </c>
      <c r="Z10" s="3605"/>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2" t="s">
        <v>484</v>
      </c>
      <c r="Q11" s="818" t="str">
        <f t="shared" ref="Q11:Q17" si="6">B11</f>
        <v>用途</v>
      </c>
      <c r="R11" s="1303" t="s">
        <v>5</v>
      </c>
      <c r="S11" s="1304">
        <f t="shared" si="0"/>
        <v>100</v>
      </c>
      <c r="T11" s="1303" t="s">
        <v>5</v>
      </c>
      <c r="U11" s="1304">
        <f t="shared" si="1"/>
        <v>100</v>
      </c>
      <c r="V11" s="1303" t="s">
        <v>5</v>
      </c>
      <c r="W11" s="1304">
        <f t="shared" si="2"/>
        <v>100</v>
      </c>
      <c r="X11" s="1305"/>
      <c r="Y11" s="3560"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101</v>
      </c>
      <c r="G12" s="478"/>
      <c r="H12" s="235">
        <f>ROUND(100/'数据-取费表'!G16,0)</f>
        <v>101</v>
      </c>
      <c r="I12" s="478"/>
      <c r="J12" s="235">
        <f>ROUND(100/'数据-取费表'!G16,0)</f>
        <v>101</v>
      </c>
      <c r="K12" s="481"/>
      <c r="L12" s="1745"/>
      <c r="M12" s="1778"/>
      <c r="N12" s="1778"/>
      <c r="O12" s="1746"/>
      <c r="P12" s="3612"/>
      <c r="Q12" s="818" t="str">
        <f t="shared" si="6"/>
        <v>土地使用年限（年）</v>
      </c>
      <c r="R12" s="1303" t="s">
        <v>5</v>
      </c>
      <c r="S12" s="1304">
        <f t="shared" si="0"/>
        <v>101</v>
      </c>
      <c r="T12" s="1303" t="s">
        <v>5</v>
      </c>
      <c r="U12" s="1304">
        <f t="shared" si="1"/>
        <v>101</v>
      </c>
      <c r="V12" s="1303" t="s">
        <v>5</v>
      </c>
      <c r="W12" s="1304">
        <f t="shared" si="2"/>
        <v>101</v>
      </c>
      <c r="X12" s="1305"/>
      <c r="Y12" s="3560"/>
      <c r="Z12" s="997" t="str">
        <f t="shared" si="7"/>
        <v>土地使用年限（年）</v>
      </c>
      <c r="AA12" s="997">
        <f t="shared" si="3"/>
        <v>0.99009900990099009</v>
      </c>
      <c r="AB12" s="997">
        <f t="shared" si="4"/>
        <v>0.99009900990099009</v>
      </c>
      <c r="AC12" s="997">
        <f t="shared" si="5"/>
        <v>0.99009900990099009</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2"/>
      <c r="Q13" s="818" t="str">
        <f t="shared" si="6"/>
        <v>容积率</v>
      </c>
      <c r="R13" s="1303" t="s">
        <v>5</v>
      </c>
      <c r="S13" s="1304" t="e">
        <f t="shared" si="0"/>
        <v>#N/A</v>
      </c>
      <c r="T13" s="1303" t="s">
        <v>5</v>
      </c>
      <c r="U13" s="1304" t="e">
        <f t="shared" si="1"/>
        <v>#N/A</v>
      </c>
      <c r="V13" s="1303" t="s">
        <v>5</v>
      </c>
      <c r="W13" s="1304" t="e">
        <f t="shared" si="2"/>
        <v>#N/A</v>
      </c>
      <c r="X13" s="1305"/>
      <c r="Y13" s="3560"/>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2"/>
      <c r="Q15" s="818">
        <f t="shared" si="6"/>
        <v>111</v>
      </c>
      <c r="R15" s="1303" t="s">
        <v>5</v>
      </c>
      <c r="S15" s="1304">
        <f t="shared" si="0"/>
        <v>100</v>
      </c>
      <c r="T15" s="1303" t="s">
        <v>5</v>
      </c>
      <c r="U15" s="1304">
        <f t="shared" si="1"/>
        <v>100</v>
      </c>
      <c r="V15" s="1303" t="s">
        <v>5</v>
      </c>
      <c r="W15" s="1304">
        <f t="shared" si="2"/>
        <v>100</v>
      </c>
      <c r="X15" s="1305"/>
      <c r="Y15" s="3560"/>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2"/>
      <c r="Q16" s="818">
        <f t="shared" si="6"/>
        <v>111</v>
      </c>
      <c r="R16" s="1303" t="s">
        <v>5</v>
      </c>
      <c r="S16" s="1304">
        <f t="shared" si="0"/>
        <v>100</v>
      </c>
      <c r="T16" s="1303" t="s">
        <v>5</v>
      </c>
      <c r="U16" s="1304">
        <f t="shared" si="1"/>
        <v>100</v>
      </c>
      <c r="V16" s="1303" t="s">
        <v>5</v>
      </c>
      <c r="W16" s="1304">
        <f t="shared" si="2"/>
        <v>100</v>
      </c>
      <c r="X16" s="1305"/>
      <c r="Y16" s="3560"/>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4" t="s">
        <v>489</v>
      </c>
      <c r="Q17" s="1306" t="str">
        <f t="shared" si="6"/>
        <v>产业集聚程度</v>
      </c>
      <c r="R17" s="1307" t="s">
        <v>5</v>
      </c>
      <c r="S17" s="1308">
        <f t="shared" si="0"/>
        <v>100</v>
      </c>
      <c r="T17" s="1307" t="s">
        <v>5</v>
      </c>
      <c r="U17" s="1308">
        <f t="shared" si="1"/>
        <v>100</v>
      </c>
      <c r="V17" s="1307" t="s">
        <v>5</v>
      </c>
      <c r="W17" s="1308">
        <f t="shared" si="2"/>
        <v>100</v>
      </c>
      <c r="X17" s="1302"/>
      <c r="Y17" s="3614"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5"/>
      <c r="Q19" s="1306" t="str">
        <f>B19</f>
        <v>交通便捷度</v>
      </c>
      <c r="R19" s="1307" t="s">
        <v>5</v>
      </c>
      <c r="S19" s="1308">
        <f>F19</f>
        <v>100</v>
      </c>
      <c r="T19" s="1307" t="s">
        <v>5</v>
      </c>
      <c r="U19" s="1308">
        <f>H19</f>
        <v>100</v>
      </c>
      <c r="V19" s="1307" t="s">
        <v>5</v>
      </c>
      <c r="W19" s="1308">
        <f>J19</f>
        <v>100</v>
      </c>
      <c r="X19" s="1302"/>
      <c r="Y19" s="3615"/>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15"/>
      <c r="Q20" s="1306"/>
      <c r="R20" s="1307"/>
      <c r="S20" s="1308"/>
      <c r="T20" s="1307"/>
      <c r="U20" s="1308"/>
      <c r="V20" s="1307"/>
      <c r="W20" s="1308"/>
      <c r="X20" s="1302"/>
      <c r="Y20" s="3615"/>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5"/>
      <c r="Q21" s="1306" t="str">
        <f t="shared" ref="Q21:Q35" si="8">B21</f>
        <v>区域土地利用方向</v>
      </c>
      <c r="R21" s="1307" t="s">
        <v>5</v>
      </c>
      <c r="S21" s="1308">
        <f>F21</f>
        <v>100</v>
      </c>
      <c r="T21" s="1307" t="s">
        <v>5</v>
      </c>
      <c r="U21" s="1308">
        <f>H21</f>
        <v>100</v>
      </c>
      <c r="V21" s="1307" t="s">
        <v>5</v>
      </c>
      <c r="W21" s="1308">
        <f>J21</f>
        <v>100</v>
      </c>
      <c r="X21" s="1302"/>
      <c r="Y21" s="3615"/>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15"/>
      <c r="Q22" s="1306"/>
      <c r="R22" s="1307"/>
      <c r="S22" s="1308"/>
      <c r="T22" s="1307"/>
      <c r="U22" s="1308"/>
      <c r="V22" s="1307"/>
      <c r="W22" s="1308"/>
      <c r="X22" s="1302"/>
      <c r="Y22" s="3615"/>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5"/>
      <c r="Q23" s="1306" t="str">
        <f t="shared" si="8"/>
        <v>环境状况</v>
      </c>
      <c r="R23" s="1307" t="s">
        <v>5</v>
      </c>
      <c r="S23" s="1308">
        <f>F23</f>
        <v>100</v>
      </c>
      <c r="T23" s="1307" t="s">
        <v>5</v>
      </c>
      <c r="U23" s="1308">
        <f>H23</f>
        <v>100</v>
      </c>
      <c r="V23" s="1307" t="s">
        <v>5</v>
      </c>
      <c r="W23" s="1308">
        <f>J23</f>
        <v>100</v>
      </c>
      <c r="X23" s="1302"/>
      <c r="Y23" s="3615"/>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5"/>
      <c r="Q24" s="1306"/>
      <c r="R24" s="1307"/>
      <c r="S24" s="1308"/>
      <c r="T24" s="1307"/>
      <c r="U24" s="1308"/>
      <c r="V24" s="1307"/>
      <c r="W24" s="1308"/>
      <c r="X24" s="1302"/>
      <c r="Y24" s="3615"/>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5"/>
      <c r="Q25" s="818" t="str">
        <f t="shared" si="8"/>
        <v>公共配套设施</v>
      </c>
      <c r="R25" s="1303" t="s">
        <v>5</v>
      </c>
      <c r="S25" s="1304">
        <f>F25</f>
        <v>100</v>
      </c>
      <c r="T25" s="1303" t="s">
        <v>5</v>
      </c>
      <c r="U25" s="1304">
        <f>H25</f>
        <v>100</v>
      </c>
      <c r="V25" s="1303" t="s">
        <v>5</v>
      </c>
      <c r="W25" s="1304">
        <f>J25</f>
        <v>100</v>
      </c>
      <c r="X25" s="1305"/>
      <c r="Y25" s="3615"/>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15"/>
      <c r="Q26" s="818"/>
      <c r="R26" s="1303"/>
      <c r="S26" s="1304"/>
      <c r="T26" s="1303"/>
      <c r="U26" s="1304"/>
      <c r="V26" s="1303"/>
      <c r="W26" s="1304"/>
      <c r="X26" s="1305"/>
      <c r="Y26" s="3615"/>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5"/>
      <c r="Q27" s="818" t="str">
        <f>B27</f>
        <v>基础设施水平</v>
      </c>
      <c r="R27" s="1303" t="s">
        <v>5</v>
      </c>
      <c r="S27" s="1304">
        <f>F27</f>
        <v>100</v>
      </c>
      <c r="T27" s="1303" t="s">
        <v>5</v>
      </c>
      <c r="U27" s="1304">
        <f>H27</f>
        <v>100</v>
      </c>
      <c r="V27" s="1303" t="s">
        <v>5</v>
      </c>
      <c r="W27" s="1304">
        <f>J27</f>
        <v>100</v>
      </c>
      <c r="X27" s="1305"/>
      <c r="Y27" s="3615"/>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15"/>
      <c r="Q28" s="818"/>
      <c r="R28" s="1303"/>
      <c r="S28" s="1304"/>
      <c r="T28" s="1303"/>
      <c r="U28" s="1304"/>
      <c r="V28" s="1303"/>
      <c r="W28" s="1304"/>
      <c r="X28" s="1305"/>
      <c r="Y28" s="3615"/>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5"/>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5"/>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5"/>
      <c r="Q30" s="1306" t="str">
        <f t="shared" si="8"/>
        <v>毗邻道路的类型与等级</v>
      </c>
      <c r="R30" s="1307" t="s">
        <v>5</v>
      </c>
      <c r="S30" s="1308">
        <f t="shared" si="9"/>
        <v>100</v>
      </c>
      <c r="T30" s="1307" t="s">
        <v>5</v>
      </c>
      <c r="U30" s="1308">
        <f t="shared" si="10"/>
        <v>100</v>
      </c>
      <c r="V30" s="1307" t="s">
        <v>5</v>
      </c>
      <c r="W30" s="1308">
        <f t="shared" si="11"/>
        <v>100</v>
      </c>
      <c r="X30" s="1302"/>
      <c r="Y30" s="3615"/>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5"/>
      <c r="Q31" s="1306"/>
      <c r="R31" s="1307"/>
      <c r="S31" s="1308"/>
      <c r="T31" s="1307"/>
      <c r="U31" s="1308"/>
      <c r="V31" s="1307"/>
      <c r="W31" s="1308"/>
      <c r="X31" s="1302"/>
      <c r="Y31" s="3615"/>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5"/>
      <c r="Q32" s="1306" t="str">
        <f t="shared" si="8"/>
        <v>土地级别</v>
      </c>
      <c r="R32" s="1307" t="s">
        <v>5</v>
      </c>
      <c r="S32" s="1308">
        <f t="shared" si="9"/>
        <v>100</v>
      </c>
      <c r="T32" s="1307" t="s">
        <v>5</v>
      </c>
      <c r="U32" s="1308">
        <f t="shared" si="10"/>
        <v>100</v>
      </c>
      <c r="V32" s="1307" t="s">
        <v>5</v>
      </c>
      <c r="W32" s="1308">
        <f t="shared" si="11"/>
        <v>100</v>
      </c>
      <c r="X32" s="1302"/>
      <c r="Y32" s="3615"/>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5"/>
      <c r="Q33" s="1306">
        <f t="shared" si="8"/>
        <v>111</v>
      </c>
      <c r="R33" s="1307" t="s">
        <v>5</v>
      </c>
      <c r="S33" s="1308">
        <f t="shared" si="9"/>
        <v>100</v>
      </c>
      <c r="T33" s="1307" t="s">
        <v>5</v>
      </c>
      <c r="U33" s="1308">
        <f t="shared" si="10"/>
        <v>100</v>
      </c>
      <c r="V33" s="1307" t="s">
        <v>5</v>
      </c>
      <c r="W33" s="1308">
        <f t="shared" si="11"/>
        <v>100</v>
      </c>
      <c r="X33" s="1302"/>
      <c r="Y33" s="3615"/>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6" t="s">
        <v>499</v>
      </c>
      <c r="Q34" s="1306">
        <f t="shared" si="8"/>
        <v>111</v>
      </c>
      <c r="R34" s="1307" t="s">
        <v>5</v>
      </c>
      <c r="S34" s="1308">
        <f t="shared" si="9"/>
        <v>100</v>
      </c>
      <c r="T34" s="1307" t="s">
        <v>5</v>
      </c>
      <c r="U34" s="1308">
        <f t="shared" si="10"/>
        <v>100</v>
      </c>
      <c r="V34" s="1307" t="s">
        <v>5</v>
      </c>
      <c r="W34" s="1308">
        <f t="shared" si="11"/>
        <v>100</v>
      </c>
      <c r="X34" s="1302"/>
      <c r="Y34" s="3617"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7"/>
      <c r="Q35" s="1306">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7"/>
      <c r="Q36" s="1306" t="str">
        <f>B36</f>
        <v>宗地面积</v>
      </c>
      <c r="R36" s="1307" t="s">
        <v>5</v>
      </c>
      <c r="S36" s="1308" t="e">
        <f t="shared" si="9"/>
        <v>#N/A</v>
      </c>
      <c r="T36" s="1307" t="s">
        <v>5</v>
      </c>
      <c r="U36" s="1308" t="e">
        <f t="shared" si="10"/>
        <v>#N/A</v>
      </c>
      <c r="V36" s="1307" t="s">
        <v>5</v>
      </c>
      <c r="W36" s="1308" t="e">
        <f t="shared" si="11"/>
        <v>#N/A</v>
      </c>
      <c r="X36" s="1302"/>
      <c r="Y36" s="3617"/>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7"/>
      <c r="Q37" s="1306" t="str">
        <f t="shared" ref="Q37:Q42" si="13">B37</f>
        <v>宗地形状</v>
      </c>
      <c r="R37" s="1307" t="s">
        <v>5</v>
      </c>
      <c r="S37" s="1308">
        <f t="shared" si="9"/>
        <v>100</v>
      </c>
      <c r="T37" s="1307" t="s">
        <v>5</v>
      </c>
      <c r="U37" s="1308">
        <f t="shared" si="10"/>
        <v>100</v>
      </c>
      <c r="V37" s="1307" t="s">
        <v>5</v>
      </c>
      <c r="W37" s="1308">
        <f t="shared" si="11"/>
        <v>100</v>
      </c>
      <c r="X37" s="1302"/>
      <c r="Y37" s="3617"/>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7"/>
      <c r="Q38" s="1306" t="str">
        <f t="shared" si="13"/>
        <v>宗地开发程度</v>
      </c>
      <c r="R38" s="1303" t="s">
        <v>5</v>
      </c>
      <c r="S38" s="1304">
        <f t="shared" si="9"/>
        <v>100</v>
      </c>
      <c r="T38" s="1303" t="s">
        <v>5</v>
      </c>
      <c r="U38" s="1304">
        <f t="shared" si="10"/>
        <v>100</v>
      </c>
      <c r="V38" s="1303" t="s">
        <v>5</v>
      </c>
      <c r="W38" s="1304">
        <f t="shared" si="11"/>
        <v>100</v>
      </c>
      <c r="X38" s="1305"/>
      <c r="Y38" s="3617"/>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7" t="s">
        <v>549</v>
      </c>
      <c r="Q39" s="1306" t="str">
        <f t="shared" si="13"/>
        <v>工程地质条件</v>
      </c>
      <c r="R39" s="1307" t="s">
        <v>5</v>
      </c>
      <c r="S39" s="1308">
        <f t="shared" si="9"/>
        <v>100</v>
      </c>
      <c r="T39" s="1307" t="s">
        <v>5</v>
      </c>
      <c r="U39" s="1308">
        <f t="shared" si="10"/>
        <v>100</v>
      </c>
      <c r="V39" s="1307" t="s">
        <v>5</v>
      </c>
      <c r="W39" s="1308">
        <f t="shared" si="11"/>
        <v>100</v>
      </c>
      <c r="X39" s="1302"/>
      <c r="Y39" s="3617"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7"/>
      <c r="Q40" s="1306">
        <f t="shared" si="13"/>
        <v>111</v>
      </c>
      <c r="R40" s="1307" t="s">
        <v>5</v>
      </c>
      <c r="S40" s="1308">
        <f t="shared" si="9"/>
        <v>100</v>
      </c>
      <c r="T40" s="1307" t="s">
        <v>5</v>
      </c>
      <c r="U40" s="1308">
        <f t="shared" si="10"/>
        <v>100</v>
      </c>
      <c r="V40" s="1307" t="s">
        <v>5</v>
      </c>
      <c r="W40" s="1308">
        <f t="shared" si="11"/>
        <v>100</v>
      </c>
      <c r="X40" s="1302"/>
      <c r="Y40" s="3617"/>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7"/>
      <c r="Q41" s="1306">
        <f t="shared" si="13"/>
        <v>111</v>
      </c>
      <c r="R41" s="1307" t="s">
        <v>5</v>
      </c>
      <c r="S41" s="1308">
        <f t="shared" si="9"/>
        <v>100</v>
      </c>
      <c r="T41" s="1307" t="s">
        <v>5</v>
      </c>
      <c r="U41" s="1308">
        <f t="shared" si="10"/>
        <v>100</v>
      </c>
      <c r="V41" s="1307" t="s">
        <v>5</v>
      </c>
      <c r="W41" s="1308">
        <f t="shared" si="11"/>
        <v>100</v>
      </c>
      <c r="X41" s="1302"/>
      <c r="Y41" s="3617"/>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7"/>
      <c r="Q42" s="1306">
        <f t="shared" si="13"/>
        <v>111</v>
      </c>
      <c r="R42" s="1310" t="s">
        <v>5</v>
      </c>
      <c r="S42" s="1311">
        <f t="shared" si="9"/>
        <v>100</v>
      </c>
      <c r="T42" s="1310" t="s">
        <v>5</v>
      </c>
      <c r="U42" s="1311">
        <f t="shared" si="10"/>
        <v>100</v>
      </c>
      <c r="V42" s="1310" t="s">
        <v>5</v>
      </c>
      <c r="W42" s="1311">
        <f t="shared" si="11"/>
        <v>100</v>
      </c>
      <c r="X42" s="1312"/>
      <c r="Y42" s="3617"/>
      <c r="Z42" s="1313">
        <f t="shared" si="12"/>
        <v>111</v>
      </c>
      <c r="AA42" s="1309">
        <f t="shared" si="3"/>
        <v>1</v>
      </c>
      <c r="AB42" s="1309">
        <f t="shared" si="4"/>
        <v>1</v>
      </c>
      <c r="AC42" s="1309">
        <f t="shared" si="5"/>
        <v>1</v>
      </c>
    </row>
    <row r="43" spans="1:29" ht="14.4">
      <c r="A43" s="556" t="s">
        <v>505</v>
      </c>
      <c r="B43" s="557" t="s">
        <v>2186</v>
      </c>
      <c r="C43" s="558" t="s">
        <v>0</v>
      </c>
      <c r="D43" s="559"/>
      <c r="E43" s="560"/>
      <c r="F43" s="561"/>
      <c r="G43" s="562"/>
      <c r="H43" s="563"/>
      <c r="I43" s="560"/>
      <c r="J43" s="563"/>
      <c r="K43" s="1135"/>
      <c r="L43" s="1751"/>
      <c r="M43" s="1742"/>
      <c r="N43" s="1742"/>
      <c r="O43" s="1742"/>
      <c r="P43" s="3612" t="str">
        <f>A43</f>
        <v>成交单价</v>
      </c>
      <c r="Q43" s="3612"/>
      <c r="R43" s="3628">
        <f>E43</f>
        <v>0</v>
      </c>
      <c r="S43" s="3628"/>
      <c r="T43" s="3628">
        <f>G43</f>
        <v>0</v>
      </c>
      <c r="U43" s="3628"/>
      <c r="V43" s="3628">
        <f>I43</f>
        <v>0</v>
      </c>
      <c r="W43" s="3628"/>
      <c r="X43" s="799"/>
      <c r="Y43" s="1314"/>
      <c r="Z43" s="799"/>
      <c r="AA43" s="799"/>
      <c r="AB43" s="799"/>
      <c r="AC43" s="799"/>
    </row>
    <row r="44" spans="1:29" ht="15" thickBot="1">
      <c r="A44" s="564" t="s">
        <v>1975</v>
      </c>
      <c r="B44" s="565"/>
      <c r="C44" s="566" t="e">
        <f>R45</f>
        <v>#DIV/0!</v>
      </c>
      <c r="D44" s="2550" t="s">
        <v>2250</v>
      </c>
      <c r="E44" s="566" t="e">
        <f>R44</f>
        <v>#DIV/0!</v>
      </c>
      <c r="F44" s="2551"/>
      <c r="G44" s="567" t="e">
        <f>T44</f>
        <v>#DIV/0!</v>
      </c>
      <c r="H44" s="2551"/>
      <c r="I44" s="566" t="e">
        <f>V44</f>
        <v>#DIV/0!</v>
      </c>
      <c r="J44" s="2551"/>
      <c r="K44" s="2552">
        <f>F44+H44+J44</f>
        <v>0</v>
      </c>
      <c r="L44" s="1751"/>
      <c r="M44" s="1742"/>
      <c r="N44" s="1742"/>
      <c r="O44" s="1742"/>
      <c r="P44" s="3612" t="str">
        <f>A44</f>
        <v>比较价格（元/平方米）</v>
      </c>
      <c r="Q44" s="3612"/>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1"/>
      <c r="M45" s="1742"/>
      <c r="N45" s="1742"/>
      <c r="O45" s="1742"/>
      <c r="P45" s="3618" t="str">
        <f>A45</f>
        <v>估价对象XX用房的比较价格（楼面单价，元/平方米）</v>
      </c>
      <c r="Q45" s="3619"/>
      <c r="R45" s="3641" t="e">
        <f>ROUND(IF(D44="简单平均",AVERAGE(R44:W44),R44*F44+T44*H44+V44*J44),0)</f>
        <v>#DIV/0!</v>
      </c>
      <c r="S45" s="3641"/>
      <c r="T45" s="3641"/>
      <c r="U45" s="3641"/>
      <c r="V45" s="3641"/>
      <c r="W45" s="3641"/>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37" t="s">
        <v>1642</v>
      </c>
      <c r="H52" s="3638"/>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5999.630000000001</v>
      </c>
      <c r="F53" s="1609" t="e">
        <f t="shared" ref="F53:F61" si="14">ROUND(B53*E53/10000,0)</f>
        <v>#DIV/0!</v>
      </c>
      <c r="G53" s="3639"/>
      <c r="H53" s="3640"/>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4076.42</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5551.97</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0" priority="13" stopIfTrue="1">
      <formula>$F$48="超过30%"</formula>
    </cfRule>
  </conditionalFormatting>
  <conditionalFormatting sqref="E49">
    <cfRule type="expression" dxfId="119" priority="51" stopIfTrue="1">
      <formula>#REF!+$F$49="超过20%"</formula>
    </cfRule>
  </conditionalFormatting>
  <conditionalFormatting sqref="E50">
    <cfRule type="expression" dxfId="118" priority="10" stopIfTrue="1">
      <formula>$F$50="超过30%"</formula>
    </cfRule>
  </conditionalFormatting>
  <conditionalFormatting sqref="F9:F42 H9:H42 J9:J42">
    <cfRule type="cellIs" dxfId="117" priority="1" operator="notEqual">
      <formula>100</formula>
    </cfRule>
  </conditionalFormatting>
  <conditionalFormatting sqref="F44">
    <cfRule type="expression" dxfId="116" priority="4">
      <formula>$D$44="简单平均"</formula>
    </cfRule>
  </conditionalFormatting>
  <conditionalFormatting sqref="F48:F50 H48:H50 J48:J50">
    <cfRule type="containsText" dxfId="115" priority="14" stopIfTrue="1" operator="containsText" text="超过">
      <formula>NOT(ISERROR(SEARCH("超过",F48)))</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G50">
    <cfRule type="expression" dxfId="112" priority="12" stopIfTrue="1">
      <formula>$H$50="超过30%"</formula>
    </cfRule>
  </conditionalFormatting>
  <conditionalFormatting sqref="H44">
    <cfRule type="expression" dxfId="111" priority="3">
      <formula>$D$44="简单平均"</formula>
    </cfRule>
  </conditionalFormatting>
  <conditionalFormatting sqref="I48">
    <cfRule type="expression" dxfId="110" priority="7" stopIfTrue="1">
      <formula>$J$48="超过30%"</formula>
    </cfRule>
  </conditionalFormatting>
  <conditionalFormatting sqref="I49">
    <cfRule type="expression" dxfId="109" priority="6" stopIfTrue="1">
      <formula>$J$49="超过20%"</formula>
    </cfRule>
  </conditionalFormatting>
  <conditionalFormatting sqref="I50">
    <cfRule type="expression" dxfId="108" priority="5" stopIfTrue="1">
      <formula>$J$50="超过30%"</formula>
    </cfRule>
  </conditionalFormatting>
  <conditionalFormatting sqref="J44">
    <cfRule type="expression" dxfId="107"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3180</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6" t="s">
        <v>2060</v>
      </c>
      <c r="X8" s="365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5"/>
      <c r="X9" s="2228" t="s">
        <v>3203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5"/>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3181</v>
      </c>
      <c r="B12" s="3235" t="s">
        <v>3182</v>
      </c>
      <c r="C12" s="3241">
        <v>1.02</v>
      </c>
      <c r="D12" s="3236" t="s">
        <v>3183</v>
      </c>
      <c r="E12" s="3237" t="s">
        <v>3184</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3185</v>
      </c>
      <c r="B13" s="1210" t="s">
        <v>874</v>
      </c>
      <c r="C13" s="3254">
        <f>ROUND(C16*D16*E16*F16*G16*H16*I16*J16,4)</f>
        <v>0</v>
      </c>
      <c r="D13" s="3272" t="s">
        <v>3186</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3187</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3188</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3192</v>
      </c>
      <c r="E18" s="3290"/>
      <c r="F18" s="3287" t="s">
        <v>3195</v>
      </c>
      <c r="G18" s="3289">
        <f>ROUND(1-(1/(POWER(1+G24,E18))),4)</f>
        <v>0</v>
      </c>
      <c r="H18" s="3287" t="s">
        <v>3197</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3193</v>
      </c>
      <c r="E19" s="3292"/>
      <c r="F19" s="3288" t="s">
        <v>3196</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49" t="s">
        <v>1370</v>
      </c>
      <c r="B20" s="1205" t="s">
        <v>875</v>
      </c>
      <c r="C20" s="948" t="e">
        <f>ROUND(IF(F21="与级别开发程度一致",0,(G21-E21)/C21),0)</f>
        <v>#DIV/0!</v>
      </c>
      <c r="D20" s="3661" t="s">
        <v>879</v>
      </c>
      <c r="E20" s="3662"/>
      <c r="F20" s="3661" t="s">
        <v>876</v>
      </c>
      <c r="G20" s="3662"/>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0"/>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2236</v>
      </c>
      <c r="I23" s="2101" t="str">
        <f>IF(H23="季度增幅（自定义）",SUMIF(N25:N28,E2,O25:O28),"")</f>
        <v/>
      </c>
      <c r="J23" s="3293" t="s">
        <v>3247</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2264</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3225</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3200</v>
      </c>
      <c r="G33" s="1253"/>
      <c r="H33" s="1253"/>
      <c r="I33" s="1253"/>
      <c r="J33" s="1254"/>
      <c r="K33" s="2742"/>
      <c r="L33" s="3363" t="s">
        <v>3226</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3201</v>
      </c>
      <c r="G34" s="1258"/>
      <c r="H34" s="1258"/>
      <c r="I34" s="1258"/>
      <c r="J34" s="1259"/>
      <c r="K34" s="1789"/>
      <c r="L34" s="3363" t="s">
        <v>3227</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3228</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3"/>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3"/>
      <c r="K37" s="3366" t="s">
        <v>3229</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3.2">
      <c r="A38" s="3654"/>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4"/>
      <c r="B39" s="3297" t="s">
        <v>3202</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3230</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2232</v>
      </c>
      <c r="C44" s="773" t="e">
        <f>ROUND(POWER(1+E44,H44-G44)*(POWER(1+E44,G44)-1)/(POWER(1+E44,H44)-1),4)</f>
        <v>#DIV/0!</v>
      </c>
      <c r="D44" s="348" t="s">
        <v>2230</v>
      </c>
      <c r="E44" s="2395">
        <f>G24</f>
        <v>0</v>
      </c>
      <c r="F44" s="348" t="s">
        <v>2231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3214</v>
      </c>
      <c r="B92" s="3300"/>
      <c r="C92" s="3300" t="s">
        <v>3219</v>
      </c>
      <c r="D92" s="3300" t="s">
        <v>3206</v>
      </c>
      <c r="E92" s="346"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3218</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3211</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3212</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1" t="s">
        <v>1172</v>
      </c>
      <c r="B104" s="3651"/>
      <c r="C104" s="3651"/>
      <c r="D104" s="3651"/>
      <c r="E104" s="3651"/>
      <c r="F104" s="3651"/>
      <c r="G104" s="3651"/>
      <c r="H104" s="3651"/>
      <c r="I104" s="3651"/>
      <c r="J104" s="3651"/>
      <c r="K104" s="1001"/>
      <c r="L104" s="1001"/>
      <c r="M104" s="1001"/>
      <c r="N104" s="1001"/>
    </row>
    <row r="105" spans="1:36">
      <c r="A105" s="3652" t="s">
        <v>1161</v>
      </c>
      <c r="B105" s="3652" t="s">
        <v>1173</v>
      </c>
      <c r="C105" s="989" t="s">
        <v>1174</v>
      </c>
      <c r="D105" s="990"/>
      <c r="E105" s="990"/>
      <c r="F105" s="990"/>
      <c r="G105" s="990"/>
      <c r="H105" s="990"/>
      <c r="I105" s="990"/>
      <c r="J105" s="991"/>
      <c r="K105" s="984"/>
      <c r="L105" s="984"/>
      <c r="M105" s="984"/>
      <c r="N105" s="984"/>
    </row>
    <row r="106" spans="1:36">
      <c r="A106" s="3652"/>
      <c r="B106" s="365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9"/>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1175</v>
      </c>
      <c r="B114" s="3648"/>
      <c r="C114" s="3648"/>
      <c r="D114" s="3648"/>
      <c r="E114" s="3648"/>
      <c r="F114" s="3648"/>
      <c r="G114" s="3648"/>
      <c r="H114" s="3648"/>
      <c r="I114" s="3648"/>
      <c r="J114" s="3648"/>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6" priority="7" stopIfTrue="1" operator="notEqual">
      <formula>"——"</formula>
    </cfRule>
  </conditionalFormatting>
  <conditionalFormatting sqref="F61">
    <cfRule type="cellIs" dxfId="105" priority="6" stopIfTrue="1" operator="notEqual">
      <formula>"——"</formula>
    </cfRule>
  </conditionalFormatting>
  <conditionalFormatting sqref="F72">
    <cfRule type="cellIs" dxfId="104" priority="5" stopIfTrue="1" operator="notEqual">
      <formula>"——"</formula>
    </cfRule>
  </conditionalFormatting>
  <conditionalFormatting sqref="F83">
    <cfRule type="cellIs" dxfId="103" priority="4" stopIfTrue="1" operator="notEqual">
      <formula>"——"</formula>
    </cfRule>
  </conditionalFormatting>
  <conditionalFormatting sqref="H50:H58 H61:H69 H72:H80 H83:H91 H93:H102">
    <cfRule type="cellIs" dxfId="102"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6" t="s">
        <v>2754</v>
      </c>
      <c r="B8" s="3000">
        <v>80</v>
      </c>
      <c r="C8" s="3000">
        <v>80</v>
      </c>
      <c r="D8" s="3000">
        <v>70</v>
      </c>
      <c r="E8" s="3000">
        <v>70</v>
      </c>
      <c r="F8" s="3000">
        <v>70</v>
      </c>
      <c r="G8" s="3000">
        <v>70</v>
      </c>
      <c r="H8" s="3000">
        <v>70</v>
      </c>
      <c r="I8" s="3000">
        <v>60</v>
      </c>
      <c r="J8" s="3000">
        <v>60</v>
      </c>
      <c r="K8" s="3000">
        <v>60</v>
      </c>
      <c r="L8" s="3000">
        <v>60</v>
      </c>
      <c r="M8" s="3001">
        <v>60</v>
      </c>
    </row>
    <row r="9" spans="1:13">
      <c r="A9" s="959" t="s">
        <v>2755</v>
      </c>
      <c r="B9" s="3002">
        <v>70</v>
      </c>
      <c r="C9" s="3002">
        <v>70</v>
      </c>
      <c r="D9" s="3002">
        <v>60</v>
      </c>
      <c r="E9" s="3002">
        <v>60</v>
      </c>
      <c r="F9" s="3002">
        <v>60</v>
      </c>
      <c r="G9" s="3002">
        <v>60</v>
      </c>
      <c r="H9" s="3002">
        <v>60</v>
      </c>
      <c r="I9" s="3002">
        <v>50</v>
      </c>
      <c r="J9" s="3002">
        <v>50</v>
      </c>
      <c r="K9" s="3002">
        <v>50</v>
      </c>
      <c r="L9" s="3002">
        <v>50</v>
      </c>
      <c r="M9" s="3003">
        <v>50</v>
      </c>
    </row>
    <row r="10" spans="1:13">
      <c r="A10" s="959"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2444</v>
      </c>
      <c r="B19" s="3006" t="s">
        <v>2445</v>
      </c>
      <c r="C19" s="3006" t="s">
        <v>2446</v>
      </c>
      <c r="D19" s="3403"/>
      <c r="E19" s="3004" t="s">
        <v>2447</v>
      </c>
      <c r="F19" s="982"/>
      <c r="G19" s="982"/>
    </row>
    <row r="20" spans="1:13">
      <c r="A20" s="3667" t="s">
        <v>2438</v>
      </c>
      <c r="B20" s="3672" t="s">
        <v>2448</v>
      </c>
      <c r="C20" s="3407" t="s">
        <v>2449</v>
      </c>
      <c r="D20" s="3407"/>
      <c r="E20" s="3010">
        <v>1</v>
      </c>
      <c r="F20" s="3011" t="s">
        <v>2450</v>
      </c>
      <c r="G20" s="984"/>
    </row>
    <row r="21" spans="1:13">
      <c r="A21" s="3668"/>
      <c r="B21" s="3663"/>
      <c r="C21" s="3023" t="s">
        <v>2451</v>
      </c>
      <c r="D21" s="3023"/>
      <c r="E21" s="3014">
        <v>1</v>
      </c>
      <c r="F21" s="3011" t="s">
        <v>2452</v>
      </c>
      <c r="G21" s="984"/>
    </row>
    <row r="22" spans="1:13">
      <c r="A22" s="3668"/>
      <c r="B22" s="3663"/>
      <c r="C22" s="3023" t="s">
        <v>2453</v>
      </c>
      <c r="D22" s="3023"/>
      <c r="E22" s="3014">
        <v>0.9</v>
      </c>
      <c r="F22" s="3011" t="s">
        <v>2454</v>
      </c>
      <c r="G22" s="984"/>
    </row>
    <row r="23" spans="1:13">
      <c r="A23" s="3668"/>
      <c r="B23" s="3663"/>
      <c r="C23" s="3023" t="s">
        <v>2455</v>
      </c>
      <c r="D23" s="3023"/>
      <c r="E23" s="3014">
        <v>0.9</v>
      </c>
      <c r="F23" s="3011" t="s">
        <v>2456</v>
      </c>
      <c r="G23" s="984"/>
    </row>
    <row r="24" spans="1:13">
      <c r="A24" s="3668"/>
      <c r="B24" s="3663"/>
      <c r="C24" s="3023" t="s">
        <v>2457</v>
      </c>
      <c r="D24" s="3023"/>
      <c r="E24" s="3014">
        <v>0.8</v>
      </c>
      <c r="F24" s="3011" t="s">
        <v>2458</v>
      </c>
      <c r="G24" s="984"/>
    </row>
    <row r="25" spans="1:13">
      <c r="A25" s="3668"/>
      <c r="B25" s="3663"/>
      <c r="C25" s="3023" t="s">
        <v>2459</v>
      </c>
      <c r="D25" s="3023"/>
      <c r="E25" s="3014">
        <v>0.8</v>
      </c>
      <c r="F25" s="3011"/>
      <c r="G25" s="984"/>
    </row>
    <row r="26" spans="1:13">
      <c r="A26" s="3668"/>
      <c r="B26" s="3663"/>
      <c r="C26" s="3023" t="s">
        <v>3308</v>
      </c>
      <c r="D26" s="3023"/>
      <c r="E26" s="3014">
        <v>0.43</v>
      </c>
      <c r="F26" s="3011"/>
      <c r="G26" s="984"/>
    </row>
    <row r="27" spans="1:13" ht="15" thickBot="1">
      <c r="A27" s="3669"/>
      <c r="B27" s="3673"/>
      <c r="C27" s="3408" t="s">
        <v>3310</v>
      </c>
      <c r="D27" s="3408"/>
      <c r="E27" s="3017">
        <f>E26*0.9</f>
        <v>0.38700000000000001</v>
      </c>
      <c r="F27" s="3011" t="s">
        <v>2460</v>
      </c>
      <c r="G27" s="984"/>
    </row>
    <row r="28" spans="1:13" ht="15" thickBot="1">
      <c r="A28" s="3402" t="s">
        <v>2439</v>
      </c>
      <c r="B28" s="3401" t="s">
        <v>2448</v>
      </c>
      <c r="C28" s="3404" t="s">
        <v>2461</v>
      </c>
      <c r="D28" s="3405"/>
      <c r="E28" s="3406">
        <v>1</v>
      </c>
      <c r="F28" s="3011" t="s">
        <v>2462</v>
      </c>
      <c r="G28" s="984"/>
    </row>
    <row r="29" spans="1:13">
      <c r="A29" s="3674" t="s">
        <v>2443</v>
      </c>
      <c r="B29" s="3670" t="s">
        <v>2443</v>
      </c>
      <c r="C29" s="3008" t="s">
        <v>2463</v>
      </c>
      <c r="D29" s="3009"/>
      <c r="E29" s="3010">
        <v>1</v>
      </c>
      <c r="F29" s="3011" t="s">
        <v>2464</v>
      </c>
      <c r="G29" s="984"/>
    </row>
    <row r="30" spans="1:13">
      <c r="A30" s="3675"/>
      <c r="B30" s="3666"/>
      <c r="C30" s="3012" t="s">
        <v>2465</v>
      </c>
      <c r="D30" s="3013"/>
      <c r="E30" s="3014">
        <v>1</v>
      </c>
      <c r="F30" s="3011" t="s">
        <v>2466</v>
      </c>
      <c r="G30" s="984"/>
    </row>
    <row r="31" spans="1:13">
      <c r="A31" s="3675"/>
      <c r="B31" s="3666"/>
      <c r="C31" s="3012" t="s">
        <v>2467</v>
      </c>
      <c r="D31" s="3013"/>
      <c r="E31" s="3014">
        <v>0.8</v>
      </c>
      <c r="F31" s="3011" t="s">
        <v>2468</v>
      </c>
      <c r="G31" s="984"/>
    </row>
    <row r="32" spans="1:13">
      <c r="A32" s="3675"/>
      <c r="B32" s="3666"/>
      <c r="C32" s="3012" t="s">
        <v>2469</v>
      </c>
      <c r="D32" s="3013"/>
      <c r="E32" s="3014">
        <v>0.8</v>
      </c>
      <c r="F32" s="3011" t="s">
        <v>2470</v>
      </c>
      <c r="G32" s="984"/>
    </row>
    <row r="33" spans="1:7">
      <c r="A33" s="3675"/>
      <c r="B33" s="3666"/>
      <c r="C33" s="3012" t="s">
        <v>2471</v>
      </c>
      <c r="D33" s="3013"/>
      <c r="E33" s="3014">
        <v>0.8</v>
      </c>
      <c r="F33" s="3011" t="s">
        <v>2472</v>
      </c>
      <c r="G33" s="984"/>
    </row>
    <row r="34" spans="1:7">
      <c r="A34" s="3675"/>
      <c r="B34" s="3666"/>
      <c r="C34" s="3012" t="s">
        <v>2473</v>
      </c>
      <c r="D34" s="3013"/>
      <c r="E34" s="3014">
        <v>0.7</v>
      </c>
      <c r="F34" s="3011" t="s">
        <v>2474</v>
      </c>
      <c r="G34" s="984"/>
    </row>
    <row r="35" spans="1:7">
      <c r="A35" s="3675"/>
      <c r="B35" s="3666"/>
      <c r="C35" s="3012" t="s">
        <v>2475</v>
      </c>
      <c r="D35" s="3013"/>
      <c r="E35" s="3014">
        <v>0.8</v>
      </c>
      <c r="F35" s="3011" t="s">
        <v>2476</v>
      </c>
      <c r="G35" s="984"/>
    </row>
    <row r="36" spans="1:7">
      <c r="A36" s="3675"/>
      <c r="B36" s="3666"/>
      <c r="C36" s="3012" t="s">
        <v>2477</v>
      </c>
      <c r="D36" s="3013"/>
      <c r="E36" s="3014">
        <v>0.6</v>
      </c>
      <c r="F36" s="3011" t="s">
        <v>2478</v>
      </c>
      <c r="G36" s="984"/>
    </row>
    <row r="37" spans="1:7">
      <c r="A37" s="3675"/>
      <c r="B37" s="3666"/>
      <c r="C37" s="3012" t="s">
        <v>2479</v>
      </c>
      <c r="D37" s="3013"/>
      <c r="E37" s="3014">
        <v>0.2</v>
      </c>
      <c r="F37" s="3011" t="s">
        <v>2480</v>
      </c>
      <c r="G37" s="984"/>
    </row>
    <row r="38" spans="1:7">
      <c r="A38" s="3675"/>
      <c r="B38" s="3666"/>
      <c r="C38" s="3012" t="s">
        <v>2481</v>
      </c>
      <c r="D38" s="3013"/>
      <c r="E38" s="3014">
        <v>0.2</v>
      </c>
      <c r="F38" s="3011" t="s">
        <v>2482</v>
      </c>
      <c r="G38" s="984"/>
    </row>
    <row r="39" spans="1:7">
      <c r="A39" s="3675"/>
      <c r="B39" s="3664" t="s">
        <v>2483</v>
      </c>
      <c r="C39" s="3012" t="s">
        <v>2484</v>
      </c>
      <c r="D39" s="3013"/>
      <c r="E39" s="3014">
        <v>0.6</v>
      </c>
      <c r="F39" s="3011" t="s">
        <v>2485</v>
      </c>
      <c r="G39" s="984"/>
    </row>
    <row r="40" spans="1:7">
      <c r="A40" s="3675"/>
      <c r="B40" s="3666"/>
      <c r="C40" s="3012" t="s">
        <v>2486</v>
      </c>
      <c r="D40" s="3013"/>
      <c r="E40" s="3014">
        <v>0.6</v>
      </c>
      <c r="F40" s="3011" t="s">
        <v>2487</v>
      </c>
      <c r="G40" s="984"/>
    </row>
    <row r="41" spans="1:7" ht="15" thickBot="1">
      <c r="A41" s="3676"/>
      <c r="B41" s="3671"/>
      <c r="C41" s="3015" t="s">
        <v>2488</v>
      </c>
      <c r="D41" s="3016"/>
      <c r="E41" s="3017">
        <v>0.6</v>
      </c>
      <c r="F41" s="3011" t="s">
        <v>2489</v>
      </c>
      <c r="G41" s="984"/>
    </row>
    <row r="42" spans="1:7" ht="15" thickBot="1">
      <c r="A42" s="3018" t="s">
        <v>2440</v>
      </c>
      <c r="B42" s="3019" t="s">
        <v>2440</v>
      </c>
      <c r="C42" s="3020" t="s">
        <v>2490</v>
      </c>
      <c r="D42" s="3021"/>
      <c r="E42" s="3022">
        <v>1</v>
      </c>
      <c r="F42" s="3011" t="s">
        <v>2491</v>
      </c>
      <c r="G42" s="984"/>
    </row>
    <row r="43" spans="1:7">
      <c r="A43" s="3667" t="s">
        <v>2441</v>
      </c>
      <c r="B43" s="3670" t="s">
        <v>2492</v>
      </c>
      <c r="C43" s="3008" t="s">
        <v>2493</v>
      </c>
      <c r="D43" s="3009"/>
      <c r="E43" s="3010">
        <v>1</v>
      </c>
      <c r="F43" s="3011" t="s">
        <v>2494</v>
      </c>
      <c r="G43" s="984"/>
    </row>
    <row r="44" spans="1:7">
      <c r="A44" s="3668"/>
      <c r="B44" s="3666"/>
      <c r="C44" s="3012" t="s">
        <v>2495</v>
      </c>
      <c r="D44" s="3013"/>
      <c r="E44" s="3014">
        <v>1</v>
      </c>
      <c r="F44" s="3011" t="s">
        <v>2496</v>
      </c>
      <c r="G44" s="984"/>
    </row>
    <row r="45" spans="1:7">
      <c r="A45" s="3668"/>
      <c r="B45" s="3665"/>
      <c r="C45" s="3012" t="s">
        <v>2497</v>
      </c>
      <c r="D45" s="3013"/>
      <c r="E45" s="3014">
        <v>1.5</v>
      </c>
      <c r="F45" s="3011" t="s">
        <v>2498</v>
      </c>
      <c r="G45" s="984"/>
    </row>
    <row r="46" spans="1:7">
      <c r="A46" s="3668"/>
      <c r="B46" s="3023" t="s">
        <v>2443</v>
      </c>
      <c r="C46" s="3012" t="s">
        <v>2442</v>
      </c>
      <c r="D46" s="3013"/>
      <c r="E46" s="3014">
        <v>2</v>
      </c>
      <c r="F46" s="3011" t="s">
        <v>2499</v>
      </c>
      <c r="G46" s="984"/>
    </row>
    <row r="47" spans="1:7">
      <c r="A47" s="3668"/>
      <c r="B47" s="3664" t="s">
        <v>2500</v>
      </c>
      <c r="C47" s="3012" t="s">
        <v>2501</v>
      </c>
      <c r="D47" s="3013"/>
      <c r="E47" s="3014">
        <v>1</v>
      </c>
      <c r="F47" s="3011" t="s">
        <v>2502</v>
      </c>
      <c r="G47" s="984"/>
    </row>
    <row r="48" spans="1:7">
      <c r="A48" s="3668"/>
      <c r="B48" s="3666"/>
      <c r="C48" s="3012" t="s">
        <v>2503</v>
      </c>
      <c r="D48" s="3013"/>
      <c r="E48" s="3014">
        <v>1</v>
      </c>
      <c r="F48" s="3011" t="s">
        <v>2504</v>
      </c>
      <c r="G48" s="984"/>
    </row>
    <row r="49" spans="1:9">
      <c r="A49" s="3668"/>
      <c r="B49" s="3666"/>
      <c r="C49" s="3012" t="s">
        <v>2505</v>
      </c>
      <c r="D49" s="3013"/>
      <c r="E49" s="3014">
        <v>1</v>
      </c>
      <c r="F49" s="3011" t="s">
        <v>2506</v>
      </c>
      <c r="G49" s="984"/>
    </row>
    <row r="50" spans="1:9">
      <c r="A50" s="3668"/>
      <c r="B50" s="3666"/>
      <c r="C50" s="3012" t="s">
        <v>2507</v>
      </c>
      <c r="D50" s="3013"/>
      <c r="E50" s="3014">
        <v>1</v>
      </c>
      <c r="F50" s="3011" t="s">
        <v>2508</v>
      </c>
      <c r="G50" s="984"/>
    </row>
    <row r="51" spans="1:9">
      <c r="A51" s="3668"/>
      <c r="B51" s="3666"/>
      <c r="C51" s="3012" t="s">
        <v>2509</v>
      </c>
      <c r="D51" s="3013"/>
      <c r="E51" s="3014">
        <v>1</v>
      </c>
      <c r="F51" s="3011" t="s">
        <v>2510</v>
      </c>
      <c r="G51" s="984"/>
    </row>
    <row r="52" spans="1:9">
      <c r="A52" s="3668"/>
      <c r="B52" s="3666"/>
      <c r="C52" s="3012" t="s">
        <v>2511</v>
      </c>
      <c r="D52" s="3013"/>
      <c r="E52" s="3014">
        <v>1</v>
      </c>
      <c r="F52" s="3011" t="s">
        <v>2512</v>
      </c>
      <c r="G52" s="984"/>
    </row>
    <row r="53" spans="1:9" ht="15" thickBot="1">
      <c r="A53" s="3669"/>
      <c r="B53" s="3671"/>
      <c r="C53" s="3015" t="s">
        <v>2513</v>
      </c>
      <c r="D53" s="3016"/>
      <c r="E53" s="3017">
        <v>1</v>
      </c>
      <c r="F53" s="3011" t="s">
        <v>2514</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3">
        <v>1</v>
      </c>
      <c r="B75" s="3664" t="s">
        <v>2516</v>
      </c>
      <c r="C75" s="3002" t="s">
        <v>2517</v>
      </c>
      <c r="D75" s="3002" t="s">
        <v>2518</v>
      </c>
      <c r="E75" s="3024">
        <v>0.2</v>
      </c>
      <c r="F75" s="3023">
        <v>25</v>
      </c>
      <c r="H75" s="974">
        <f>SUMIF(C73:C141,基准地价!C8,E73:E141)</f>
        <v>0</v>
      </c>
    </row>
    <row r="76" spans="1:8" s="974" customFormat="1" ht="36">
      <c r="A76" s="3023">
        <v>2</v>
      </c>
      <c r="B76" s="3666"/>
      <c r="C76" s="3002" t="s">
        <v>2519</v>
      </c>
      <c r="D76" s="3002" t="s">
        <v>2520</v>
      </c>
      <c r="E76" s="3024">
        <v>0.2</v>
      </c>
      <c r="F76" s="3023">
        <v>25</v>
      </c>
    </row>
    <row r="77" spans="1:8" s="974" customFormat="1" ht="24">
      <c r="A77" s="3023">
        <v>3</v>
      </c>
      <c r="B77" s="3666"/>
      <c r="C77" s="3002" t="s">
        <v>2521</v>
      </c>
      <c r="D77" s="3002" t="s">
        <v>2522</v>
      </c>
      <c r="E77" s="3024">
        <v>0.2</v>
      </c>
      <c r="F77" s="3023">
        <v>25</v>
      </c>
    </row>
    <row r="78" spans="1:8" s="974" customFormat="1" ht="24">
      <c r="A78" s="3023">
        <v>4</v>
      </c>
      <c r="B78" s="3666"/>
      <c r="C78" s="3002" t="s">
        <v>2523</v>
      </c>
      <c r="D78" s="3002" t="s">
        <v>2524</v>
      </c>
      <c r="E78" s="3024">
        <v>0.15</v>
      </c>
      <c r="F78" s="3023">
        <v>20</v>
      </c>
    </row>
    <row r="79" spans="1:8" s="974" customFormat="1" ht="24">
      <c r="A79" s="3023">
        <v>5</v>
      </c>
      <c r="B79" s="3666"/>
      <c r="C79" s="3002" t="s">
        <v>2525</v>
      </c>
      <c r="D79" s="3002" t="s">
        <v>2526</v>
      </c>
      <c r="E79" s="3024">
        <v>0.15</v>
      </c>
      <c r="F79" s="3023">
        <v>20</v>
      </c>
    </row>
    <row r="80" spans="1:8" s="974" customFormat="1" ht="24">
      <c r="A80" s="3023">
        <v>6</v>
      </c>
      <c r="B80" s="3666"/>
      <c r="C80" s="3002" t="s">
        <v>2527</v>
      </c>
      <c r="D80" s="3002" t="s">
        <v>2528</v>
      </c>
      <c r="E80" s="3024">
        <v>0.15</v>
      </c>
      <c r="F80" s="3023">
        <v>20</v>
      </c>
    </row>
    <row r="81" spans="1:6" s="974" customFormat="1" ht="36">
      <c r="A81" s="3023">
        <v>7</v>
      </c>
      <c r="B81" s="3666"/>
      <c r="C81" s="3002" t="s">
        <v>2529</v>
      </c>
      <c r="D81" s="3002" t="s">
        <v>2530</v>
      </c>
      <c r="E81" s="3024">
        <v>0.15</v>
      </c>
      <c r="F81" s="3023">
        <v>20</v>
      </c>
    </row>
    <row r="82" spans="1:6" s="974" customFormat="1" ht="24">
      <c r="A82" s="3023">
        <v>8</v>
      </c>
      <c r="B82" s="3666"/>
      <c r="C82" s="3002" t="s">
        <v>2531</v>
      </c>
      <c r="D82" s="3002" t="s">
        <v>2532</v>
      </c>
      <c r="E82" s="3024">
        <v>0.1</v>
      </c>
      <c r="F82" s="3023">
        <v>15</v>
      </c>
    </row>
    <row r="83" spans="1:6" s="974" customFormat="1" ht="24">
      <c r="A83" s="3023">
        <v>9</v>
      </c>
      <c r="B83" s="3666"/>
      <c r="C83" s="3002" t="s">
        <v>2533</v>
      </c>
      <c r="D83" s="3002" t="s">
        <v>2534</v>
      </c>
      <c r="E83" s="3024">
        <v>0.1</v>
      </c>
      <c r="F83" s="3023">
        <v>15</v>
      </c>
    </row>
    <row r="84" spans="1:6" s="974" customFormat="1" ht="24">
      <c r="A84" s="3023">
        <v>10</v>
      </c>
      <c r="B84" s="3666"/>
      <c r="C84" s="3002" t="s">
        <v>2535</v>
      </c>
      <c r="D84" s="3002" t="s">
        <v>2536</v>
      </c>
      <c r="E84" s="3024">
        <v>0.1</v>
      </c>
      <c r="F84" s="3023">
        <v>15</v>
      </c>
    </row>
    <row r="85" spans="1:6" s="974" customFormat="1" ht="36">
      <c r="A85" s="3023">
        <v>11</v>
      </c>
      <c r="B85" s="3666"/>
      <c r="C85" s="3002" t="s">
        <v>2537</v>
      </c>
      <c r="D85" s="3002" t="s">
        <v>2538</v>
      </c>
      <c r="E85" s="3024">
        <v>0.1</v>
      </c>
      <c r="F85" s="3023">
        <v>15</v>
      </c>
    </row>
    <row r="86" spans="1:6" s="974" customFormat="1" ht="36">
      <c r="A86" s="3023">
        <v>12</v>
      </c>
      <c r="B86" s="3666"/>
      <c r="C86" s="3002" t="s">
        <v>2539</v>
      </c>
      <c r="D86" s="3002" t="s">
        <v>2540</v>
      </c>
      <c r="E86" s="3024">
        <v>0.1</v>
      </c>
      <c r="F86" s="3023">
        <v>15</v>
      </c>
    </row>
    <row r="87" spans="1:6" s="974" customFormat="1" ht="24">
      <c r="A87" s="3023">
        <v>13</v>
      </c>
      <c r="B87" s="3666"/>
      <c r="C87" s="3002" t="s">
        <v>2541</v>
      </c>
      <c r="D87" s="3002" t="s">
        <v>2542</v>
      </c>
      <c r="E87" s="3024">
        <v>0.1</v>
      </c>
      <c r="F87" s="3023">
        <v>15</v>
      </c>
    </row>
    <row r="88" spans="1:6" s="974" customFormat="1" ht="24">
      <c r="A88" s="3023">
        <v>14</v>
      </c>
      <c r="B88" s="3666"/>
      <c r="C88" s="3002" t="s">
        <v>2543</v>
      </c>
      <c r="D88" s="3002" t="s">
        <v>2544</v>
      </c>
      <c r="E88" s="3024">
        <v>0.1</v>
      </c>
      <c r="F88" s="3023">
        <v>15</v>
      </c>
    </row>
    <row r="89" spans="1:6" s="974" customFormat="1" ht="24">
      <c r="A89" s="3023">
        <v>15</v>
      </c>
      <c r="B89" s="3666"/>
      <c r="C89" s="3002" t="s">
        <v>2545</v>
      </c>
      <c r="D89" s="3002" t="s">
        <v>2546</v>
      </c>
      <c r="E89" s="3024">
        <v>0.1</v>
      </c>
      <c r="F89" s="3023">
        <v>15</v>
      </c>
    </row>
    <row r="90" spans="1:6" s="974" customFormat="1" ht="24">
      <c r="A90" s="3023">
        <v>16</v>
      </c>
      <c r="B90" s="3666"/>
      <c r="C90" s="3002" t="s">
        <v>2547</v>
      </c>
      <c r="D90" s="3002" t="s">
        <v>2548</v>
      </c>
      <c r="E90" s="3024">
        <v>0.1</v>
      </c>
      <c r="F90" s="3023">
        <v>15</v>
      </c>
    </row>
    <row r="91" spans="1:6" s="974" customFormat="1" ht="36">
      <c r="A91" s="3023">
        <v>17</v>
      </c>
      <c r="B91" s="3665"/>
      <c r="C91" s="3002" t="s">
        <v>2549</v>
      </c>
      <c r="D91" s="3002" t="s">
        <v>2550</v>
      </c>
      <c r="E91" s="3024">
        <v>0.1</v>
      </c>
      <c r="F91" s="3023">
        <v>15</v>
      </c>
    </row>
    <row r="92" spans="1:6" s="974" customFormat="1" ht="24">
      <c r="A92" s="3023">
        <v>18</v>
      </c>
      <c r="B92" s="3664" t="s">
        <v>2551</v>
      </c>
      <c r="C92" s="3002" t="s">
        <v>2552</v>
      </c>
      <c r="D92" s="3002" t="s">
        <v>2553</v>
      </c>
      <c r="E92" s="3024">
        <v>0.2</v>
      </c>
      <c r="F92" s="3023">
        <v>25</v>
      </c>
    </row>
    <row r="93" spans="1:6" s="974" customFormat="1" ht="36">
      <c r="A93" s="3023">
        <v>19</v>
      </c>
      <c r="B93" s="3666"/>
      <c r="C93" s="3002" t="s">
        <v>2554</v>
      </c>
      <c r="D93" s="3002" t="s">
        <v>2555</v>
      </c>
      <c r="E93" s="3024">
        <v>0.2</v>
      </c>
      <c r="F93" s="3023">
        <v>25</v>
      </c>
    </row>
    <row r="94" spans="1:6" s="974" customFormat="1" ht="24">
      <c r="A94" s="3023">
        <v>20</v>
      </c>
      <c r="B94" s="3666"/>
      <c r="C94" s="3002" t="s">
        <v>2556</v>
      </c>
      <c r="D94" s="3002" t="s">
        <v>2557</v>
      </c>
      <c r="E94" s="3024">
        <v>0.15</v>
      </c>
      <c r="F94" s="3023">
        <v>20</v>
      </c>
    </row>
    <row r="95" spans="1:6" s="974" customFormat="1" ht="24">
      <c r="A95" s="3023">
        <v>21</v>
      </c>
      <c r="B95" s="3666"/>
      <c r="C95" s="3002" t="s">
        <v>2558</v>
      </c>
      <c r="D95" s="3002" t="s">
        <v>2559</v>
      </c>
      <c r="E95" s="3024">
        <v>0.15</v>
      </c>
      <c r="F95" s="3023">
        <v>20</v>
      </c>
    </row>
    <row r="96" spans="1:6" s="974" customFormat="1" ht="24">
      <c r="A96" s="3023">
        <v>22</v>
      </c>
      <c r="B96" s="3666"/>
      <c r="C96" s="3002" t="s">
        <v>2560</v>
      </c>
      <c r="D96" s="3002" t="s">
        <v>2561</v>
      </c>
      <c r="E96" s="3024">
        <v>0.15</v>
      </c>
      <c r="F96" s="3023">
        <v>20</v>
      </c>
    </row>
    <row r="97" spans="1:6" s="974" customFormat="1" ht="48">
      <c r="A97" s="3023">
        <v>23</v>
      </c>
      <c r="B97" s="3666"/>
      <c r="C97" s="3002" t="s">
        <v>2562</v>
      </c>
      <c r="D97" s="3002" t="s">
        <v>2563</v>
      </c>
      <c r="E97" s="3024">
        <v>0.15</v>
      </c>
      <c r="F97" s="3023">
        <v>20</v>
      </c>
    </row>
    <row r="98" spans="1:6" s="974" customFormat="1" ht="24">
      <c r="A98" s="3023">
        <v>24</v>
      </c>
      <c r="B98" s="3666"/>
      <c r="C98" s="3002" t="s">
        <v>2564</v>
      </c>
      <c r="D98" s="3002" t="s">
        <v>2565</v>
      </c>
      <c r="E98" s="3024">
        <v>0.1</v>
      </c>
      <c r="F98" s="3023">
        <v>15</v>
      </c>
    </row>
    <row r="99" spans="1:6" s="974" customFormat="1" ht="24">
      <c r="A99" s="3023">
        <v>25</v>
      </c>
      <c r="B99" s="3666"/>
      <c r="C99" s="3002" t="s">
        <v>2566</v>
      </c>
      <c r="D99" s="3002" t="s">
        <v>2567</v>
      </c>
      <c r="E99" s="3024">
        <v>0.1</v>
      </c>
      <c r="F99" s="3023">
        <v>15</v>
      </c>
    </row>
    <row r="100" spans="1:6" s="974" customFormat="1" ht="36">
      <c r="A100" s="3023">
        <v>26</v>
      </c>
      <c r="B100" s="3666"/>
      <c r="C100" s="3002" t="s">
        <v>2568</v>
      </c>
      <c r="D100" s="3002" t="s">
        <v>2569</v>
      </c>
      <c r="E100" s="3024">
        <v>0.1</v>
      </c>
      <c r="F100" s="3023">
        <v>15</v>
      </c>
    </row>
    <row r="101" spans="1:6" s="974" customFormat="1" ht="24">
      <c r="A101" s="3023">
        <v>27</v>
      </c>
      <c r="B101" s="3666"/>
      <c r="C101" s="3002" t="s">
        <v>2570</v>
      </c>
      <c r="D101" s="3002" t="s">
        <v>2571</v>
      </c>
      <c r="E101" s="3024">
        <v>0.1</v>
      </c>
      <c r="F101" s="3023">
        <v>15</v>
      </c>
    </row>
    <row r="102" spans="1:6" s="974" customFormat="1" ht="24">
      <c r="A102" s="3023">
        <v>28</v>
      </c>
      <c r="B102" s="3666"/>
      <c r="C102" s="3002" t="s">
        <v>2572</v>
      </c>
      <c r="D102" s="3002" t="s">
        <v>2573</v>
      </c>
      <c r="E102" s="3024">
        <v>0.1</v>
      </c>
      <c r="F102" s="3023">
        <v>15</v>
      </c>
    </row>
    <row r="103" spans="1:6" s="974" customFormat="1" ht="24">
      <c r="A103" s="3023">
        <v>29</v>
      </c>
      <c r="B103" s="3666"/>
      <c r="C103" s="3002" t="s">
        <v>2574</v>
      </c>
      <c r="D103" s="3002" t="s">
        <v>2575</v>
      </c>
      <c r="E103" s="3024">
        <v>0.1</v>
      </c>
      <c r="F103" s="3023">
        <v>15</v>
      </c>
    </row>
    <row r="104" spans="1:6" s="974" customFormat="1" ht="24">
      <c r="A104" s="3023">
        <v>30</v>
      </c>
      <c r="B104" s="3666"/>
      <c r="C104" s="3002" t="s">
        <v>2576</v>
      </c>
      <c r="D104" s="3002" t="s">
        <v>2577</v>
      </c>
      <c r="E104" s="3024">
        <v>0.1</v>
      </c>
      <c r="F104" s="3023">
        <v>15</v>
      </c>
    </row>
    <row r="105" spans="1:6" s="974" customFormat="1" ht="24">
      <c r="A105" s="3023">
        <v>31</v>
      </c>
      <c r="B105" s="3666"/>
      <c r="C105" s="3002" t="s">
        <v>2578</v>
      </c>
      <c r="D105" s="3002" t="s">
        <v>2579</v>
      </c>
      <c r="E105" s="3024">
        <v>0.1</v>
      </c>
      <c r="F105" s="3023">
        <v>15</v>
      </c>
    </row>
    <row r="106" spans="1:6" s="974" customFormat="1" ht="36">
      <c r="A106" s="3023">
        <v>32</v>
      </c>
      <c r="B106" s="3666"/>
      <c r="C106" s="3002" t="s">
        <v>2580</v>
      </c>
      <c r="D106" s="3002" t="s">
        <v>2581</v>
      </c>
      <c r="E106" s="3024">
        <v>0.1</v>
      </c>
      <c r="F106" s="3023">
        <v>15</v>
      </c>
    </row>
    <row r="107" spans="1:6" s="974" customFormat="1" ht="36">
      <c r="A107" s="3023">
        <v>33</v>
      </c>
      <c r="B107" s="3666"/>
      <c r="C107" s="3002" t="s">
        <v>2582</v>
      </c>
      <c r="D107" s="3002" t="s">
        <v>2583</v>
      </c>
      <c r="E107" s="3024">
        <v>0.1</v>
      </c>
      <c r="F107" s="3023">
        <v>15</v>
      </c>
    </row>
    <row r="108" spans="1:6" s="974" customFormat="1" ht="24">
      <c r="A108" s="3023">
        <v>34</v>
      </c>
      <c r="B108" s="3665"/>
      <c r="C108" s="3002" t="s">
        <v>2584</v>
      </c>
      <c r="D108" s="3002" t="s">
        <v>2585</v>
      </c>
      <c r="E108" s="3024">
        <v>0.1</v>
      </c>
      <c r="F108" s="3023">
        <v>15</v>
      </c>
    </row>
    <row r="109" spans="1:6" s="974" customFormat="1" ht="36">
      <c r="A109" s="3023">
        <v>35</v>
      </c>
      <c r="B109" s="3664" t="s">
        <v>2586</v>
      </c>
      <c r="C109" s="3023" t="s">
        <v>2587</v>
      </c>
      <c r="D109" s="3002" t="s">
        <v>2588</v>
      </c>
      <c r="E109" s="3024">
        <v>0.15</v>
      </c>
      <c r="F109" s="3023">
        <v>20</v>
      </c>
    </row>
    <row r="110" spans="1:6" s="974" customFormat="1" ht="24">
      <c r="A110" s="3023">
        <v>36</v>
      </c>
      <c r="B110" s="3666"/>
      <c r="C110" s="3023" t="s">
        <v>2589</v>
      </c>
      <c r="D110" s="3002" t="s">
        <v>2590</v>
      </c>
      <c r="E110" s="3024">
        <v>0.15</v>
      </c>
      <c r="F110" s="3023">
        <v>20</v>
      </c>
    </row>
    <row r="111" spans="1:6" s="974" customFormat="1" ht="24">
      <c r="A111" s="3023">
        <v>37</v>
      </c>
      <c r="B111" s="3666"/>
      <c r="C111" s="3023" t="s">
        <v>2591</v>
      </c>
      <c r="D111" s="3002" t="s">
        <v>2592</v>
      </c>
      <c r="E111" s="3024">
        <v>0.15</v>
      </c>
      <c r="F111" s="3023">
        <v>20</v>
      </c>
    </row>
    <row r="112" spans="1:6" s="974" customFormat="1" ht="24">
      <c r="A112" s="3023">
        <v>38</v>
      </c>
      <c r="B112" s="3666"/>
      <c r="C112" s="3023" t="s">
        <v>2593</v>
      </c>
      <c r="D112" s="3002" t="s">
        <v>2594</v>
      </c>
      <c r="E112" s="3024">
        <v>0.1</v>
      </c>
      <c r="F112" s="3023">
        <v>15</v>
      </c>
    </row>
    <row r="113" spans="1:6" s="974" customFormat="1" ht="24">
      <c r="A113" s="3023">
        <v>39</v>
      </c>
      <c r="B113" s="3666"/>
      <c r="C113" s="3023" t="s">
        <v>2595</v>
      </c>
      <c r="D113" s="3002" t="s">
        <v>2596</v>
      </c>
      <c r="E113" s="3024">
        <v>0.1</v>
      </c>
      <c r="F113" s="3023">
        <v>15</v>
      </c>
    </row>
    <row r="114" spans="1:6" s="974" customFormat="1" ht="24">
      <c r="A114" s="3023">
        <v>40</v>
      </c>
      <c r="B114" s="3665"/>
      <c r="C114" s="3023" t="s">
        <v>2597</v>
      </c>
      <c r="D114" s="3002" t="s">
        <v>2598</v>
      </c>
      <c r="E114" s="3024">
        <v>0.1</v>
      </c>
      <c r="F114" s="3023">
        <v>15</v>
      </c>
    </row>
    <row r="115" spans="1:6" s="974" customFormat="1" ht="24">
      <c r="A115" s="3023">
        <v>41</v>
      </c>
      <c r="B115" s="3663" t="s">
        <v>2599</v>
      </c>
      <c r="C115" s="3023" t="s">
        <v>2600</v>
      </c>
      <c r="D115" s="3002" t="s">
        <v>2601</v>
      </c>
      <c r="E115" s="3024">
        <v>0.1</v>
      </c>
      <c r="F115" s="3023">
        <v>15</v>
      </c>
    </row>
    <row r="116" spans="1:6" s="974" customFormat="1" ht="24">
      <c r="A116" s="3023">
        <v>42</v>
      </c>
      <c r="B116" s="3663"/>
      <c r="C116" s="3023" t="s">
        <v>2602</v>
      </c>
      <c r="D116" s="3002" t="s">
        <v>2603</v>
      </c>
      <c r="E116" s="3024">
        <v>0.1</v>
      </c>
      <c r="F116" s="3023">
        <v>15</v>
      </c>
    </row>
    <row r="117" spans="1:6" s="974" customFormat="1" ht="24">
      <c r="A117" s="3023">
        <v>43</v>
      </c>
      <c r="B117" s="3663"/>
      <c r="C117" s="3023" t="s">
        <v>2604</v>
      </c>
      <c r="D117" s="3002" t="s">
        <v>2605</v>
      </c>
      <c r="E117" s="3024">
        <v>0.1</v>
      </c>
      <c r="F117" s="3023">
        <v>15</v>
      </c>
    </row>
    <row r="118" spans="1:6" s="974" customFormat="1" ht="24">
      <c r="A118" s="3023">
        <v>44</v>
      </c>
      <c r="B118" s="3664" t="s">
        <v>2606</v>
      </c>
      <c r="C118" s="3023" t="s">
        <v>2607</v>
      </c>
      <c r="D118" s="3002" t="s">
        <v>2608</v>
      </c>
      <c r="E118" s="3024">
        <v>0.1</v>
      </c>
      <c r="F118" s="3023">
        <v>15</v>
      </c>
    </row>
    <row r="119" spans="1:6" s="974" customFormat="1" ht="24">
      <c r="A119" s="3023">
        <v>45</v>
      </c>
      <c r="B119" s="3665"/>
      <c r="C119" s="3002" t="s">
        <v>2609</v>
      </c>
      <c r="D119" s="3002" t="s">
        <v>2610</v>
      </c>
      <c r="E119" s="3024">
        <v>0.1</v>
      </c>
      <c r="F119" s="3023">
        <v>15</v>
      </c>
    </row>
    <row r="120" spans="1:6" s="974" customFormat="1" ht="24">
      <c r="A120" s="3023">
        <v>46</v>
      </c>
      <c r="B120" s="3664" t="s">
        <v>2611</v>
      </c>
      <c r="C120" s="3023" t="s">
        <v>2612</v>
      </c>
      <c r="D120" s="3002" t="s">
        <v>2613</v>
      </c>
      <c r="E120" s="3024">
        <v>0.1</v>
      </c>
      <c r="F120" s="3023">
        <v>15</v>
      </c>
    </row>
    <row r="121" spans="1:6" s="974" customFormat="1" ht="24">
      <c r="A121" s="3023">
        <v>47</v>
      </c>
      <c r="B121" s="3665"/>
      <c r="C121" s="3023" t="s">
        <v>2614</v>
      </c>
      <c r="D121" s="3002" t="s">
        <v>2615</v>
      </c>
      <c r="E121" s="3024">
        <v>0.1</v>
      </c>
      <c r="F121" s="3023">
        <v>15</v>
      </c>
    </row>
    <row r="122" spans="1:6" s="974" customFormat="1" ht="24">
      <c r="A122" s="3023">
        <v>48</v>
      </c>
      <c r="B122" s="3664" t="s">
        <v>2616</v>
      </c>
      <c r="C122" s="3023" t="s">
        <v>2617</v>
      </c>
      <c r="D122" s="3002" t="s">
        <v>2618</v>
      </c>
      <c r="E122" s="3024">
        <v>0.1</v>
      </c>
      <c r="F122" s="3023">
        <v>15</v>
      </c>
    </row>
    <row r="123" spans="1:6" s="974" customFormat="1" ht="24">
      <c r="A123" s="3023">
        <v>49</v>
      </c>
      <c r="B123" s="3665"/>
      <c r="C123" s="3023" t="s">
        <v>2619</v>
      </c>
      <c r="D123" s="3002" t="s">
        <v>2620</v>
      </c>
      <c r="E123" s="3024">
        <v>0.1</v>
      </c>
      <c r="F123" s="3023">
        <v>15</v>
      </c>
    </row>
    <row r="124" spans="1:6" s="974" customFormat="1" ht="24">
      <c r="A124" s="3023">
        <v>50</v>
      </c>
      <c r="B124" s="3663" t="s">
        <v>2621</v>
      </c>
      <c r="C124" s="3023" t="s">
        <v>2622</v>
      </c>
      <c r="D124" s="3002" t="s">
        <v>2623</v>
      </c>
      <c r="E124" s="3024">
        <v>0.1</v>
      </c>
      <c r="F124" s="3023">
        <v>15</v>
      </c>
    </row>
    <row r="125" spans="1:6" s="974" customFormat="1" ht="24">
      <c r="A125" s="3023">
        <v>51</v>
      </c>
      <c r="B125" s="3663"/>
      <c r="C125" s="3023" t="s">
        <v>2624</v>
      </c>
      <c r="D125" s="3002" t="s">
        <v>2625</v>
      </c>
      <c r="E125" s="3024">
        <v>0.1</v>
      </c>
      <c r="F125" s="3023">
        <v>15</v>
      </c>
    </row>
    <row r="126" spans="1:6" s="974" customFormat="1" ht="24">
      <c r="A126" s="3023">
        <v>52</v>
      </c>
      <c r="B126" s="3663" t="s">
        <v>2626</v>
      </c>
      <c r="C126" s="3023" t="s">
        <v>2627</v>
      </c>
      <c r="D126" s="3002" t="s">
        <v>2628</v>
      </c>
      <c r="E126" s="3024">
        <v>0.1</v>
      </c>
      <c r="F126" s="3023">
        <v>15</v>
      </c>
    </row>
    <row r="127" spans="1:6" s="974" customFormat="1" ht="24">
      <c r="A127" s="3023">
        <v>53</v>
      </c>
      <c r="B127" s="3663"/>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ht="24">
      <c r="A129" s="3023">
        <v>55</v>
      </c>
      <c r="B129" s="3663" t="s">
        <v>2634</v>
      </c>
      <c r="C129" s="3023" t="s">
        <v>2635</v>
      </c>
      <c r="D129" s="3002" t="s">
        <v>2636</v>
      </c>
      <c r="E129" s="3024">
        <v>0.1</v>
      </c>
      <c r="F129" s="3023">
        <v>15</v>
      </c>
    </row>
    <row r="130" spans="1:14" ht="24">
      <c r="A130" s="3023">
        <v>56</v>
      </c>
      <c r="B130" s="3663"/>
      <c r="C130" s="3023" t="s">
        <v>2637</v>
      </c>
      <c r="D130" s="3002" t="s">
        <v>2638</v>
      </c>
      <c r="E130" s="3024">
        <v>0.1</v>
      </c>
      <c r="F130" s="3023">
        <v>15</v>
      </c>
    </row>
    <row r="131" spans="1:14" ht="24">
      <c r="A131" s="3023">
        <v>57</v>
      </c>
      <c r="B131" s="3663"/>
      <c r="C131" s="3023" t="s">
        <v>2639</v>
      </c>
      <c r="D131" s="3002" t="s">
        <v>2640</v>
      </c>
      <c r="E131" s="3024">
        <v>0.1</v>
      </c>
      <c r="F131" s="3023">
        <v>15</v>
      </c>
    </row>
    <row r="132" spans="1:14" ht="24">
      <c r="A132" s="3023">
        <v>58</v>
      </c>
      <c r="B132" s="3663" t="s">
        <v>2641</v>
      </c>
      <c r="C132" s="3023" t="s">
        <v>2642</v>
      </c>
      <c r="D132" s="3002" t="s">
        <v>2643</v>
      </c>
      <c r="E132" s="3024">
        <v>0.1</v>
      </c>
      <c r="F132" s="3023">
        <v>15</v>
      </c>
    </row>
    <row r="133" spans="1:14" ht="24">
      <c r="A133" s="3023">
        <v>59</v>
      </c>
      <c r="B133" s="3663"/>
      <c r="C133" s="3023" t="s">
        <v>2644</v>
      </c>
      <c r="D133" s="3002" t="s">
        <v>2645</v>
      </c>
      <c r="E133" s="3024">
        <v>0.1</v>
      </c>
      <c r="F133" s="3023">
        <v>15</v>
      </c>
    </row>
    <row r="134" spans="1:14" ht="24">
      <c r="A134" s="3023">
        <v>60</v>
      </c>
      <c r="B134" s="3664" t="s">
        <v>2646</v>
      </c>
      <c r="C134" s="3023" t="s">
        <v>2647</v>
      </c>
      <c r="D134" s="3002" t="s">
        <v>2648</v>
      </c>
      <c r="E134" s="3024">
        <v>0.1</v>
      </c>
      <c r="F134" s="3023">
        <v>15</v>
      </c>
    </row>
    <row r="135" spans="1:14" ht="24">
      <c r="A135" s="3023">
        <v>61</v>
      </c>
      <c r="B135" s="3665"/>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3" t="s">
        <v>2654</v>
      </c>
      <c r="C137" s="3023" t="s">
        <v>2655</v>
      </c>
      <c r="D137" s="3002" t="s">
        <v>2656</v>
      </c>
      <c r="E137" s="3024">
        <v>0.1</v>
      </c>
      <c r="F137" s="3023">
        <v>15</v>
      </c>
    </row>
    <row r="138" spans="1:14" ht="24">
      <c r="A138" s="3023">
        <v>64</v>
      </c>
      <c r="B138" s="3663"/>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7" t="s">
        <v>2800</v>
      </c>
      <c r="B1" s="3677"/>
      <c r="C1" s="3677"/>
      <c r="D1" s="3677"/>
      <c r="E1" s="3677"/>
      <c r="F1" s="3677"/>
      <c r="G1" s="367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2" customFormat="1" ht="19.5" customHeight="1">
      <c r="A3" s="3679" t="s">
        <v>2803</v>
      </c>
      <c r="B3" s="3147"/>
      <c r="C3" s="3148" t="s">
        <v>2781</v>
      </c>
      <c r="D3" s="3148" t="s">
        <v>2804</v>
      </c>
      <c r="E3" s="3148" t="s">
        <v>2783</v>
      </c>
      <c r="F3" s="3148" t="s">
        <v>2805</v>
      </c>
      <c r="G3" s="3148" t="s">
        <v>2726</v>
      </c>
      <c r="H3" s="965"/>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2" customFormat="1" ht="19.5" customHeight="1" thickBot="1">
      <c r="A4" s="3680"/>
      <c r="B4" s="3149" t="s">
        <v>2806</v>
      </c>
      <c r="C4" s="3149" t="s">
        <v>2807</v>
      </c>
      <c r="D4" s="3149" t="s">
        <v>2807</v>
      </c>
      <c r="E4" s="3149" t="s">
        <v>2807</v>
      </c>
      <c r="F4" s="3150" t="s">
        <v>2807</v>
      </c>
      <c r="G4" s="3150" t="s">
        <v>2807</v>
      </c>
      <c r="H4" s="965"/>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6" t="s">
        <v>3011</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6"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6"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6"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6"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6"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6"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6" t="s">
        <v>1107</v>
      </c>
      <c r="C28" s="1214"/>
      <c r="D28" s="1214">
        <v>31520</v>
      </c>
      <c r="E28" s="1214">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6" t="s">
        <v>2812</v>
      </c>
      <c r="C30" s="1216">
        <v>26890</v>
      </c>
      <c r="D30" s="1216">
        <v>26770</v>
      </c>
      <c r="E30" s="1216">
        <v>25700</v>
      </c>
      <c r="F30" s="3156">
        <v>8180</v>
      </c>
      <c r="G30" s="3156">
        <v>18740</v>
      </c>
      <c r="I30" s="972"/>
      <c r="M30" s="3164" t="s">
        <v>2824</v>
      </c>
      <c r="N30" s="3155" t="s">
        <v>2831</v>
      </c>
      <c r="O30" s="3155" t="s">
        <v>2848</v>
      </c>
      <c r="P30" s="3155" t="s">
        <v>2895</v>
      </c>
      <c r="Q30" s="3155" t="s">
        <v>2925</v>
      </c>
      <c r="R30" s="3155" t="s">
        <v>2952</v>
      </c>
      <c r="S30" s="3164" t="s">
        <v>2991</v>
      </c>
    </row>
    <row r="31" spans="1:20" ht="14.25" customHeight="1">
      <c r="A31" s="3155" t="s">
        <v>1145</v>
      </c>
      <c r="B31" s="1216" t="s">
        <v>974</v>
      </c>
      <c r="C31" s="3155">
        <v>24550</v>
      </c>
      <c r="D31" s="3155">
        <v>23990</v>
      </c>
      <c r="E31" s="3155">
        <v>22930</v>
      </c>
      <c r="F31" s="3161">
        <v>7470</v>
      </c>
      <c r="G31" s="3161">
        <v>16790</v>
      </c>
      <c r="I31" s="972"/>
      <c r="M31" s="3164" t="s">
        <v>2825</v>
      </c>
      <c r="N31" s="3155" t="s">
        <v>2832</v>
      </c>
      <c r="O31" s="3155" t="s">
        <v>2849</v>
      </c>
      <c r="P31" s="3155" t="s">
        <v>2896</v>
      </c>
      <c r="Q31" s="3155" t="s">
        <v>2926</v>
      </c>
      <c r="R31" s="3155" t="s">
        <v>2953</v>
      </c>
      <c r="S31" s="3164" t="s">
        <v>2992</v>
      </c>
    </row>
    <row r="32" spans="1:20" ht="14.25" customHeight="1">
      <c r="A32" s="3155" t="s">
        <v>1145</v>
      </c>
      <c r="B32" s="1216" t="s">
        <v>984</v>
      </c>
      <c r="C32" s="3155">
        <v>27210</v>
      </c>
      <c r="D32" s="3155">
        <v>23240</v>
      </c>
      <c r="E32" s="3155">
        <v>23260</v>
      </c>
      <c r="F32" s="3161">
        <v>7130</v>
      </c>
      <c r="G32" s="3161">
        <v>16270</v>
      </c>
      <c r="I32" s="972"/>
      <c r="M32" s="3164" t="s">
        <v>2826</v>
      </c>
      <c r="N32" s="3155" t="s">
        <v>2833</v>
      </c>
      <c r="O32" s="3155" t="s">
        <v>1149</v>
      </c>
      <c r="P32" s="3155" t="s">
        <v>2897</v>
      </c>
      <c r="Q32" s="3155" t="s">
        <v>1148</v>
      </c>
      <c r="R32" s="3155" t="s">
        <v>2954</v>
      </c>
      <c r="S32" s="3164" t="s">
        <v>2993</v>
      </c>
    </row>
    <row r="33" spans="1:18" ht="14.25" customHeight="1">
      <c r="A33" s="3155" t="s">
        <v>1145</v>
      </c>
      <c r="B33" s="1216" t="s">
        <v>993</v>
      </c>
      <c r="C33" s="3155">
        <v>27300</v>
      </c>
      <c r="D33" s="3155">
        <v>22980</v>
      </c>
      <c r="E33" s="3155">
        <v>24260</v>
      </c>
      <c r="F33" s="3161">
        <v>5860</v>
      </c>
      <c r="G33" s="3161">
        <v>16090</v>
      </c>
      <c r="I33" s="972"/>
      <c r="M33" s="3164" t="s">
        <v>2827</v>
      </c>
      <c r="N33" s="3155" t="s">
        <v>2834</v>
      </c>
      <c r="O33" s="3155" t="s">
        <v>1150</v>
      </c>
      <c r="P33" s="3155" t="s">
        <v>2898</v>
      </c>
      <c r="Q33" s="3155" t="s">
        <v>2927</v>
      </c>
      <c r="R33" s="3155" t="s">
        <v>2955</v>
      </c>
    </row>
    <row r="34" spans="1:18" ht="14.25" customHeight="1">
      <c r="A34" s="3155" t="s">
        <v>1145</v>
      </c>
      <c r="B34" s="1216" t="s">
        <v>1003</v>
      </c>
      <c r="C34" s="3155">
        <v>23090</v>
      </c>
      <c r="D34" s="3155">
        <v>23390</v>
      </c>
      <c r="E34" s="3155">
        <v>23510</v>
      </c>
      <c r="F34" s="3161">
        <v>6700</v>
      </c>
      <c r="G34" s="3161">
        <v>16370</v>
      </c>
      <c r="I34" s="972"/>
      <c r="N34" s="3155" t="s">
        <v>2835</v>
      </c>
      <c r="O34" s="3155" t="s">
        <v>1151</v>
      </c>
      <c r="P34" s="3155" t="s">
        <v>2899</v>
      </c>
      <c r="Q34" s="3155" t="s">
        <v>2928</v>
      </c>
      <c r="R34" s="3155" t="s">
        <v>2956</v>
      </c>
    </row>
    <row r="35" spans="1:18" ht="14.25" customHeight="1">
      <c r="A35" s="3155" t="s">
        <v>1145</v>
      </c>
      <c r="B35" s="1216" t="s">
        <v>1010</v>
      </c>
      <c r="C35" s="3155">
        <v>27270</v>
      </c>
      <c r="D35" s="3155">
        <v>24270</v>
      </c>
      <c r="E35" s="3155">
        <v>24950</v>
      </c>
      <c r="F35" s="3161">
        <v>6600</v>
      </c>
      <c r="G35" s="3161">
        <v>16990</v>
      </c>
      <c r="I35" s="972"/>
      <c r="N35" s="3155" t="s">
        <v>2836</v>
      </c>
      <c r="O35" s="3155" t="s">
        <v>2850</v>
      </c>
      <c r="P35" s="3155" t="s">
        <v>2900</v>
      </c>
      <c r="Q35" s="3155" t="s">
        <v>2929</v>
      </c>
      <c r="R35" s="3155" t="s">
        <v>2957</v>
      </c>
    </row>
    <row r="36" spans="1:18" ht="14.25" customHeight="1">
      <c r="A36" s="3155" t="s">
        <v>1145</v>
      </c>
      <c r="B36" s="1216" t="s">
        <v>1016</v>
      </c>
      <c r="C36" s="3155">
        <v>23490</v>
      </c>
      <c r="D36" s="3155">
        <v>23020</v>
      </c>
      <c r="E36" s="3155">
        <v>25230</v>
      </c>
      <c r="F36" s="3161">
        <v>6780</v>
      </c>
      <c r="G36" s="3161">
        <v>16120</v>
      </c>
      <c r="I36" s="972"/>
      <c r="N36" s="3164" t="s">
        <v>2837</v>
      </c>
      <c r="O36" s="3191" t="s">
        <v>2851</v>
      </c>
      <c r="P36" s="3155" t="s">
        <v>2901</v>
      </c>
      <c r="Q36" s="3155" t="s">
        <v>2930</v>
      </c>
      <c r="R36" s="3155" t="s">
        <v>2958</v>
      </c>
    </row>
    <row r="37" spans="1:18" ht="14.25" customHeight="1">
      <c r="A37" s="3155" t="s">
        <v>1145</v>
      </c>
      <c r="B37" s="1216" t="s">
        <v>1023</v>
      </c>
      <c r="C37" s="3155">
        <v>24380</v>
      </c>
      <c r="D37" s="3155">
        <v>22240</v>
      </c>
      <c r="E37" s="3155">
        <v>25980</v>
      </c>
      <c r="F37" s="3161">
        <v>8160</v>
      </c>
      <c r="G37" s="3161">
        <v>15570</v>
      </c>
      <c r="I37" s="973"/>
      <c r="N37" s="3164" t="s">
        <v>2838</v>
      </c>
      <c r="O37" s="3191" t="s">
        <v>2852</v>
      </c>
      <c r="P37" s="3155" t="s">
        <v>2902</v>
      </c>
      <c r="Q37" s="3155" t="s">
        <v>2931</v>
      </c>
      <c r="R37" s="3155" t="s">
        <v>2959</v>
      </c>
    </row>
    <row r="38" spans="1:18" ht="14.25" customHeight="1">
      <c r="A38" s="3155" t="s">
        <v>1145</v>
      </c>
      <c r="B38" s="1216" t="s">
        <v>1033</v>
      </c>
      <c r="C38" s="3155">
        <v>23120</v>
      </c>
      <c r="D38" s="3155">
        <v>24630</v>
      </c>
      <c r="E38" s="3155">
        <v>25030</v>
      </c>
      <c r="F38" s="3161">
        <v>7710</v>
      </c>
      <c r="G38" s="3161">
        <v>17240</v>
      </c>
      <c r="I38" s="972"/>
      <c r="N38" s="3164" t="s">
        <v>2839</v>
      </c>
      <c r="O38" s="3191" t="s">
        <v>2853</v>
      </c>
      <c r="P38" s="3155" t="s">
        <v>2903</v>
      </c>
      <c r="Q38" s="3155" t="s">
        <v>2932</v>
      </c>
      <c r="R38" s="3155" t="s">
        <v>2960</v>
      </c>
    </row>
    <row r="39" spans="1:18" ht="14.25" customHeight="1">
      <c r="A39" s="3155" t="s">
        <v>1145</v>
      </c>
      <c r="B39" s="1216" t="s">
        <v>1042</v>
      </c>
      <c r="C39" s="3155">
        <v>22330</v>
      </c>
      <c r="D39" s="3155">
        <v>21140</v>
      </c>
      <c r="E39" s="3155">
        <v>23970</v>
      </c>
      <c r="F39" s="3161">
        <v>7940</v>
      </c>
      <c r="G39" s="3161">
        <v>14790</v>
      </c>
      <c r="I39" s="972"/>
      <c r="N39" s="3164" t="s">
        <v>2840</v>
      </c>
      <c r="O39" s="3191" t="s">
        <v>2854</v>
      </c>
      <c r="P39" s="3155" t="s">
        <v>2904</v>
      </c>
      <c r="Q39" s="3155" t="s">
        <v>2933</v>
      </c>
      <c r="R39" s="3155" t="s">
        <v>2961</v>
      </c>
    </row>
    <row r="40" spans="1:18" ht="14.25" customHeight="1">
      <c r="A40" s="3155" t="s">
        <v>1145</v>
      </c>
      <c r="B40" s="1216" t="s">
        <v>1049</v>
      </c>
      <c r="C40" s="3155">
        <v>24740</v>
      </c>
      <c r="D40" s="3155">
        <v>24690</v>
      </c>
      <c r="E40" s="3155">
        <v>22610</v>
      </c>
      <c r="F40" s="3161"/>
      <c r="G40" s="3161">
        <v>17280</v>
      </c>
      <c r="I40" s="972"/>
      <c r="N40" s="3164" t="s">
        <v>2841</v>
      </c>
      <c r="O40" s="3191" t="s">
        <v>2855</v>
      </c>
      <c r="P40" s="3155" t="s">
        <v>2905</v>
      </c>
      <c r="Q40" s="3155" t="s">
        <v>2934</v>
      </c>
      <c r="R40" s="3155" t="s">
        <v>2962</v>
      </c>
    </row>
    <row r="41" spans="1:18" ht="14.25" customHeight="1">
      <c r="A41" s="3155" t="s">
        <v>1145</v>
      </c>
      <c r="B41" s="1216" t="s">
        <v>1056</v>
      </c>
      <c r="C41" s="3155">
        <v>21220</v>
      </c>
      <c r="D41" s="3155">
        <v>21120</v>
      </c>
      <c r="E41" s="3155">
        <v>22590</v>
      </c>
      <c r="F41" s="3161"/>
      <c r="G41" s="3161">
        <v>14780</v>
      </c>
      <c r="I41" s="972"/>
      <c r="N41" s="3164" t="s">
        <v>2842</v>
      </c>
      <c r="O41" s="3192" t="s">
        <v>2856</v>
      </c>
      <c r="P41" s="1216" t="s">
        <v>2906</v>
      </c>
      <c r="Q41" s="3164" t="s">
        <v>2935</v>
      </c>
      <c r="R41" s="1216" t="s">
        <v>2963</v>
      </c>
    </row>
    <row r="42" spans="1:18" ht="14.25" customHeight="1">
      <c r="A42" s="3155" t="s">
        <v>1145</v>
      </c>
      <c r="B42" s="1216" t="s">
        <v>1063</v>
      </c>
      <c r="C42" s="3155">
        <v>24800</v>
      </c>
      <c r="D42" s="3155">
        <v>22280</v>
      </c>
      <c r="E42" s="3155">
        <v>24350</v>
      </c>
      <c r="F42" s="3161"/>
      <c r="G42" s="3161">
        <v>15590</v>
      </c>
      <c r="I42" s="972"/>
      <c r="O42" s="3155" t="s">
        <v>2857</v>
      </c>
      <c r="P42" s="3155" t="s">
        <v>2907</v>
      </c>
      <c r="Q42" s="3164" t="s">
        <v>2936</v>
      </c>
      <c r="R42" s="3155" t="s">
        <v>2964</v>
      </c>
    </row>
    <row r="43" spans="1:18" ht="14.25" customHeight="1">
      <c r="A43" s="3155" t="s">
        <v>1145</v>
      </c>
      <c r="B43" s="1216" t="s">
        <v>1071</v>
      </c>
      <c r="C43" s="3155">
        <v>21210</v>
      </c>
      <c r="D43" s="3155">
        <v>21160</v>
      </c>
      <c r="E43" s="3155">
        <v>22650</v>
      </c>
      <c r="F43" s="3161"/>
      <c r="G43" s="3161">
        <v>14800</v>
      </c>
      <c r="I43" s="972"/>
      <c r="O43" s="3155" t="s">
        <v>2858</v>
      </c>
      <c r="P43" s="3155" t="s">
        <v>2908</v>
      </c>
      <c r="Q43" s="3164" t="s">
        <v>2937</v>
      </c>
      <c r="R43" s="3155" t="s">
        <v>2965</v>
      </c>
    </row>
    <row r="44" spans="1:18" ht="14.25" customHeight="1">
      <c r="A44" s="3155" t="s">
        <v>1145</v>
      </c>
      <c r="B44" s="1216" t="s">
        <v>1079</v>
      </c>
      <c r="C44" s="3155">
        <v>22370</v>
      </c>
      <c r="D44" s="3155">
        <v>23140</v>
      </c>
      <c r="E44" s="3155">
        <v>25090</v>
      </c>
      <c r="F44" s="3161"/>
      <c r="G44" s="3161">
        <v>16190</v>
      </c>
      <c r="I44" s="972"/>
      <c r="O44" s="3155" t="s">
        <v>2859</v>
      </c>
      <c r="P44" s="3155" t="s">
        <v>2909</v>
      </c>
      <c r="Q44" s="3164" t="s">
        <v>2938</v>
      </c>
      <c r="R44" s="3155" t="s">
        <v>2966</v>
      </c>
    </row>
    <row r="45" spans="1:18" ht="14.25" customHeight="1">
      <c r="A45" s="3155" t="s">
        <v>1145</v>
      </c>
      <c r="B45" s="1216" t="s">
        <v>1084</v>
      </c>
      <c r="C45" s="3155">
        <v>21240</v>
      </c>
      <c r="D45" s="3155">
        <v>27050</v>
      </c>
      <c r="E45" s="3155">
        <v>28000</v>
      </c>
      <c r="F45" s="3161"/>
      <c r="G45" s="3161">
        <v>18940</v>
      </c>
      <c r="I45" s="972"/>
      <c r="O45" s="3155" t="s">
        <v>2860</v>
      </c>
      <c r="P45" s="3155" t="s">
        <v>2910</v>
      </c>
      <c r="R45" s="3155" t="s">
        <v>2967</v>
      </c>
    </row>
    <row r="46" spans="1:18" ht="14.25" customHeight="1">
      <c r="A46" s="3155" t="s">
        <v>1145</v>
      </c>
      <c r="B46" s="1216" t="s">
        <v>1093</v>
      </c>
      <c r="C46" s="3155">
        <v>23240</v>
      </c>
      <c r="D46" s="3155">
        <v>23000</v>
      </c>
      <c r="E46" s="3155">
        <v>24980</v>
      </c>
      <c r="F46" s="3161"/>
      <c r="G46" s="3161">
        <v>16100</v>
      </c>
      <c r="I46" s="972"/>
      <c r="O46" s="3155" t="s">
        <v>2861</v>
      </c>
      <c r="P46" s="3155"/>
      <c r="R46" s="3155" t="s">
        <v>2968</v>
      </c>
    </row>
    <row r="47" spans="1:18" ht="14.25" customHeight="1">
      <c r="A47" s="3155" t="s">
        <v>1145</v>
      </c>
      <c r="B47" s="2406" t="s">
        <v>1100</v>
      </c>
      <c r="C47" s="1214">
        <v>27150</v>
      </c>
      <c r="D47" s="1214">
        <v>23310</v>
      </c>
      <c r="E47" s="1214">
        <v>25150</v>
      </c>
      <c r="F47" s="3166"/>
      <c r="G47" s="3166">
        <v>16310</v>
      </c>
      <c r="I47" s="972"/>
      <c r="O47" s="3155" t="s">
        <v>2862</v>
      </c>
      <c r="P47" s="3155"/>
      <c r="R47" s="3164" t="s">
        <v>2969</v>
      </c>
    </row>
    <row r="48" spans="1:18" ht="14.25" customHeight="1">
      <c r="A48" s="3155" t="s">
        <v>1145</v>
      </c>
      <c r="B48" s="3155" t="s">
        <v>1108</v>
      </c>
      <c r="C48" s="3155">
        <v>23100</v>
      </c>
      <c r="D48" s="3155">
        <v>21110</v>
      </c>
      <c r="E48" s="3155">
        <v>23080</v>
      </c>
      <c r="F48" s="3161"/>
      <c r="G48" s="3168">
        <v>14780</v>
      </c>
      <c r="I48" s="972"/>
      <c r="O48" s="3155" t="s">
        <v>2863</v>
      </c>
      <c r="P48" s="3155"/>
      <c r="R48" s="3164" t="s">
        <v>2970</v>
      </c>
    </row>
    <row r="49" spans="1:18" ht="14.25" customHeight="1">
      <c r="A49" s="3155" t="s">
        <v>1145</v>
      </c>
      <c r="B49" s="1216" t="s">
        <v>1115</v>
      </c>
      <c r="C49" s="1216">
        <v>23400</v>
      </c>
      <c r="D49" s="1216">
        <v>22920</v>
      </c>
      <c r="E49" s="1216">
        <v>24900</v>
      </c>
      <c r="F49" s="3156"/>
      <c r="G49" s="3156">
        <v>16040</v>
      </c>
      <c r="I49" s="972"/>
      <c r="O49" s="3155" t="s">
        <v>2864</v>
      </c>
      <c r="P49" s="3155"/>
      <c r="R49" s="3164" t="s">
        <v>2971</v>
      </c>
    </row>
    <row r="50" spans="1:18" ht="14.25" customHeight="1">
      <c r="A50" s="3155" t="s">
        <v>1145</v>
      </c>
      <c r="B50" s="3155" t="s">
        <v>2813</v>
      </c>
      <c r="C50" s="3155">
        <v>21200</v>
      </c>
      <c r="D50" s="3155">
        <v>26540</v>
      </c>
      <c r="E50" s="3155">
        <v>23200</v>
      </c>
      <c r="F50" s="3161"/>
      <c r="G50" s="3161">
        <v>18580</v>
      </c>
      <c r="I50" s="972"/>
      <c r="O50" s="3164" t="s">
        <v>2865</v>
      </c>
      <c r="R50" s="3164" t="s">
        <v>2972</v>
      </c>
    </row>
    <row r="51" spans="1:18" ht="14.25" customHeight="1">
      <c r="A51" s="3155" t="s">
        <v>1145</v>
      </c>
      <c r="B51" s="3155" t="s">
        <v>2814</v>
      </c>
      <c r="C51" s="3155">
        <v>23000</v>
      </c>
      <c r="D51" s="3155">
        <v>23460</v>
      </c>
      <c r="E51" s="3155">
        <v>25290</v>
      </c>
      <c r="F51" s="3161"/>
      <c r="G51" s="3161">
        <v>16420</v>
      </c>
      <c r="I51" s="972"/>
      <c r="O51" s="3164" t="s">
        <v>2866</v>
      </c>
      <c r="R51" s="3164" t="s">
        <v>2973</v>
      </c>
    </row>
    <row r="52" spans="1:18" ht="14.25" customHeight="1">
      <c r="A52" s="3155" t="s">
        <v>1145</v>
      </c>
      <c r="B52" s="3155" t="s">
        <v>2815</v>
      </c>
      <c r="C52" s="3155">
        <v>26660</v>
      </c>
      <c r="D52" s="3155">
        <v>22350</v>
      </c>
      <c r="E52" s="3155">
        <v>22920</v>
      </c>
      <c r="F52" s="3161"/>
      <c r="G52" s="3161">
        <v>15640</v>
      </c>
      <c r="I52" s="972"/>
      <c r="O52" s="3164" t="s">
        <v>2867</v>
      </c>
    </row>
    <row r="53" spans="1:18" ht="14.25" customHeight="1">
      <c r="A53" s="3155" t="s">
        <v>1145</v>
      </c>
      <c r="B53" s="3155" t="s">
        <v>2816</v>
      </c>
      <c r="C53" s="3155">
        <v>23580</v>
      </c>
      <c r="D53" s="3155"/>
      <c r="E53" s="3155">
        <v>24280</v>
      </c>
      <c r="F53" s="3161"/>
      <c r="G53" s="3161"/>
      <c r="I53" s="972"/>
      <c r="O53" s="3164" t="s">
        <v>2868</v>
      </c>
    </row>
    <row r="54" spans="1:18" ht="14.25" customHeight="1" thickBot="1">
      <c r="A54" s="3170" t="s">
        <v>1145</v>
      </c>
      <c r="B54" s="3158" t="s">
        <v>2817</v>
      </c>
      <c r="C54" s="3158">
        <v>22460</v>
      </c>
      <c r="D54" s="3158"/>
      <c r="E54" s="3158"/>
      <c r="F54" s="3159"/>
      <c r="G54" s="3171"/>
      <c r="I54" s="972"/>
      <c r="O54" s="3164" t="s">
        <v>2869</v>
      </c>
    </row>
    <row r="55" spans="1:18" ht="14.25" customHeight="1">
      <c r="A55" s="3169" t="s">
        <v>853</v>
      </c>
      <c r="B55" s="1216" t="s">
        <v>2818</v>
      </c>
      <c r="C55" s="1216">
        <v>21970</v>
      </c>
      <c r="D55" s="1216">
        <v>20370</v>
      </c>
      <c r="E55" s="1216">
        <v>20180</v>
      </c>
      <c r="F55" s="3156">
        <v>5730</v>
      </c>
      <c r="G55" s="3156">
        <v>13820</v>
      </c>
      <c r="I55" s="972"/>
      <c r="O55" s="3164" t="s">
        <v>2870</v>
      </c>
    </row>
    <row r="56" spans="1:18" ht="14.25" customHeight="1">
      <c r="A56" s="3155" t="s">
        <v>853</v>
      </c>
      <c r="B56" s="3155" t="s">
        <v>975</v>
      </c>
      <c r="C56" s="3155">
        <v>20470</v>
      </c>
      <c r="D56" s="3155">
        <v>20700</v>
      </c>
      <c r="E56" s="3155">
        <v>20380</v>
      </c>
      <c r="F56" s="3161">
        <v>4760</v>
      </c>
      <c r="G56" s="3161">
        <v>14050</v>
      </c>
      <c r="I56" s="972"/>
      <c r="O56" s="3164" t="s">
        <v>2871</v>
      </c>
    </row>
    <row r="57" spans="1:18" ht="14.25" customHeight="1">
      <c r="A57" s="3155" t="s">
        <v>853</v>
      </c>
      <c r="B57" s="3155" t="s">
        <v>985</v>
      </c>
      <c r="C57" s="3155">
        <v>20790</v>
      </c>
      <c r="D57" s="3155">
        <v>21370</v>
      </c>
      <c r="E57" s="3155">
        <v>20890</v>
      </c>
      <c r="F57" s="3161">
        <v>4910</v>
      </c>
      <c r="G57" s="3161">
        <v>14510</v>
      </c>
      <c r="I57" s="972"/>
      <c r="O57" s="3164" t="s">
        <v>2872</v>
      </c>
    </row>
    <row r="58" spans="1:18" ht="14.25" customHeight="1">
      <c r="A58" s="3155" t="s">
        <v>853</v>
      </c>
      <c r="B58" s="3155" t="s">
        <v>994</v>
      </c>
      <c r="C58" s="3155">
        <v>21460</v>
      </c>
      <c r="D58" s="3155">
        <v>20920</v>
      </c>
      <c r="E58" s="3155">
        <v>23410</v>
      </c>
      <c r="F58" s="3161">
        <v>5100</v>
      </c>
      <c r="G58" s="3161">
        <v>14200</v>
      </c>
      <c r="I58" s="972"/>
      <c r="O58" s="3164" t="s">
        <v>2873</v>
      </c>
    </row>
    <row r="59" spans="1:18" ht="14.25" customHeight="1">
      <c r="A59" s="3155" t="s">
        <v>853</v>
      </c>
      <c r="B59" s="3155" t="s">
        <v>1004</v>
      </c>
      <c r="C59" s="3155">
        <v>21000</v>
      </c>
      <c r="D59" s="3155">
        <v>21550</v>
      </c>
      <c r="E59" s="3155">
        <v>21150</v>
      </c>
      <c r="F59" s="3161">
        <v>5250</v>
      </c>
      <c r="G59" s="3161">
        <v>14630</v>
      </c>
      <c r="I59" s="972"/>
      <c r="O59" s="3164" t="s">
        <v>2874</v>
      </c>
    </row>
    <row r="60" spans="1:18" ht="14.25" customHeight="1">
      <c r="A60" s="3155" t="s">
        <v>853</v>
      </c>
      <c r="B60" s="3155" t="s">
        <v>1011</v>
      </c>
      <c r="C60" s="3155">
        <v>21640</v>
      </c>
      <c r="D60" s="3155">
        <v>21260</v>
      </c>
      <c r="E60" s="3155">
        <v>24040</v>
      </c>
      <c r="F60" s="3161">
        <v>4470</v>
      </c>
      <c r="G60" s="3161">
        <v>14430</v>
      </c>
      <c r="I60" s="972"/>
      <c r="O60" s="3164" t="s">
        <v>2875</v>
      </c>
    </row>
    <row r="61" spans="1:18" ht="14.25" customHeight="1">
      <c r="A61" s="3155" t="s">
        <v>853</v>
      </c>
      <c r="B61" s="3155" t="s">
        <v>1017</v>
      </c>
      <c r="C61" s="3155">
        <v>21330</v>
      </c>
      <c r="D61" s="3155">
        <v>18640</v>
      </c>
      <c r="E61" s="3155">
        <v>21190</v>
      </c>
      <c r="F61" s="3161">
        <v>4180</v>
      </c>
      <c r="G61" s="3163">
        <v>12650</v>
      </c>
      <c r="I61" s="972"/>
      <c r="O61" s="3164" t="s">
        <v>2876</v>
      </c>
    </row>
    <row r="62" spans="1:18" ht="14.25" customHeight="1">
      <c r="A62" s="3155" t="s">
        <v>853</v>
      </c>
      <c r="B62" s="3155" t="s">
        <v>1024</v>
      </c>
      <c r="C62" s="3155">
        <v>18710</v>
      </c>
      <c r="D62" s="3155">
        <v>19400</v>
      </c>
      <c r="E62" s="3155">
        <v>23750</v>
      </c>
      <c r="F62" s="3161">
        <v>4860</v>
      </c>
      <c r="G62" s="3163">
        <v>13170</v>
      </c>
      <c r="I62" s="972"/>
      <c r="O62" s="3164" t="s">
        <v>2877</v>
      </c>
    </row>
    <row r="63" spans="1:18" ht="14.25" customHeight="1">
      <c r="A63" s="3155" t="s">
        <v>853</v>
      </c>
      <c r="B63" s="3155" t="s">
        <v>1034</v>
      </c>
      <c r="C63" s="3155">
        <v>19480</v>
      </c>
      <c r="D63" s="3155">
        <v>16830</v>
      </c>
      <c r="E63" s="3155">
        <v>21590</v>
      </c>
      <c r="F63" s="3161">
        <v>4560</v>
      </c>
      <c r="G63" s="3163">
        <v>11420</v>
      </c>
      <c r="I63" s="972"/>
      <c r="O63" s="3164" t="s">
        <v>2878</v>
      </c>
    </row>
    <row r="64" spans="1:18" ht="14.25" customHeight="1">
      <c r="A64" s="3155" t="s">
        <v>853</v>
      </c>
      <c r="B64" s="3155" t="s">
        <v>1043</v>
      </c>
      <c r="C64" s="3155">
        <v>16920</v>
      </c>
      <c r="D64" s="3155">
        <v>19190</v>
      </c>
      <c r="E64" s="3155">
        <v>22200</v>
      </c>
      <c r="F64" s="3161">
        <v>4390</v>
      </c>
      <c r="G64" s="3163">
        <v>13030</v>
      </c>
      <c r="I64" s="972"/>
      <c r="O64" s="3164" t="s">
        <v>2879</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2819</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2820</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2821</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2822</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2823</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2824</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2825</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2826</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2827</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2828</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2829</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2830</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2831</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2832</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2833</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2834</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2835</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2836</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2837</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2838</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2839</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2840</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2841</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2842</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2843</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2844</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2845</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2846</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2847</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2848</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2849</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2850</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2851</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2852</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2853</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2854</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2855</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2856</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2857</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2858</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2859</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2860</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2861</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2862</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2863</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2864</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2865</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2866</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2867</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2868</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2869</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2870</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2871</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2872</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2873</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2874</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2875</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2876</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2877</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2878</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2879</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2880</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2881</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2882</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2883</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2884</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2885</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2886</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2887</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2888</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2889</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2890</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2891</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2892</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2893</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2894</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2895</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2896</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2897</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2898</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2899</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2900</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2901</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2902</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2903</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2904</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2905</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2906</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2907</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2908</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2909</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2910</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2911</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2912</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2913</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2914</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2915</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2916</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2917</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2918</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2919</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2920</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2921</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2922</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2923</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2924</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2925</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2926</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2927</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2928</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2929</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2930</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2931</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2932</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2933</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2934</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2935</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2936</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2937</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2938</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2939</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2940</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2941</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2942</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2943</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2944</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2945</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2946</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2947</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2948</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2949</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2950</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2951</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2952</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2953</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2954</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2955</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2956</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2957</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2958</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2959</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2960</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2961</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2962</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2963</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2964</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2965</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2966</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2967</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2968</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2969</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2970</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2971</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2972</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2973</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2974</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2975</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2976</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2977</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2978</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2979</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2980</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2981</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2982</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8"/>
    </row>
    <row r="346" spans="1:21">
      <c r="A346" s="3164" t="s">
        <v>1157</v>
      </c>
      <c r="B346" s="3164" t="s">
        <v>2984</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2985</v>
      </c>
      <c r="C348" s="3164">
        <v>4000</v>
      </c>
      <c r="D348" s="3164">
        <v>3950</v>
      </c>
      <c r="E348" s="3164">
        <v>4430</v>
      </c>
      <c r="F348" s="3164">
        <v>760</v>
      </c>
      <c r="G348" s="3164">
        <v>2360</v>
      </c>
      <c r="H348" s="958"/>
    </row>
    <row r="349" spans="1:21">
      <c r="A349" s="3164" t="s">
        <v>1157</v>
      </c>
      <c r="B349" s="3164" t="s">
        <v>2986</v>
      </c>
      <c r="C349" s="3164">
        <v>3820</v>
      </c>
      <c r="D349" s="3164">
        <v>3780</v>
      </c>
      <c r="E349" s="3164">
        <v>4170</v>
      </c>
      <c r="F349" s="3164">
        <v>710</v>
      </c>
      <c r="G349" s="3164">
        <v>2260</v>
      </c>
      <c r="H349" s="958"/>
    </row>
    <row r="350" spans="1:21">
      <c r="A350" s="3164" t="s">
        <v>1157</v>
      </c>
      <c r="B350" s="3164" t="s">
        <v>2987</v>
      </c>
      <c r="C350" s="3164">
        <v>3760</v>
      </c>
      <c r="D350" s="3164">
        <v>3730</v>
      </c>
      <c r="E350" s="3164">
        <v>4100</v>
      </c>
      <c r="F350" s="3164">
        <v>800</v>
      </c>
      <c r="G350" s="3164">
        <v>2230</v>
      </c>
      <c r="H350" s="958"/>
    </row>
    <row r="351" spans="1:21">
      <c r="A351" s="3164" t="s">
        <v>1157</v>
      </c>
      <c r="B351" s="3164" t="s">
        <v>2988</v>
      </c>
      <c r="C351" s="3164">
        <v>3610</v>
      </c>
      <c r="D351" s="3164">
        <v>3580</v>
      </c>
      <c r="E351" s="3164">
        <v>3930</v>
      </c>
      <c r="F351" s="3164">
        <v>700</v>
      </c>
      <c r="G351" s="3164">
        <v>2140</v>
      </c>
      <c r="H351" s="958"/>
    </row>
    <row r="352" spans="1:21">
      <c r="A352" s="3164" t="s">
        <v>1157</v>
      </c>
      <c r="B352" s="3164" t="s">
        <v>2989</v>
      </c>
      <c r="C352" s="3164">
        <v>3670</v>
      </c>
      <c r="D352" s="3164">
        <v>3630</v>
      </c>
      <c r="E352" s="3164">
        <v>4000</v>
      </c>
      <c r="F352" s="3164">
        <v>750</v>
      </c>
      <c r="G352" s="3164">
        <v>2180</v>
      </c>
      <c r="H352" s="958"/>
    </row>
    <row r="353" spans="1:8">
      <c r="A353" s="3164" t="s">
        <v>1157</v>
      </c>
      <c r="B353" s="3164" t="s">
        <v>2990</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2991</v>
      </c>
      <c r="C355" s="3164">
        <v>3650</v>
      </c>
      <c r="D355" s="3164">
        <v>3610</v>
      </c>
      <c r="E355" s="3164">
        <v>4200</v>
      </c>
      <c r="F355" s="3164">
        <v>640</v>
      </c>
      <c r="G355" s="3164">
        <v>2160</v>
      </c>
      <c r="H355" s="958"/>
    </row>
    <row r="356" spans="1:8">
      <c r="A356" s="3164" t="s">
        <v>1157</v>
      </c>
      <c r="B356" s="3164" t="s">
        <v>2992</v>
      </c>
      <c r="C356" s="3164">
        <v>3260</v>
      </c>
      <c r="D356" s="3164">
        <v>3230</v>
      </c>
      <c r="E356" s="3164">
        <v>3740</v>
      </c>
      <c r="F356" s="3164">
        <v>600</v>
      </c>
      <c r="G356" s="3164">
        <v>1930</v>
      </c>
      <c r="H356" s="958"/>
    </row>
    <row r="357" spans="1:8" ht="15" thickBot="1">
      <c r="A357" s="3179" t="s">
        <v>1157</v>
      </c>
      <c r="B357" s="3179" t="s">
        <v>2993</v>
      </c>
      <c r="C357" s="3179">
        <v>3690</v>
      </c>
      <c r="D357" s="3179">
        <v>3650</v>
      </c>
      <c r="E357" s="3179">
        <v>4020</v>
      </c>
      <c r="F357" s="3179">
        <v>700</v>
      </c>
      <c r="G357" s="3179">
        <v>2190</v>
      </c>
      <c r="H357" s="958"/>
    </row>
    <row r="358" spans="1:8">
      <c r="A358" s="3180" t="s">
        <v>2751</v>
      </c>
      <c r="B358" s="3181" t="s">
        <v>2994</v>
      </c>
      <c r="C358" s="3181">
        <v>2080</v>
      </c>
      <c r="D358" s="3181">
        <v>2040</v>
      </c>
      <c r="E358" s="3181">
        <v>2010</v>
      </c>
      <c r="F358" s="3181">
        <v>530</v>
      </c>
      <c r="G358" s="3182">
        <v>1230</v>
      </c>
      <c r="H358" s="958"/>
    </row>
    <row r="359" spans="1:8">
      <c r="A359" s="3183" t="s">
        <v>2751</v>
      </c>
      <c r="B359" s="3164" t="s">
        <v>2995</v>
      </c>
      <c r="C359" s="3164">
        <v>1850</v>
      </c>
      <c r="D359" s="3164">
        <v>1820</v>
      </c>
      <c r="E359" s="3164">
        <v>1780</v>
      </c>
      <c r="F359" s="3164">
        <v>520</v>
      </c>
      <c r="G359" s="3176">
        <v>1100</v>
      </c>
      <c r="H359" s="958"/>
    </row>
    <row r="360" spans="1:8">
      <c r="A360" s="3183" t="s">
        <v>2751</v>
      </c>
      <c r="B360" s="3164" t="s">
        <v>2996</v>
      </c>
      <c r="C360" s="3164">
        <v>2020</v>
      </c>
      <c r="D360" s="3164">
        <v>1990</v>
      </c>
      <c r="E360" s="3164">
        <v>1950</v>
      </c>
      <c r="F360" s="3164">
        <v>500</v>
      </c>
      <c r="G360" s="3176">
        <v>1200</v>
      </c>
      <c r="H360" s="958"/>
    </row>
    <row r="361" spans="1:8">
      <c r="A361" s="3183" t="s">
        <v>2751</v>
      </c>
      <c r="B361" s="3164" t="s">
        <v>999</v>
      </c>
      <c r="C361" s="3164">
        <v>2260</v>
      </c>
      <c r="D361" s="3164">
        <v>2220</v>
      </c>
      <c r="E361" s="3164">
        <v>2180</v>
      </c>
      <c r="F361" s="3164">
        <v>580</v>
      </c>
      <c r="G361" s="3176">
        <v>1340</v>
      </c>
      <c r="H361" s="958"/>
    </row>
    <row r="362" spans="1:8">
      <c r="A362" s="3183" t="s">
        <v>2751</v>
      </c>
      <c r="B362" s="3164" t="s">
        <v>2997</v>
      </c>
      <c r="C362" s="3164">
        <v>2650</v>
      </c>
      <c r="D362" s="3164">
        <v>2610</v>
      </c>
      <c r="E362" s="3164">
        <v>2570</v>
      </c>
      <c r="F362" s="3164">
        <v>630</v>
      </c>
      <c r="G362" s="3176">
        <v>1570</v>
      </c>
      <c r="H362" s="958"/>
    </row>
    <row r="363" spans="1:8">
      <c r="A363" s="3183" t="s">
        <v>2751</v>
      </c>
      <c r="B363" s="3164" t="s">
        <v>2998</v>
      </c>
      <c r="C363" s="3164">
        <v>2390</v>
      </c>
      <c r="D363" s="3164">
        <v>2360</v>
      </c>
      <c r="E363" s="3164">
        <v>2320</v>
      </c>
      <c r="F363" s="3164">
        <v>600</v>
      </c>
      <c r="G363" s="3176">
        <v>1420</v>
      </c>
      <c r="H363" s="958"/>
    </row>
    <row r="364" spans="1:8">
      <c r="A364" s="3183" t="s">
        <v>2751</v>
      </c>
      <c r="B364" s="3164" t="s">
        <v>2999</v>
      </c>
      <c r="C364" s="3164">
        <v>2050</v>
      </c>
      <c r="D364" s="3164">
        <v>2030</v>
      </c>
      <c r="E364" s="3164">
        <v>1990</v>
      </c>
      <c r="F364" s="3164">
        <v>550</v>
      </c>
      <c r="G364" s="3176">
        <v>1220</v>
      </c>
      <c r="H364" s="958"/>
    </row>
    <row r="365" spans="1:8">
      <c r="A365" s="3183" t="s">
        <v>2751</v>
      </c>
      <c r="B365" s="3164" t="s">
        <v>1047</v>
      </c>
      <c r="C365" s="3164">
        <v>2140</v>
      </c>
      <c r="D365" s="3164">
        <v>2100</v>
      </c>
      <c r="E365" s="3164">
        <v>2060</v>
      </c>
      <c r="F365" s="3164">
        <v>540</v>
      </c>
      <c r="G365" s="3176">
        <v>1270</v>
      </c>
      <c r="H365" s="958"/>
    </row>
    <row r="366" spans="1:8">
      <c r="A366" s="3183" t="s">
        <v>2751</v>
      </c>
      <c r="B366" s="3164" t="s">
        <v>3000</v>
      </c>
      <c r="C366" s="3164">
        <v>2410</v>
      </c>
      <c r="D366" s="3164">
        <v>2370</v>
      </c>
      <c r="E366" s="3164">
        <v>2330</v>
      </c>
      <c r="F366" s="3164">
        <v>570</v>
      </c>
      <c r="G366" s="3176">
        <v>1440</v>
      </c>
      <c r="H366" s="958"/>
    </row>
    <row r="367" spans="1:8">
      <c r="A367" s="3183" t="s">
        <v>2751</v>
      </c>
      <c r="B367" s="3164" t="s">
        <v>3001</v>
      </c>
      <c r="C367" s="3164">
        <v>2300</v>
      </c>
      <c r="D367" s="3164">
        <v>2260</v>
      </c>
      <c r="E367" s="3164">
        <v>2220</v>
      </c>
      <c r="F367" s="3164">
        <v>560</v>
      </c>
      <c r="G367" s="3176">
        <v>1370</v>
      </c>
      <c r="H367" s="958"/>
    </row>
    <row r="368" spans="1:8">
      <c r="A368" s="3183" t="s">
        <v>2751</v>
      </c>
      <c r="B368" s="3164" t="s">
        <v>3002</v>
      </c>
      <c r="C368" s="3164">
        <v>2430</v>
      </c>
      <c r="D368" s="3164">
        <v>2390</v>
      </c>
      <c r="E368" s="3164">
        <v>2350</v>
      </c>
      <c r="F368" s="3164">
        <v>570</v>
      </c>
      <c r="G368" s="3176">
        <v>1450</v>
      </c>
      <c r="H368" s="958"/>
    </row>
    <row r="369" spans="1:8">
      <c r="A369" s="3183" t="s">
        <v>2751</v>
      </c>
      <c r="B369" s="3164" t="s">
        <v>1061</v>
      </c>
      <c r="C369" s="3164">
        <v>2320</v>
      </c>
      <c r="D369" s="3164">
        <v>2290</v>
      </c>
      <c r="E369" s="3164">
        <v>2250</v>
      </c>
      <c r="F369" s="3164">
        <v>550</v>
      </c>
      <c r="G369" s="3176">
        <v>1380</v>
      </c>
      <c r="H369" s="958"/>
    </row>
    <row r="370" spans="1:8">
      <c r="A370" s="3183" t="s">
        <v>2751</v>
      </c>
      <c r="B370" s="3164" t="s">
        <v>1069</v>
      </c>
      <c r="C370" s="3164">
        <v>2190</v>
      </c>
      <c r="D370" s="3164">
        <v>2170</v>
      </c>
      <c r="E370" s="3164">
        <v>2130</v>
      </c>
      <c r="F370" s="3164">
        <v>530</v>
      </c>
      <c r="G370" s="3176">
        <v>1310</v>
      </c>
      <c r="H370" s="958"/>
    </row>
    <row r="371" spans="1:8">
      <c r="A371" s="3183" t="s">
        <v>2751</v>
      </c>
      <c r="B371" s="3164" t="s">
        <v>1077</v>
      </c>
      <c r="C371" s="3164">
        <v>2460</v>
      </c>
      <c r="D371" s="3164">
        <v>2420</v>
      </c>
      <c r="E371" s="3164">
        <v>2370</v>
      </c>
      <c r="F371" s="3164">
        <v>560</v>
      </c>
      <c r="G371" s="3176">
        <v>1470</v>
      </c>
      <c r="H371" s="958"/>
    </row>
    <row r="372" spans="1:8">
      <c r="A372" s="3183" t="s">
        <v>2751</v>
      </c>
      <c r="B372" s="3164" t="s">
        <v>3003</v>
      </c>
      <c r="C372" s="3164">
        <v>2250</v>
      </c>
      <c r="D372" s="3164">
        <v>2210</v>
      </c>
      <c r="E372" s="3164">
        <v>2180</v>
      </c>
      <c r="F372" s="3164">
        <v>550</v>
      </c>
      <c r="G372" s="3176">
        <v>1340</v>
      </c>
      <c r="H372" s="958"/>
    </row>
    <row r="373" spans="1:8">
      <c r="A373" s="3183" t="s">
        <v>2751</v>
      </c>
      <c r="B373" s="3164" t="s">
        <v>1106</v>
      </c>
      <c r="C373" s="3164">
        <v>2210</v>
      </c>
      <c r="D373" s="3164">
        <v>2190</v>
      </c>
      <c r="E373" s="3164">
        <v>2150</v>
      </c>
      <c r="F373" s="3164">
        <v>530</v>
      </c>
      <c r="G373" s="3176">
        <v>1320</v>
      </c>
      <c r="H373" s="958"/>
    </row>
    <row r="374" spans="1:8">
      <c r="A374" s="3183" t="s">
        <v>2751</v>
      </c>
      <c r="B374" s="3164" t="s">
        <v>1114</v>
      </c>
      <c r="C374" s="3164">
        <v>2320</v>
      </c>
      <c r="D374" s="3164">
        <v>2280</v>
      </c>
      <c r="E374" s="3164">
        <v>2230</v>
      </c>
      <c r="F374" s="3164">
        <v>580</v>
      </c>
      <c r="G374" s="3176">
        <v>1380</v>
      </c>
      <c r="H374" s="958"/>
    </row>
    <row r="375" spans="1:8">
      <c r="A375" s="3183" t="s">
        <v>2751</v>
      </c>
      <c r="B375" s="3164" t="s">
        <v>3004</v>
      </c>
      <c r="C375" s="3164">
        <v>2090</v>
      </c>
      <c r="D375" s="3164">
        <v>2050</v>
      </c>
      <c r="E375" s="3164">
        <v>2020</v>
      </c>
      <c r="F375" s="3164">
        <v>520</v>
      </c>
      <c r="G375" s="3176">
        <v>1240</v>
      </c>
      <c r="H375" s="958"/>
    </row>
    <row r="376" spans="1:8">
      <c r="A376" s="3183" t="s">
        <v>2751</v>
      </c>
      <c r="B376" s="3164" t="s">
        <v>1126</v>
      </c>
      <c r="C376" s="3164">
        <v>2010</v>
      </c>
      <c r="D376" s="3164">
        <v>1980</v>
      </c>
      <c r="E376" s="3164">
        <v>1940</v>
      </c>
      <c r="F376" s="3164">
        <v>540</v>
      </c>
      <c r="G376" s="3176">
        <v>1190</v>
      </c>
      <c r="H376" s="958"/>
    </row>
    <row r="377" spans="1:8" ht="15" thickBot="1">
      <c r="A377" s="3185" t="s">
        <v>2751</v>
      </c>
      <c r="B377" s="3179" t="s">
        <v>3005</v>
      </c>
      <c r="C377" s="3179">
        <v>1930</v>
      </c>
      <c r="D377" s="3179">
        <v>1890</v>
      </c>
      <c r="E377" s="3179">
        <v>1860</v>
      </c>
      <c r="F377" s="3179">
        <v>530</v>
      </c>
      <c r="G377" s="3186">
        <v>1150</v>
      </c>
      <c r="H377" s="958"/>
    </row>
    <row r="378" spans="1:8">
      <c r="A378" s="3180" t="s">
        <v>2752</v>
      </c>
      <c r="B378" s="3181" t="s">
        <v>3006</v>
      </c>
      <c r="C378" s="3181">
        <v>1520</v>
      </c>
      <c r="D378" s="3181">
        <v>1490</v>
      </c>
      <c r="E378" s="3181">
        <v>1460</v>
      </c>
      <c r="F378" s="3181">
        <v>460</v>
      </c>
      <c r="G378" s="3182">
        <v>940</v>
      </c>
      <c r="H378" s="958"/>
    </row>
    <row r="379" spans="1:8">
      <c r="A379" s="3183" t="s">
        <v>2752</v>
      </c>
      <c r="B379" s="3164" t="s">
        <v>3007</v>
      </c>
      <c r="C379" s="3164">
        <v>1500</v>
      </c>
      <c r="D379" s="3164">
        <v>1470</v>
      </c>
      <c r="E379" s="3164">
        <v>1430</v>
      </c>
      <c r="F379" s="3164">
        <v>460</v>
      </c>
      <c r="G379" s="3176">
        <v>920</v>
      </c>
      <c r="H379" s="958"/>
    </row>
    <row r="380" spans="1:8">
      <c r="A380" s="3183" t="s">
        <v>2752</v>
      </c>
      <c r="B380" s="3164" t="s">
        <v>3008</v>
      </c>
      <c r="C380" s="3164">
        <v>1620</v>
      </c>
      <c r="D380" s="3164">
        <v>1590</v>
      </c>
      <c r="E380" s="3164">
        <v>1560</v>
      </c>
      <c r="F380" s="3164">
        <v>480</v>
      </c>
      <c r="G380" s="3176">
        <v>1000</v>
      </c>
      <c r="H380" s="958"/>
    </row>
    <row r="381" spans="1:8">
      <c r="A381" s="3183" t="s">
        <v>2752</v>
      </c>
      <c r="B381" s="3164" t="s">
        <v>3009</v>
      </c>
      <c r="C381" s="3164">
        <v>1460</v>
      </c>
      <c r="D381" s="3164">
        <v>1430</v>
      </c>
      <c r="E381" s="3164">
        <v>1390</v>
      </c>
      <c r="F381" s="3164">
        <v>450</v>
      </c>
      <c r="G381" s="3176">
        <v>900</v>
      </c>
      <c r="H381" s="958"/>
    </row>
    <row r="382" spans="1:8">
      <c r="A382" s="3183" t="s">
        <v>2752</v>
      </c>
      <c r="B382" s="3164" t="s">
        <v>3010</v>
      </c>
      <c r="C382" s="3164">
        <v>1310</v>
      </c>
      <c r="D382" s="3164">
        <v>1280</v>
      </c>
      <c r="E382" s="3164">
        <v>1250</v>
      </c>
      <c r="F382" s="3164">
        <v>440</v>
      </c>
      <c r="G382" s="3176">
        <v>800</v>
      </c>
      <c r="H382" s="958"/>
    </row>
    <row r="383" spans="1:8">
      <c r="A383" s="3183" t="s">
        <v>2752</v>
      </c>
      <c r="B383" s="3164" t="s">
        <v>3011</v>
      </c>
      <c r="C383" s="3164">
        <v>1260</v>
      </c>
      <c r="D383" s="3164">
        <v>1230</v>
      </c>
      <c r="E383" s="3164">
        <v>1200</v>
      </c>
      <c r="F383" s="3164">
        <v>420</v>
      </c>
      <c r="G383" s="3176">
        <v>770</v>
      </c>
      <c r="H383" s="958"/>
    </row>
    <row r="384" spans="1:8" ht="15" thickBot="1">
      <c r="A384" s="3184" t="s">
        <v>2752</v>
      </c>
      <c r="B384" s="3178" t="s">
        <v>3012</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1" t="s">
        <v>3175</v>
      </c>
      <c r="B1" s="3681"/>
      <c r="C1" s="3681"/>
      <c r="D1" s="3681"/>
      <c r="E1" s="3681"/>
      <c r="F1" s="3682"/>
    </row>
    <row r="2" spans="1:6">
      <c r="A2" s="3229" t="s">
        <v>3176</v>
      </c>
      <c r="B2" s="1490"/>
      <c r="C2" s="1490"/>
      <c r="D2" s="1490"/>
      <c r="E2" s="1490"/>
      <c r="F2" s="1490"/>
    </row>
    <row r="3" spans="1:6">
      <c r="A3" s="3229" t="s">
        <v>3177</v>
      </c>
      <c r="B3" s="1490"/>
      <c r="C3" s="1490"/>
      <c r="D3" s="1490"/>
      <c r="E3" s="1490"/>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SUMPRODUCT((A95:A184=ROUNDDOWN([4]基准地价修正!G3,1))*(B94:M94=[4]基准地价修正!G2)*(B95:M184))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SUMPRODUCT((A371:A460=ROUNDDOWN([4]基准地价修正!G3,1))*(B370:M370=[4]基准地价修正!G2)*(B371:M460))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3" t="s">
        <v>3013</v>
      </c>
      <c r="B1" s="3683"/>
    </row>
    <row r="2" spans="1:7" ht="15" thickBot="1">
      <c r="A2" s="3195"/>
      <c r="B2" s="3195"/>
    </row>
    <row r="3" spans="1:7" ht="15" thickBot="1">
      <c r="A3" s="3195"/>
      <c r="B3" s="3195"/>
      <c r="C3" s="3196" t="s">
        <v>3014</v>
      </c>
      <c r="D3" s="3196" t="s">
        <v>3015</v>
      </c>
      <c r="E3" s="3196" t="s">
        <v>3016</v>
      </c>
      <c r="F3" s="3196" t="s">
        <v>3017</v>
      </c>
      <c r="G3" s="3196" t="s">
        <v>3018</v>
      </c>
    </row>
    <row r="4" spans="1:7" ht="1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3" customFormat="1" ht="15" thickBot="1">
      <c r="B2" s="2424" t="s">
        <v>1862</v>
      </c>
      <c r="C2" s="2424" t="s">
        <v>1923</v>
      </c>
      <c r="D2" s="2425" t="s">
        <v>1179</v>
      </c>
      <c r="E2" s="2425" t="s">
        <v>1469</v>
      </c>
      <c r="F2" s="2424" t="s">
        <v>1924</v>
      </c>
      <c r="G2" s="2426"/>
      <c r="I2" s="2424" t="s">
        <v>2206</v>
      </c>
      <c r="J2" s="2425" t="s">
        <v>2208</v>
      </c>
      <c r="K2" s="2425" t="s">
        <v>2209</v>
      </c>
      <c r="L2" s="2424" t="s">
        <v>2210</v>
      </c>
      <c r="N2" s="2424" t="s">
        <v>1862</v>
      </c>
      <c r="O2" s="2425" t="s">
        <v>2207</v>
      </c>
      <c r="P2" s="2425" t="s">
        <v>1469</v>
      </c>
      <c r="Q2" s="2424" t="s">
        <v>1924</v>
      </c>
      <c r="S2" s="2424" t="s">
        <v>1862</v>
      </c>
      <c r="T2" s="2425" t="s">
        <v>2207</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2217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2237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2233</v>
      </c>
      <c r="B22" s="2454">
        <f t="shared" si="11"/>
        <v>464.37293017158942</v>
      </c>
      <c r="C22" s="2454">
        <f t="shared" si="12"/>
        <v>344.73679941385956</v>
      </c>
      <c r="D22" s="2454">
        <f t="shared" si="2"/>
        <v>344.73679941385956</v>
      </c>
      <c r="E22" s="2454">
        <f t="shared" si="3"/>
        <v>663.2377795103107</v>
      </c>
      <c r="F22" s="2455">
        <f t="shared" si="4"/>
        <v>304.75936311478398</v>
      </c>
      <c r="G22" s="3688">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2226</v>
      </c>
      <c r="B23" s="2444">
        <f t="shared" si="11"/>
        <v>459.95733971036987</v>
      </c>
      <c r="C23" s="2444">
        <f t="shared" si="12"/>
        <v>341.22221064422405</v>
      </c>
      <c r="D23" s="2444">
        <f t="shared" si="2"/>
        <v>341.22221064422405</v>
      </c>
      <c r="E23" s="2444">
        <f t="shared" si="3"/>
        <v>657.19161663724799</v>
      </c>
      <c r="F23" s="2444">
        <f t="shared" si="4"/>
        <v>300.87803644464805</v>
      </c>
      <c r="G23" s="3688"/>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2227</v>
      </c>
      <c r="B24" s="2444">
        <f t="shared" si="11"/>
        <v>453.11529869999993</v>
      </c>
      <c r="C24" s="2444">
        <f t="shared" si="12"/>
        <v>336.47787264000004</v>
      </c>
      <c r="D24" s="2444">
        <f t="shared" si="2"/>
        <v>336.47787264000004</v>
      </c>
      <c r="E24" s="2444">
        <f t="shared" si="3"/>
        <v>647.35186823999993</v>
      </c>
      <c r="F24" s="2444">
        <f t="shared" si="4"/>
        <v>295.73229452000004</v>
      </c>
      <c r="G24" s="3688"/>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2223</v>
      </c>
      <c r="B25" s="2444">
        <f t="shared" si="11"/>
        <v>446.46299999999997</v>
      </c>
      <c r="C25" s="2444">
        <f t="shared" si="12"/>
        <v>333.27840000000003</v>
      </c>
      <c r="D25" s="2444">
        <f t="shared" ref="D25:D30" si="13">C25</f>
        <v>333.27840000000003</v>
      </c>
      <c r="E25" s="2444">
        <f t="shared" si="3"/>
        <v>637.28279999999995</v>
      </c>
      <c r="F25" s="2444">
        <f t="shared" si="4"/>
        <v>288.68830000000003</v>
      </c>
      <c r="G25" s="3694"/>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2216</v>
      </c>
      <c r="B26" s="2454">
        <v>439</v>
      </c>
      <c r="C26" s="2454">
        <v>327</v>
      </c>
      <c r="D26" s="2454">
        <f t="shared" si="13"/>
        <v>327</v>
      </c>
      <c r="E26" s="2454">
        <v>627</v>
      </c>
      <c r="F26" s="2455">
        <v>283</v>
      </c>
      <c r="G26" s="3693">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8"/>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8"/>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4"/>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3">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8"/>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8"/>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9"/>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8"/>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8"/>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9"/>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8"/>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8"/>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9"/>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0">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1"/>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1"/>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2"/>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8"/>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8"/>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9"/>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8">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8">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9">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8">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8">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9">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8">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8">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9">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8">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8">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9">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8">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8">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9">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8">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8">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9">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8">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8">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9">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8">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8">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9">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8">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8">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9">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8">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8">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9">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tabSelected="1" workbookViewId="0">
      <selection activeCell="N25" sqref="N25"/>
    </sheetView>
  </sheetViews>
  <sheetFormatPr defaultRowHeight="14.4"/>
  <sheetData>
    <row r="1" spans="1:25" s="2235" customFormat="1">
      <c r="A1" s="2235" t="s">
        <v>3355</v>
      </c>
      <c r="B1" s="2235" t="s">
        <v>3356</v>
      </c>
      <c r="C1" s="2235" t="s">
        <v>3357</v>
      </c>
      <c r="D1" s="2235" t="s">
        <v>3358</v>
      </c>
      <c r="E1" s="2235" t="s">
        <v>3359</v>
      </c>
      <c r="F1" s="2235" t="s">
        <v>3360</v>
      </c>
      <c r="G1" s="2235" t="s">
        <v>3361</v>
      </c>
      <c r="H1" s="2235" t="s">
        <v>1550</v>
      </c>
      <c r="I1" s="2235" t="s">
        <v>3362</v>
      </c>
      <c r="J1" s="2235" t="s">
        <v>3363</v>
      </c>
      <c r="K1" s="2235" t="s">
        <v>3364</v>
      </c>
      <c r="L1" s="2235" t="s">
        <v>3365</v>
      </c>
      <c r="M1" s="2235" t="s">
        <v>3366</v>
      </c>
      <c r="N1" s="2235" t="s">
        <v>3367</v>
      </c>
      <c r="O1" s="2235" t="s">
        <v>3368</v>
      </c>
      <c r="P1" s="2235" t="s">
        <v>3369</v>
      </c>
      <c r="Q1" s="2235" t="s">
        <v>3370</v>
      </c>
      <c r="R1" s="2235" t="s">
        <v>3371</v>
      </c>
      <c r="S1" s="2235" t="s">
        <v>3372</v>
      </c>
      <c r="T1" s="2235" t="s">
        <v>3373</v>
      </c>
      <c r="U1" s="2235" t="s">
        <v>3374</v>
      </c>
      <c r="V1" s="2235" t="s">
        <v>3375</v>
      </c>
      <c r="W1" s="2235" t="s">
        <v>3376</v>
      </c>
      <c r="X1" s="2235" t="s">
        <v>3377</v>
      </c>
      <c r="Y1" s="2235" t="s">
        <v>3378</v>
      </c>
    </row>
    <row r="2" spans="1:25" s="2235" customFormat="1">
      <c r="A2" s="2235" t="s">
        <v>3379</v>
      </c>
      <c r="B2" s="2235" t="s">
        <v>3380</v>
      </c>
      <c r="C2" s="2235" t="s">
        <v>3381</v>
      </c>
      <c r="D2" s="2235">
        <v>170374.25</v>
      </c>
      <c r="E2" s="2235">
        <v>172077.99</v>
      </c>
      <c r="F2" s="2235" t="s">
        <v>3382</v>
      </c>
      <c r="G2" s="2235" t="s">
        <v>3383</v>
      </c>
      <c r="H2" s="2235" t="s">
        <v>3384</v>
      </c>
      <c r="I2" s="2235" t="s">
        <v>3385</v>
      </c>
      <c r="J2" s="2235" t="s">
        <v>3386</v>
      </c>
      <c r="K2" s="2235" t="s">
        <v>3387</v>
      </c>
      <c r="L2" s="2235" t="s">
        <v>3388</v>
      </c>
      <c r="M2" s="2235" t="s">
        <v>3389</v>
      </c>
      <c r="N2" s="2235">
        <v>602400</v>
      </c>
      <c r="O2" s="2235">
        <v>35357.449999999997</v>
      </c>
      <c r="P2" s="2235">
        <v>2357.16</v>
      </c>
      <c r="Q2" s="2235">
        <v>35007</v>
      </c>
      <c r="R2" s="2235" t="s">
        <v>3386</v>
      </c>
      <c r="S2" s="2235">
        <v>0</v>
      </c>
      <c r="T2" s="2235" t="s">
        <v>3386</v>
      </c>
      <c r="U2" s="2235" t="s">
        <v>3386</v>
      </c>
      <c r="V2" s="2235" t="s">
        <v>3386</v>
      </c>
      <c r="W2" s="2235" t="s">
        <v>3386</v>
      </c>
      <c r="X2" s="2235" t="s">
        <v>3390</v>
      </c>
      <c r="Y2" s="2235" t="s">
        <v>3386</v>
      </c>
    </row>
    <row r="3" spans="1:25" s="3413" customFormat="1">
      <c r="A3" s="3420" t="s">
        <v>3474</v>
      </c>
      <c r="B3" s="3413" t="s">
        <v>3391</v>
      </c>
      <c r="C3" s="3413" t="s">
        <v>3392</v>
      </c>
      <c r="D3" s="3413">
        <v>77269.84</v>
      </c>
      <c r="E3" s="3413">
        <v>133976.35</v>
      </c>
      <c r="F3" s="3413" t="s">
        <v>3382</v>
      </c>
      <c r="G3" s="3413" t="s">
        <v>3393</v>
      </c>
      <c r="H3" s="3413" t="s">
        <v>3394</v>
      </c>
      <c r="I3" s="3413" t="s">
        <v>3385</v>
      </c>
      <c r="J3" s="3413" t="s">
        <v>3386</v>
      </c>
      <c r="K3" s="3413" t="s">
        <v>3395</v>
      </c>
      <c r="L3" s="3413" t="s">
        <v>3388</v>
      </c>
      <c r="M3" s="3413" t="s">
        <v>3396</v>
      </c>
      <c r="N3" s="3413">
        <v>260000</v>
      </c>
      <c r="O3" s="3413">
        <v>33648.31</v>
      </c>
      <c r="P3" s="3413">
        <v>2243.2199999999998</v>
      </c>
      <c r="Q3" s="3413">
        <v>19406</v>
      </c>
      <c r="R3" s="3413" t="s">
        <v>3386</v>
      </c>
      <c r="S3" s="3413">
        <v>0</v>
      </c>
      <c r="T3" s="3413" t="s">
        <v>3386</v>
      </c>
      <c r="U3" s="3413" t="s">
        <v>3386</v>
      </c>
      <c r="V3" s="3413" t="s">
        <v>3386</v>
      </c>
      <c r="W3" s="3413" t="s">
        <v>3386</v>
      </c>
      <c r="X3" s="3413" t="s">
        <v>3397</v>
      </c>
      <c r="Y3" s="3413" t="s">
        <v>3386</v>
      </c>
    </row>
    <row r="4" spans="1:25" s="2235" customFormat="1">
      <c r="A4" s="2235" t="s">
        <v>3398</v>
      </c>
      <c r="B4" s="2235" t="s">
        <v>3399</v>
      </c>
      <c r="C4" s="2235" t="s">
        <v>3400</v>
      </c>
      <c r="D4" s="2235">
        <v>171090.53</v>
      </c>
      <c r="E4" s="2235">
        <v>185879.6</v>
      </c>
      <c r="F4" s="2235" t="s">
        <v>3401</v>
      </c>
      <c r="G4" s="2235" t="s">
        <v>3402</v>
      </c>
      <c r="H4" s="2235" t="s">
        <v>3403</v>
      </c>
      <c r="I4" s="2235" t="s">
        <v>3385</v>
      </c>
      <c r="J4" s="2235" t="s">
        <v>3386</v>
      </c>
      <c r="K4" s="2235" t="s">
        <v>3404</v>
      </c>
      <c r="L4" s="2235" t="s">
        <v>3388</v>
      </c>
      <c r="M4" s="2235" t="s">
        <v>3405</v>
      </c>
      <c r="N4" s="2235">
        <v>432000</v>
      </c>
      <c r="O4" s="2235">
        <v>25249.79</v>
      </c>
      <c r="P4" s="2235">
        <v>1683.32</v>
      </c>
      <c r="Q4" s="2235">
        <v>23241</v>
      </c>
      <c r="R4" s="2235" t="s">
        <v>3386</v>
      </c>
      <c r="S4" s="2235">
        <v>0</v>
      </c>
      <c r="T4" s="2235">
        <v>496800</v>
      </c>
      <c r="U4" s="2235" t="s">
        <v>3406</v>
      </c>
      <c r="V4" s="2235" t="s">
        <v>3386</v>
      </c>
      <c r="W4" s="2235" t="s">
        <v>3386</v>
      </c>
      <c r="X4" s="2235" t="s">
        <v>3397</v>
      </c>
      <c r="Y4" s="2235" t="s">
        <v>3407</v>
      </c>
    </row>
    <row r="5" spans="1:25" s="3414" customFormat="1">
      <c r="A5" s="3414" t="s">
        <v>3408</v>
      </c>
      <c r="B5" s="3414" t="s">
        <v>3409</v>
      </c>
      <c r="C5" s="3414" t="s">
        <v>3410</v>
      </c>
      <c r="D5" s="3414">
        <v>50136.84</v>
      </c>
      <c r="E5" s="3414">
        <v>77018.94</v>
      </c>
      <c r="F5" s="3414" t="s">
        <v>3401</v>
      </c>
      <c r="G5" s="3414" t="s">
        <v>3393</v>
      </c>
      <c r="H5" s="3414" t="s">
        <v>3411</v>
      </c>
      <c r="I5" s="3414" t="s">
        <v>3385</v>
      </c>
      <c r="J5" s="3414" t="s">
        <v>3386</v>
      </c>
      <c r="K5" s="3414" t="s">
        <v>3412</v>
      </c>
      <c r="L5" s="3414" t="s">
        <v>3388</v>
      </c>
      <c r="M5" s="3414" t="s">
        <v>3413</v>
      </c>
      <c r="N5" s="3414">
        <v>119000</v>
      </c>
      <c r="O5" s="3414">
        <v>23735.040000000001</v>
      </c>
      <c r="P5" s="3414">
        <v>1582.34</v>
      </c>
      <c r="Q5" s="3414">
        <v>15451</v>
      </c>
      <c r="R5" s="3414" t="s">
        <v>3386</v>
      </c>
      <c r="S5" s="3414">
        <v>0</v>
      </c>
      <c r="T5" s="3414">
        <v>136850</v>
      </c>
      <c r="U5" s="3414" t="s">
        <v>3406</v>
      </c>
      <c r="V5" s="3414">
        <v>44000</v>
      </c>
      <c r="W5" s="3414">
        <v>44000</v>
      </c>
      <c r="X5" s="3414" t="s">
        <v>3397</v>
      </c>
      <c r="Y5" s="3414" t="s">
        <v>3414</v>
      </c>
    </row>
    <row r="6" spans="1:25" s="3413" customFormat="1">
      <c r="A6" s="3413" t="s">
        <v>3415</v>
      </c>
      <c r="B6" s="3413" t="s">
        <v>3416</v>
      </c>
      <c r="C6" s="3413" t="s">
        <v>3417</v>
      </c>
      <c r="D6" s="3413">
        <v>30551.17</v>
      </c>
      <c r="E6" s="3413">
        <v>42798.91</v>
      </c>
      <c r="F6" s="3413" t="s">
        <v>3401</v>
      </c>
      <c r="G6" s="3413" t="s">
        <v>3418</v>
      </c>
      <c r="H6" s="3413" t="s">
        <v>3419</v>
      </c>
      <c r="I6" s="3413" t="s">
        <v>3385</v>
      </c>
      <c r="J6" s="3413" t="s">
        <v>3386</v>
      </c>
      <c r="K6" s="3413" t="s">
        <v>3420</v>
      </c>
      <c r="L6" s="3413" t="s">
        <v>3388</v>
      </c>
      <c r="M6" s="3413" t="s">
        <v>3421</v>
      </c>
      <c r="N6" s="3413">
        <v>62000</v>
      </c>
      <c r="O6" s="3413">
        <v>20293.82</v>
      </c>
      <c r="P6" s="3413">
        <v>1352.92</v>
      </c>
      <c r="Q6" s="3413">
        <v>14486</v>
      </c>
      <c r="R6" s="3413" t="s">
        <v>3386</v>
      </c>
      <c r="S6" s="3413">
        <v>0</v>
      </c>
      <c r="T6" s="3413">
        <v>71300</v>
      </c>
      <c r="U6" s="3413" t="s">
        <v>3406</v>
      </c>
      <c r="V6" s="3413">
        <v>45000</v>
      </c>
      <c r="W6" s="3413">
        <v>45000</v>
      </c>
      <c r="X6" s="3413" t="s">
        <v>3422</v>
      </c>
      <c r="Y6" s="3413" t="s">
        <v>3423</v>
      </c>
    </row>
    <row r="7" spans="1:25" s="2235" customFormat="1">
      <c r="A7" s="2235" t="s">
        <v>3424</v>
      </c>
      <c r="B7" s="2235" t="s">
        <v>3425</v>
      </c>
      <c r="C7" s="2235" t="s">
        <v>3426</v>
      </c>
      <c r="D7" s="2235">
        <v>16909.86</v>
      </c>
      <c r="E7" s="2235">
        <v>33819.72</v>
      </c>
      <c r="F7" s="2235" t="s">
        <v>3382</v>
      </c>
      <c r="G7" s="2235" t="s">
        <v>3427</v>
      </c>
      <c r="H7" s="2235" t="s">
        <v>3428</v>
      </c>
      <c r="I7" s="2235" t="s">
        <v>3385</v>
      </c>
      <c r="J7" s="2235" t="s">
        <v>3386</v>
      </c>
      <c r="K7" s="2235" t="s">
        <v>3420</v>
      </c>
      <c r="L7" s="2235" t="s">
        <v>3388</v>
      </c>
      <c r="M7" s="2235" t="s">
        <v>3429</v>
      </c>
      <c r="N7" s="2235">
        <v>116725</v>
      </c>
      <c r="O7" s="2235">
        <v>69027.77</v>
      </c>
      <c r="P7" s="2235">
        <v>4601.8500000000004</v>
      </c>
      <c r="Q7" s="2235">
        <v>34514</v>
      </c>
      <c r="R7" s="2235" t="s">
        <v>3386</v>
      </c>
      <c r="S7" s="2235">
        <v>15</v>
      </c>
      <c r="T7" s="2235">
        <v>116725</v>
      </c>
      <c r="U7" s="2235" t="s">
        <v>3430</v>
      </c>
      <c r="V7" s="2235">
        <v>60000</v>
      </c>
      <c r="W7" s="2235">
        <v>60000</v>
      </c>
      <c r="X7" s="2235" t="s">
        <v>3390</v>
      </c>
      <c r="Y7" s="2235" t="s">
        <v>3431</v>
      </c>
    </row>
    <row r="8" spans="1:25" s="2235" customFormat="1">
      <c r="A8" s="2235" t="s">
        <v>3432</v>
      </c>
      <c r="B8" s="2235" t="s">
        <v>3433</v>
      </c>
      <c r="C8" s="2235" t="s">
        <v>3434</v>
      </c>
      <c r="D8" s="2235">
        <v>28400</v>
      </c>
      <c r="E8" s="2235">
        <v>56800</v>
      </c>
      <c r="F8" s="2235" t="s">
        <v>3382</v>
      </c>
      <c r="G8" s="2235" t="s">
        <v>3435</v>
      </c>
      <c r="H8" s="2235" t="s">
        <v>3428</v>
      </c>
      <c r="I8" s="2235" t="s">
        <v>3385</v>
      </c>
      <c r="J8" s="2235" t="s">
        <v>3386</v>
      </c>
      <c r="K8" s="2235" t="s">
        <v>3436</v>
      </c>
      <c r="L8" s="2235" t="s">
        <v>3388</v>
      </c>
      <c r="M8" s="2235" t="s">
        <v>3437</v>
      </c>
      <c r="N8" s="2235">
        <v>126000</v>
      </c>
      <c r="O8" s="2235">
        <v>44366.19</v>
      </c>
      <c r="P8" s="2235">
        <v>2957.75</v>
      </c>
      <c r="Q8" s="2235">
        <v>22183</v>
      </c>
      <c r="R8" s="2235" t="s">
        <v>3386</v>
      </c>
      <c r="S8" s="2235">
        <v>0</v>
      </c>
      <c r="T8" s="2235">
        <v>144900</v>
      </c>
      <c r="U8" s="2235" t="s">
        <v>3406</v>
      </c>
      <c r="V8" s="2235">
        <v>46000</v>
      </c>
      <c r="W8" s="2235">
        <v>46000</v>
      </c>
      <c r="X8" s="2235" t="s">
        <v>3397</v>
      </c>
      <c r="Y8" s="2235" t="s">
        <v>3438</v>
      </c>
    </row>
    <row r="9" spans="1:25" s="3413" customFormat="1">
      <c r="A9" s="3413" t="s">
        <v>3439</v>
      </c>
      <c r="B9" s="3413" t="s">
        <v>3440</v>
      </c>
      <c r="C9" s="3413" t="s">
        <v>3441</v>
      </c>
      <c r="D9" s="3413">
        <v>69893.14</v>
      </c>
      <c r="E9" s="3413">
        <v>107430.41</v>
      </c>
      <c r="F9" s="3413" t="s">
        <v>3401</v>
      </c>
      <c r="G9" s="3413" t="s">
        <v>3442</v>
      </c>
      <c r="H9" s="3413" t="s">
        <v>3443</v>
      </c>
      <c r="I9" s="3413" t="s">
        <v>3385</v>
      </c>
      <c r="J9" s="3413" t="s">
        <v>3386</v>
      </c>
      <c r="K9" s="3413" t="s">
        <v>3444</v>
      </c>
      <c r="L9" s="3413" t="s">
        <v>3388</v>
      </c>
      <c r="M9" s="3413" t="s">
        <v>3445</v>
      </c>
      <c r="N9" s="3413">
        <v>199000</v>
      </c>
      <c r="O9" s="3413">
        <v>28472.03</v>
      </c>
      <c r="P9" s="3413">
        <v>1898.14</v>
      </c>
      <c r="Q9" s="3413">
        <v>18524</v>
      </c>
      <c r="R9" s="3413" t="s">
        <v>3386</v>
      </c>
      <c r="S9" s="3413">
        <v>0</v>
      </c>
      <c r="T9" s="3413">
        <v>228850</v>
      </c>
      <c r="U9" s="3413" t="s">
        <v>3406</v>
      </c>
      <c r="V9" s="3413">
        <v>43000</v>
      </c>
      <c r="W9" s="3413">
        <v>43000</v>
      </c>
      <c r="X9" s="3413" t="s">
        <v>3397</v>
      </c>
      <c r="Y9" s="3413" t="s">
        <v>3446</v>
      </c>
    </row>
    <row r="10" spans="1:25" s="2235" customFormat="1">
      <c r="A10" s="2235" t="s">
        <v>3447</v>
      </c>
      <c r="B10" s="2235" t="s">
        <v>3433</v>
      </c>
      <c r="C10" s="2235" t="s">
        <v>3448</v>
      </c>
      <c r="D10" s="2235">
        <v>63203.19</v>
      </c>
      <c r="E10" s="2235">
        <v>107665.74</v>
      </c>
      <c r="F10" s="2235" t="s">
        <v>3401</v>
      </c>
      <c r="G10" s="2235" t="s">
        <v>3393</v>
      </c>
      <c r="H10" s="2235" t="s">
        <v>3449</v>
      </c>
      <c r="I10" s="2235" t="s">
        <v>3385</v>
      </c>
      <c r="J10" s="2235" t="s">
        <v>3386</v>
      </c>
      <c r="K10" s="2235" t="s">
        <v>3450</v>
      </c>
      <c r="L10" s="2235" t="s">
        <v>3388</v>
      </c>
      <c r="M10" s="2235" t="s">
        <v>3451</v>
      </c>
      <c r="N10" s="2235">
        <v>228200</v>
      </c>
      <c r="O10" s="2235">
        <v>36105.769999999997</v>
      </c>
      <c r="P10" s="2235">
        <v>2407.0500000000002</v>
      </c>
      <c r="Q10" s="2235">
        <v>21195</v>
      </c>
      <c r="R10" s="2235" t="s">
        <v>3386</v>
      </c>
      <c r="S10" s="2235">
        <v>0.53</v>
      </c>
      <c r="T10" s="2235">
        <v>261050</v>
      </c>
      <c r="U10" s="2235" t="s">
        <v>3406</v>
      </c>
      <c r="V10" s="2235">
        <v>46000</v>
      </c>
      <c r="W10" s="2235">
        <v>46000</v>
      </c>
      <c r="X10" s="2235" t="s">
        <v>3397</v>
      </c>
      <c r="Y10" s="2235" t="s">
        <v>3452</v>
      </c>
    </row>
    <row r="11" spans="1:25" s="2235" customFormat="1">
      <c r="A11" s="2235" t="s">
        <v>3453</v>
      </c>
      <c r="B11" s="2235" t="s">
        <v>3391</v>
      </c>
      <c r="C11" s="2235" t="s">
        <v>3454</v>
      </c>
      <c r="D11" s="2235">
        <v>20354.939999999999</v>
      </c>
      <c r="E11" s="2235">
        <v>47549.3</v>
      </c>
      <c r="F11" s="2235" t="s">
        <v>3382</v>
      </c>
      <c r="G11" s="2235" t="s">
        <v>3435</v>
      </c>
      <c r="H11" s="2235" t="s">
        <v>3455</v>
      </c>
      <c r="I11" s="2235" t="s">
        <v>3385</v>
      </c>
      <c r="J11" s="2235" t="s">
        <v>3386</v>
      </c>
      <c r="K11" s="2235" t="s">
        <v>3456</v>
      </c>
      <c r="L11" s="2235" t="s">
        <v>3388</v>
      </c>
      <c r="M11" s="2235" t="s">
        <v>3457</v>
      </c>
      <c r="N11" s="2235">
        <v>110400</v>
      </c>
      <c r="O11" s="2235">
        <v>54237.45</v>
      </c>
      <c r="P11" s="2235">
        <v>3615.83</v>
      </c>
      <c r="Q11" s="2235">
        <v>23218</v>
      </c>
      <c r="R11" s="2235" t="s">
        <v>3386</v>
      </c>
      <c r="S11" s="2235">
        <v>15</v>
      </c>
      <c r="T11" s="2235">
        <v>110400</v>
      </c>
      <c r="U11" s="2235" t="s">
        <v>3430</v>
      </c>
      <c r="V11" s="2235">
        <v>46000</v>
      </c>
      <c r="W11" s="2235">
        <v>46000</v>
      </c>
      <c r="X11" s="2235" t="s">
        <v>3397</v>
      </c>
      <c r="Y11" s="2235" t="s">
        <v>3458</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2193</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根据《国有土地使用证》[]，估价对象（分摊）出让国有建设用地使用权面积为5551.97平方米。根据《建设工程规划许可证》[]、《出让合同》[]，估价对象规划建筑面积为11347.15平方米。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45908</v>
      </c>
      <c r="B1" s="3088" t="s">
        <v>3253</v>
      </c>
      <c r="C1" s="3089"/>
      <c r="D1" s="3089"/>
      <c r="E1" s="3089"/>
      <c r="F1" s="3089"/>
      <c r="G1" s="3089"/>
      <c r="H1" s="3089"/>
      <c r="I1" s="3089"/>
      <c r="J1" s="3090"/>
      <c r="K1" s="3089" t="s">
        <v>2778</v>
      </c>
      <c r="L1" s="3089"/>
      <c r="M1" s="3089"/>
      <c r="N1" s="3089"/>
      <c r="O1" s="3089"/>
      <c r="P1" s="3089"/>
      <c r="Q1" s="3090"/>
      <c r="R1" s="3695" t="s">
        <v>2786</v>
      </c>
      <c r="S1" s="3696"/>
      <c r="T1" s="3696"/>
      <c r="U1" s="3696"/>
      <c r="V1" s="3696"/>
      <c r="W1" s="3696"/>
      <c r="X1" s="3090"/>
      <c r="Y1" s="3695" t="s">
        <v>2797</v>
      </c>
      <c r="Z1" s="3696"/>
      <c r="AA1" s="3696"/>
      <c r="AB1" s="3696"/>
      <c r="AC1" s="3696"/>
      <c r="AD1" s="3696"/>
    </row>
    <row r="2" spans="1:44" ht="15" thickBot="1">
      <c r="A2" s="3083"/>
      <c r="B2" s="3091"/>
      <c r="C2" s="3092"/>
      <c r="D2" s="2424" t="s">
        <v>2780</v>
      </c>
      <c r="E2" s="2425" t="s">
        <v>2781</v>
      </c>
      <c r="F2" s="2425" t="s">
        <v>2782</v>
      </c>
      <c r="G2" s="2425" t="s">
        <v>2783</v>
      </c>
      <c r="H2" s="2425" t="s">
        <v>2784</v>
      </c>
      <c r="I2" s="2425" t="s">
        <v>2726</v>
      </c>
      <c r="J2" s="3093"/>
      <c r="K2" s="2424" t="s">
        <v>2780</v>
      </c>
      <c r="L2" s="2425" t="s">
        <v>2781</v>
      </c>
      <c r="M2" s="2425" t="s">
        <v>2782</v>
      </c>
      <c r="N2" s="2425" t="s">
        <v>2783</v>
      </c>
      <c r="O2" s="2425" t="s">
        <v>2784</v>
      </c>
      <c r="P2" s="2425" t="s">
        <v>2726</v>
      </c>
      <c r="Q2" s="3093"/>
      <c r="R2" s="2424" t="s">
        <v>2787</v>
      </c>
      <c r="S2" s="2425" t="s">
        <v>2788</v>
      </c>
      <c r="T2" s="2425" t="s">
        <v>2789</v>
      </c>
      <c r="U2" s="2425" t="s">
        <v>2790</v>
      </c>
      <c r="V2" s="2425" t="s">
        <v>2791</v>
      </c>
      <c r="W2" s="2425" t="s">
        <v>2792</v>
      </c>
      <c r="X2" s="3093"/>
      <c r="Y2" s="2424" t="s">
        <v>2780</v>
      </c>
      <c r="Z2" s="2425" t="s">
        <v>1470</v>
      </c>
      <c r="AA2" s="2425" t="s">
        <v>2798</v>
      </c>
      <c r="AB2" s="2425" t="s">
        <v>1469</v>
      </c>
      <c r="AC2" s="2425" t="s">
        <v>2784</v>
      </c>
      <c r="AD2" s="2425"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3255</v>
      </c>
    </row>
    <row r="27" spans="1:44">
      <c r="I27" s="2747" t="s">
        <v>2785</v>
      </c>
    </row>
    <row r="29" spans="1:44">
      <c r="A29" s="2440"/>
      <c r="B29" s="3088" t="s">
        <v>3254</v>
      </c>
      <c r="C29" s="3089"/>
      <c r="D29" s="3089"/>
      <c r="E29" s="3089"/>
      <c r="F29" s="3089"/>
      <c r="G29" s="3089"/>
      <c r="H29" s="3089"/>
      <c r="I29" s="3089"/>
      <c r="J29" s="3090"/>
      <c r="K29" s="3089" t="s">
        <v>2778</v>
      </c>
      <c r="L29" s="3089"/>
      <c r="M29" s="3089"/>
      <c r="N29" s="3089"/>
      <c r="O29" s="3089"/>
      <c r="P29" s="3089"/>
      <c r="Q29" s="3090"/>
      <c r="R29" s="3695" t="s">
        <v>2793</v>
      </c>
      <c r="S29" s="3696"/>
      <c r="T29" s="3696"/>
      <c r="U29" s="3696"/>
      <c r="V29" s="3696"/>
      <c r="W29" s="3696"/>
      <c r="X29" s="3090"/>
      <c r="Y29" s="3695" t="s">
        <v>1925</v>
      </c>
      <c r="Z29" s="3696"/>
      <c r="AA29" s="3696"/>
      <c r="AB29" s="3696"/>
      <c r="AC29" s="3696"/>
      <c r="AD29" s="3696"/>
    </row>
    <row r="30" spans="1:44" ht="15" thickBot="1">
      <c r="A30" s="3083"/>
      <c r="B30" s="3091"/>
      <c r="C30" s="3092"/>
      <c r="D30" s="2424" t="s">
        <v>2780</v>
      </c>
      <c r="E30" s="2425" t="s">
        <v>2781</v>
      </c>
      <c r="F30" s="2425" t="s">
        <v>2782</v>
      </c>
      <c r="G30" s="2425" t="s">
        <v>1469</v>
      </c>
      <c r="H30" s="2425"/>
      <c r="I30" s="2425" t="s">
        <v>2726</v>
      </c>
      <c r="J30" s="3093"/>
      <c r="K30" s="2424" t="s">
        <v>2780</v>
      </c>
      <c r="L30" s="2425" t="s">
        <v>2781</v>
      </c>
      <c r="M30" s="2425" t="s">
        <v>2782</v>
      </c>
      <c r="N30" s="2425" t="s">
        <v>2783</v>
      </c>
      <c r="O30" s="2425"/>
      <c r="P30" s="2425" t="s">
        <v>2726</v>
      </c>
      <c r="Q30" s="3093"/>
      <c r="R30" s="2424" t="s">
        <v>2794</v>
      </c>
      <c r="S30" s="2425" t="s">
        <v>2795</v>
      </c>
      <c r="T30" s="2425" t="s">
        <v>2782</v>
      </c>
      <c r="U30" s="2425" t="s">
        <v>1469</v>
      </c>
      <c r="V30" s="2425"/>
      <c r="W30" s="2425" t="s">
        <v>2796</v>
      </c>
      <c r="X30" s="3093"/>
      <c r="Y30" s="2424" t="s">
        <v>2779</v>
      </c>
      <c r="Z30" s="2425" t="s">
        <v>2781</v>
      </c>
      <c r="AA30" s="2425" t="s">
        <v>2782</v>
      </c>
      <c r="AB30" s="2425" t="s">
        <v>1469</v>
      </c>
      <c r="AC30" s="2425"/>
      <c r="AD30" s="2425"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2200</v>
      </c>
      <c r="B1" s="2745"/>
      <c r="C1" s="2745"/>
      <c r="D1" s="2745"/>
      <c r="E1" s="2745"/>
      <c r="F1" s="2745"/>
      <c r="G1" s="2746"/>
      <c r="H1" s="2746"/>
      <c r="I1" s="2746"/>
      <c r="J1" s="2746"/>
      <c r="K1" s="2746"/>
      <c r="L1" s="2746"/>
      <c r="M1" s="2746"/>
      <c r="N1" s="2746"/>
    </row>
    <row r="2" spans="1:14" ht="15.6">
      <c r="A2" s="2751" t="s">
        <v>2195</v>
      </c>
      <c r="B2" s="2756">
        <f ca="1">SUMIF(B7:B14,"&lt;&gt;#ref!",B7:B14)</f>
        <v>0</v>
      </c>
      <c r="C2" s="2751" t="s">
        <v>2196</v>
      </c>
      <c r="D2" s="2748"/>
      <c r="E2" s="2748"/>
      <c r="F2" s="2748"/>
      <c r="G2" s="2746"/>
      <c r="H2" s="2746"/>
      <c r="I2" s="2746"/>
      <c r="J2" s="2746"/>
      <c r="K2" s="2746"/>
      <c r="L2" s="2746"/>
      <c r="M2" s="2746"/>
      <c r="N2" s="2746"/>
    </row>
    <row r="3" spans="1:14" ht="15.6">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5.6">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2201</v>
      </c>
      <c r="B6" s="2751" t="s">
        <v>2198</v>
      </c>
      <c r="C6" s="2355"/>
      <c r="D6" s="2748"/>
      <c r="E6" s="2751" t="s">
        <v>2199</v>
      </c>
      <c r="F6" s="2751" t="s">
        <v>2202</v>
      </c>
      <c r="G6" s="2746"/>
      <c r="H6" s="2746"/>
      <c r="I6" s="2746"/>
      <c r="J6" s="2746"/>
      <c r="K6" s="2746"/>
      <c r="L6" s="2746"/>
      <c r="M6" s="2746"/>
      <c r="N6" s="2746"/>
    </row>
    <row r="7" spans="1:14" ht="15.6">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9205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8112</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16580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1105</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22310</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2728</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32706</v>
      </c>
      <c r="D8" s="2140">
        <f>'不动产比较法-车位'!B3</f>
        <v>8171</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19622</v>
      </c>
      <c r="D10" s="2315">
        <f>'不动产比较法-车位'!B2</f>
        <v>2688</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5956</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417</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195</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227</v>
      </c>
      <c r="D16" s="2150">
        <f ca="1">IF(B1="",'数据-汇总表'!E3,INDIRECT("'数据-取费表'!K"&amp;$K$1)+INDIRECT("'数据-取费表'!S"&amp;$K$1))</f>
        <v>11347.150000000001</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119</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6914</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11347.150000000001</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203</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96</v>
      </c>
      <c r="D21" s="2150">
        <f ca="1">IF(B1="",'数据-汇总表'!E5,IF(INDIRECT("'数据-取费表'!c"&amp;$K$1)="住宅",INDIRECT("'数据-取费表'!k"&amp;$K$1),0))</f>
        <v>5999.630000000001</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107</v>
      </c>
      <c r="D22" s="2150">
        <f ca="1">IF(B1="",'数据-汇总表'!E6,IF(INDIRECT("'数据-取费表'!c"&amp;$K$1)="住宅",INDIRECT("'数据-取费表'!s"&amp;$K$1),INDIRECT("'数据-取费表'!k"&amp;$K$1)+INDIRECT("'数据-取费表'!s"&amp;$K$1)))</f>
        <v>5347.52</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142</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558</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313</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313</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ROUND(C6*F29/(1+'数据-取费表'!C42),0)</f>
        <v>1169</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9299</v>
      </c>
      <c r="D30" s="446">
        <f ca="1">C32</f>
        <v>0.113</v>
      </c>
      <c r="E30" s="438" t="s">
        <v>455</v>
      </c>
      <c r="F30" s="440"/>
      <c r="G30" s="2126" t="s">
        <v>2219</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9299</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1251</v>
      </c>
      <c r="D33" s="436">
        <f ca="1">C34</f>
        <v>0.1646</v>
      </c>
      <c r="E33" s="438" t="s">
        <v>455</v>
      </c>
      <c r="F33" s="448">
        <f ca="1">IF(B1="",'数据-取费表'!Q16,INDIRECT("'数据-取费表'!q"&amp;$K$1))</f>
        <v>0.16</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0.1646</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1251</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9205</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8" t="s">
        <v>1807</v>
      </c>
      <c r="C8" s="1516">
        <f ca="1">ROUND(F8*F10*F9*(1-F11)/10000,0)</f>
        <v>0</v>
      </c>
      <c r="D8" s="317" t="s">
        <v>1817</v>
      </c>
      <c r="E8" s="57" t="s">
        <v>585</v>
      </c>
      <c r="F8" s="720">
        <f ca="1">INDIRECT("'数据-取费表'!u"&amp;$G$1)</f>
        <v>0</v>
      </c>
      <c r="G8" s="1145"/>
      <c r="H8" s="2009" t="s">
        <v>1353</v>
      </c>
      <c r="I8" s="3698" t="s">
        <v>1807</v>
      </c>
      <c r="J8" s="718">
        <f ca="1">ROUND(M8*M10*M9*(1-M11)/10000,0)</f>
        <v>0</v>
      </c>
      <c r="K8" s="315" t="s">
        <v>1817</v>
      </c>
      <c r="L8" s="719" t="s">
        <v>1267</v>
      </c>
      <c r="M8" s="720">
        <f ca="1">INDIRECT("'数据-取费表'!z"&amp;$G$1)</f>
        <v>0</v>
      </c>
    </row>
    <row r="9" spans="1:25" ht="18" customHeight="1">
      <c r="A9" s="2005"/>
      <c r="B9" s="3699"/>
      <c r="C9" s="1517"/>
      <c r="D9" s="330"/>
      <c r="E9" s="57" t="s">
        <v>586</v>
      </c>
      <c r="F9" s="720">
        <f ca="1">IF(INDIRECT("'数据-取费表'!ah"&amp;$G$1)="",INDIRECT("'数据-取费表'!k"&amp;$G$1),INDIRECT("'数据-取费表'!ah"&amp;$G$1))</f>
        <v>0</v>
      </c>
      <c r="G9" s="1145"/>
      <c r="H9" s="1994"/>
      <c r="I9" s="3699"/>
      <c r="J9" s="723"/>
      <c r="K9" s="724"/>
      <c r="L9" s="719" t="s">
        <v>1268</v>
      </c>
      <c r="M9" s="720">
        <f ca="1">F9</f>
        <v>0</v>
      </c>
    </row>
    <row r="10" spans="1:25" ht="18" customHeight="1">
      <c r="A10" s="1998"/>
      <c r="B10" s="3700"/>
      <c r="C10" s="1517"/>
      <c r="D10" s="330"/>
      <c r="E10" s="57" t="s">
        <v>587</v>
      </c>
      <c r="F10" s="720">
        <f ca="1">INDIRECT("'数据-取费表'!ai"&amp;$G$1)</f>
        <v>0</v>
      </c>
      <c r="G10" s="1145"/>
      <c r="H10" s="1994"/>
      <c r="I10" s="3700"/>
      <c r="J10" s="723"/>
      <c r="K10" s="724"/>
      <c r="L10" s="719" t="s">
        <v>1269</v>
      </c>
      <c r="M10" s="720">
        <f ca="1">INDIRECT("'数据-取费表'!ai"&amp;$G$1)</f>
        <v>0</v>
      </c>
    </row>
    <row r="11" spans="1:25" ht="18" customHeight="1">
      <c r="A11" s="721"/>
      <c r="B11" s="3701"/>
      <c r="C11" s="1517"/>
      <c r="D11" s="330"/>
      <c r="E11" s="57" t="s">
        <v>588</v>
      </c>
      <c r="F11" s="729">
        <f ca="1">INDIRECT("'数据-取费表'!w"&amp;$G$1)</f>
        <v>0</v>
      </c>
      <c r="G11" s="1145"/>
      <c r="H11" s="2010"/>
      <c r="I11" s="370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2221</v>
      </c>
      <c r="E12" s="2003" t="s">
        <v>1808</v>
      </c>
      <c r="F12" s="2076"/>
      <c r="G12" s="1145"/>
      <c r="H12" s="2037" t="s">
        <v>1354</v>
      </c>
      <c r="I12" s="2041" t="s">
        <v>1803</v>
      </c>
      <c r="J12" s="718">
        <f ca="1">ROUND(IF(M12="押一",J8/12*M13,IF(M12="押二",J8/12*2*M13,IF(M12="押三",J8/12*3*M13,J13*M13))),0)</f>
        <v>0</v>
      </c>
      <c r="K12" s="2006" t="s">
        <v>2221</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2268</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7"/>
      <c r="J36" s="1690"/>
      <c r="K36" s="1691"/>
      <c r="L36" s="1690"/>
      <c r="M36" s="1690"/>
    </row>
    <row r="37" spans="1:18" ht="18" customHeight="1">
      <c r="A37" s="749"/>
      <c r="B37" s="728"/>
      <c r="C37" s="65"/>
      <c r="D37" s="750"/>
      <c r="E37" s="719" t="s">
        <v>621</v>
      </c>
      <c r="F37" s="720">
        <f ca="1">INDIRECT("'数据-取费表'!r"&amp;$G$1)</f>
        <v>0</v>
      </c>
      <c r="G37" s="1668"/>
      <c r="H37" s="1677"/>
      <c r="I37" s="369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2211</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2214</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2225</v>
      </c>
      <c r="J54" s="2416">
        <f ca="1">IF(M48="住宅",MAX(J52,L49-'数据-取费表'!B20),MIN(J52,L49-'数据-取费表'!B20))</f>
        <v>-2.5</v>
      </c>
      <c r="K54" s="3702"/>
      <c r="L54" s="3703"/>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2194</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1" priority="6">
      <formula>$F$12="自定义"</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K61">
    <cfRule type="expression" dxfId="96"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2" customHeight="1">
      <c r="A2" s="2826" t="s">
        <v>2287</v>
      </c>
      <c r="B2" s="2827" t="e">
        <f>C40</f>
        <v>#DIV/0!</v>
      </c>
      <c r="C2" s="2828" t="s">
        <v>2288</v>
      </c>
      <c r="D2" s="2828"/>
      <c r="E2" s="2829"/>
      <c r="F2" s="2830"/>
      <c r="G2" s="2831"/>
      <c r="H2" s="2832"/>
      <c r="I2" s="2833"/>
      <c r="J2" s="3710" t="s">
        <v>2289</v>
      </c>
      <c r="K2" s="3711"/>
      <c r="L2" s="2834" t="s">
        <v>2290</v>
      </c>
      <c r="M2" s="2834" t="s">
        <v>2291</v>
      </c>
      <c r="N2" s="2834" t="s">
        <v>2292</v>
      </c>
      <c r="O2" s="2834" t="s">
        <v>2293</v>
      </c>
      <c r="P2" s="2834" t="s">
        <v>2294</v>
      </c>
      <c r="Q2" s="2835" t="s">
        <v>2295</v>
      </c>
      <c r="R2" s="2836" t="s">
        <v>2296</v>
      </c>
      <c r="S2" s="2824"/>
      <c r="T2" s="2824"/>
      <c r="U2" s="2824"/>
      <c r="V2" s="2833"/>
    </row>
    <row r="3" spans="1:22" s="2837" customFormat="1" ht="13.2" customHeight="1">
      <c r="A3" s="2838" t="s">
        <v>2297</v>
      </c>
      <c r="B3" s="2839" t="e">
        <f>ROUND(B2*10000/B4,0)</f>
        <v>#DIV/0!</v>
      </c>
      <c r="C3" s="2828" t="s">
        <v>2298</v>
      </c>
      <c r="D3" s="2828"/>
      <c r="E3" s="2829"/>
      <c r="F3" s="2830"/>
      <c r="G3" s="2831"/>
      <c r="H3" s="2832"/>
      <c r="I3" s="2833"/>
      <c r="J3" s="3712" t="s">
        <v>2299</v>
      </c>
      <c r="K3" s="3713"/>
      <c r="L3" s="2840"/>
      <c r="M3" s="2840"/>
      <c r="N3" s="2840"/>
      <c r="O3" s="2840"/>
      <c r="P3" s="2840"/>
      <c r="Q3" s="2841"/>
      <c r="R3" s="2842">
        <f>SUM(L3:Q3)</f>
        <v>0</v>
      </c>
      <c r="S3" s="2824"/>
      <c r="T3" s="2824"/>
      <c r="U3" s="2824"/>
      <c r="V3" s="2833"/>
    </row>
    <row r="4" spans="1:22" s="2837" customFormat="1" ht="13.2" customHeight="1">
      <c r="A4" s="2843" t="s">
        <v>2300</v>
      </c>
      <c r="B4" s="2844"/>
      <c r="C4" s="2828"/>
      <c r="D4" s="2828"/>
      <c r="E4" s="2829"/>
      <c r="F4" s="2830"/>
      <c r="G4" s="2831"/>
      <c r="H4" s="2832"/>
      <c r="I4" s="2833"/>
      <c r="J4" s="3712" t="s">
        <v>2301</v>
      </c>
      <c r="K4" s="3713"/>
      <c r="L4" s="2845"/>
      <c r="M4" s="2845"/>
      <c r="N4" s="2845"/>
      <c r="O4" s="2845"/>
      <c r="P4" s="2845"/>
      <c r="Q4" s="2846"/>
      <c r="R4" s="2847">
        <f>SUM(L4:Q4)</f>
        <v>0</v>
      </c>
      <c r="S4" s="2824"/>
      <c r="T4" s="2824"/>
      <c r="U4" s="2824"/>
      <c r="V4" s="2833"/>
    </row>
    <row r="5" spans="1:22" s="2837" customFormat="1" ht="13.2"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2" customHeight="1" thickBot="1">
      <c r="A6" s="3718" t="s">
        <v>2305</v>
      </c>
      <c r="B6" s="3719"/>
      <c r="C6" s="3720"/>
      <c r="D6" s="2854"/>
      <c r="E6" s="2855"/>
      <c r="F6" s="2856"/>
      <c r="G6" s="2857"/>
      <c r="H6" s="2832"/>
      <c r="I6" s="2833"/>
      <c r="J6" s="3704">
        <v>1</v>
      </c>
      <c r="K6" s="3705"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2" customHeight="1">
      <c r="A7" s="2860" t="s">
        <v>2315</v>
      </c>
      <c r="B7" s="2861"/>
      <c r="C7" s="2862"/>
      <c r="D7" s="2863">
        <f>SUM(D9,D10,D11,D17,0)</f>
        <v>0</v>
      </c>
      <c r="E7" s="2864" t="e">
        <f>E9+E10+E11+E17</f>
        <v>#DIV/0!</v>
      </c>
      <c r="F7" s="2865"/>
      <c r="G7" s="2866"/>
      <c r="H7" s="2832"/>
      <c r="I7" s="2833"/>
      <c r="J7" s="3704"/>
      <c r="K7" s="3706"/>
      <c r="L7" s="2867" t="s">
        <v>2316</v>
      </c>
      <c r="M7" s="2868"/>
      <c r="N7" s="2844"/>
      <c r="O7" s="2869"/>
      <c r="P7" s="2869"/>
      <c r="Q7" s="2870">
        <v>365</v>
      </c>
      <c r="R7" s="2871">
        <f>ROUND(M7*N7*O7*P7*Q7/10000,0)</f>
        <v>0</v>
      </c>
      <c r="S7" s="2824"/>
      <c r="T7" s="2824" t="s">
        <v>2317</v>
      </c>
      <c r="U7" s="2824"/>
      <c r="V7" s="2833"/>
    </row>
    <row r="8" spans="1:22" s="2837" customFormat="1" ht="13.2" customHeight="1">
      <c r="A8" s="2872" t="s">
        <v>2318</v>
      </c>
      <c r="B8" s="3721" t="s">
        <v>2319</v>
      </c>
      <c r="C8" s="3722"/>
      <c r="D8" s="2873" t="s">
        <v>2320</v>
      </c>
      <c r="E8" s="2874" t="s">
        <v>2321</v>
      </c>
      <c r="F8" s="2875" t="s">
        <v>2322</v>
      </c>
      <c r="G8" s="2876"/>
      <c r="H8" s="2832"/>
      <c r="I8" s="2833"/>
      <c r="J8" s="3704"/>
      <c r="K8" s="3706"/>
      <c r="L8" s="2867" t="s">
        <v>2323</v>
      </c>
      <c r="M8" s="2868"/>
      <c r="N8" s="2844"/>
      <c r="O8" s="2869"/>
      <c r="P8" s="2869"/>
      <c r="Q8" s="2870">
        <v>365</v>
      </c>
      <c r="R8" s="2871">
        <f t="shared" ref="R8:R13" si="0">ROUND(M8*N8*O8*P8*Q8/10000,0)</f>
        <v>0</v>
      </c>
      <c r="S8" s="2824"/>
      <c r="T8" s="2824" t="s">
        <v>2324</v>
      </c>
      <c r="U8" s="2824"/>
      <c r="V8" s="2833"/>
    </row>
    <row r="9" spans="1:22" s="2837" customFormat="1" ht="13.2" customHeight="1">
      <c r="A9" s="2872">
        <v>1</v>
      </c>
      <c r="B9" s="3721" t="s">
        <v>2325</v>
      </c>
      <c r="C9" s="3722"/>
      <c r="D9" s="2873">
        <f>ROUND(D6*E9,0)</f>
        <v>0</v>
      </c>
      <c r="E9" s="2877"/>
      <c r="F9" s="2878" t="s">
        <v>2326</v>
      </c>
      <c r="G9" s="2857"/>
      <c r="H9" s="2832"/>
      <c r="I9" s="2833"/>
      <c r="J9" s="3704"/>
      <c r="K9" s="3706"/>
      <c r="L9" s="2867" t="s">
        <v>2327</v>
      </c>
      <c r="M9" s="2868"/>
      <c r="N9" s="2844"/>
      <c r="O9" s="2869"/>
      <c r="P9" s="2869"/>
      <c r="Q9" s="2870">
        <v>365</v>
      </c>
      <c r="R9" s="2871">
        <f t="shared" si="0"/>
        <v>0</v>
      </c>
      <c r="S9" s="2824"/>
      <c r="T9" s="2824"/>
      <c r="U9" s="2824"/>
      <c r="V9" s="2833"/>
    </row>
    <row r="10" spans="1:22" s="2837" customFormat="1" ht="13.2" customHeight="1">
      <c r="A10" s="2872">
        <v>2</v>
      </c>
      <c r="B10" s="3721" t="s">
        <v>2328</v>
      </c>
      <c r="C10" s="3722"/>
      <c r="D10" s="2873">
        <f>ROUND(D6*E10,0)</f>
        <v>0</v>
      </c>
      <c r="E10" s="2877"/>
      <c r="F10" s="2878" t="s">
        <v>2329</v>
      </c>
      <c r="G10" s="2857"/>
      <c r="H10" s="2832"/>
      <c r="I10" s="2833"/>
      <c r="J10" s="3704"/>
      <c r="K10" s="3706"/>
      <c r="L10" s="2867" t="s">
        <v>2330</v>
      </c>
      <c r="M10" s="2868"/>
      <c r="N10" s="2844"/>
      <c r="O10" s="2869"/>
      <c r="P10" s="2869"/>
      <c r="Q10" s="2870">
        <v>365</v>
      </c>
      <c r="R10" s="2871">
        <f t="shared" si="0"/>
        <v>0</v>
      </c>
      <c r="S10" s="2824"/>
      <c r="T10" s="2824"/>
      <c r="U10" s="2824"/>
      <c r="V10" s="2833"/>
    </row>
    <row r="11" spans="1:22" s="2837" customFormat="1" ht="13.2" customHeight="1">
      <c r="A11" s="2872">
        <v>3</v>
      </c>
      <c r="B11" s="3721" t="s">
        <v>2331</v>
      </c>
      <c r="C11" s="3722"/>
      <c r="D11" s="2873">
        <f>D12+D14+D15+D16</f>
        <v>0</v>
      </c>
      <c r="E11" s="2879" t="e">
        <f>D11/D6</f>
        <v>#DIV/0!</v>
      </c>
      <c r="F11" s="2875"/>
      <c r="G11" s="2876"/>
      <c r="H11" s="2832"/>
      <c r="I11" s="2833"/>
      <c r="J11" s="3704"/>
      <c r="K11" s="3706"/>
      <c r="L11" s="2867" t="s">
        <v>2332</v>
      </c>
      <c r="M11" s="2868"/>
      <c r="N11" s="2844"/>
      <c r="O11" s="2869"/>
      <c r="P11" s="2869"/>
      <c r="Q11" s="2870">
        <v>365</v>
      </c>
      <c r="R11" s="2871">
        <f t="shared" si="0"/>
        <v>0</v>
      </c>
      <c r="S11" s="2824"/>
      <c r="T11" s="2824"/>
      <c r="U11" s="2824"/>
      <c r="V11" s="2833"/>
    </row>
    <row r="12" spans="1:22" s="2837" customFormat="1" ht="13.2" customHeight="1">
      <c r="A12" s="2880" t="s">
        <v>2333</v>
      </c>
      <c r="B12" s="3714" t="s">
        <v>2334</v>
      </c>
      <c r="C12" s="3715"/>
      <c r="D12" s="2881">
        <f>ROUND(D13*1.2%*(1-30%),0)</f>
        <v>0</v>
      </c>
      <c r="E12" s="2882">
        <v>1.2E-2</v>
      </c>
      <c r="F12" s="2875" t="s">
        <v>2335</v>
      </c>
      <c r="G12" s="2876"/>
      <c r="H12" s="2832"/>
      <c r="I12" s="2833"/>
      <c r="J12" s="3704"/>
      <c r="K12" s="3706"/>
      <c r="L12" s="2867" t="s">
        <v>2336</v>
      </c>
      <c r="M12" s="2868"/>
      <c r="N12" s="2844"/>
      <c r="O12" s="2869"/>
      <c r="P12" s="2869"/>
      <c r="Q12" s="2870">
        <v>365</v>
      </c>
      <c r="R12" s="2871">
        <f t="shared" si="0"/>
        <v>0</v>
      </c>
      <c r="S12" s="2824"/>
      <c r="T12" s="2824"/>
      <c r="U12" s="2824"/>
      <c r="V12" s="2833"/>
    </row>
    <row r="13" spans="1:22" s="2837" customFormat="1" ht="13.2" customHeight="1">
      <c r="A13" s="2880"/>
      <c r="B13" s="2883"/>
      <c r="C13" s="2884" t="s">
        <v>2337</v>
      </c>
      <c r="D13" s="2885"/>
      <c r="E13" s="2886"/>
      <c r="F13" s="2875"/>
      <c r="G13" s="2876"/>
      <c r="H13" s="2832"/>
      <c r="I13" s="2833"/>
      <c r="J13" s="3704"/>
      <c r="K13" s="3706"/>
      <c r="L13" s="2867" t="s">
        <v>2338</v>
      </c>
      <c r="M13" s="2868"/>
      <c r="N13" s="2844"/>
      <c r="O13" s="2869"/>
      <c r="P13" s="2869"/>
      <c r="Q13" s="2870">
        <v>365</v>
      </c>
      <c r="R13" s="2871">
        <f t="shared" si="0"/>
        <v>0</v>
      </c>
      <c r="S13" s="2824"/>
      <c r="T13" s="2824"/>
      <c r="U13" s="2824"/>
      <c r="V13" s="2833"/>
    </row>
    <row r="14" spans="1:22" s="2837" customFormat="1" ht="13.2" customHeight="1">
      <c r="A14" s="2880" t="s">
        <v>2339</v>
      </c>
      <c r="B14" s="3714" t="s">
        <v>2340</v>
      </c>
      <c r="C14" s="3715"/>
      <c r="D14" s="2881">
        <f>ROUND(E14*B5/10000,0)</f>
        <v>0</v>
      </c>
      <c r="E14" s="2870"/>
      <c r="F14" s="2875" t="s">
        <v>2341</v>
      </c>
      <c r="G14" s="2876"/>
      <c r="H14" s="2832"/>
      <c r="I14" s="2833"/>
      <c r="J14" s="3704"/>
      <c r="K14" s="3707"/>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2343</v>
      </c>
      <c r="B15" s="3714" t="s">
        <v>2344</v>
      </c>
      <c r="C15" s="3715"/>
      <c r="D15" s="2881">
        <f>ROUND(D6*E15,0)</f>
        <v>0</v>
      </c>
      <c r="E15" s="2882">
        <v>5.5E-2</v>
      </c>
      <c r="F15" s="2875" t="s">
        <v>2345</v>
      </c>
      <c r="G15" s="2857"/>
      <c r="H15" s="2832"/>
      <c r="I15" s="2833"/>
      <c r="J15" s="3704">
        <v>2</v>
      </c>
      <c r="K15" s="3705"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2" customHeight="1">
      <c r="A16" s="2880" t="s">
        <v>2354</v>
      </c>
      <c r="B16" s="3714" t="s">
        <v>2355</v>
      </c>
      <c r="C16" s="3715"/>
      <c r="D16" s="2892">
        <f>D6*E16</f>
        <v>0</v>
      </c>
      <c r="E16" s="2893"/>
      <c r="F16" s="2878" t="s">
        <v>2356</v>
      </c>
      <c r="G16" s="2857"/>
      <c r="H16" s="2832"/>
      <c r="I16" s="2833"/>
      <c r="J16" s="3704"/>
      <c r="K16" s="3706"/>
      <c r="L16" s="2867" t="s">
        <v>2357</v>
      </c>
      <c r="M16" s="2868"/>
      <c r="N16" s="2868"/>
      <c r="O16" s="2869"/>
      <c r="P16" s="2870">
        <v>365</v>
      </c>
      <c r="Q16" s="2844"/>
      <c r="R16" s="2891">
        <f>ROUND(M16*N16*O16*P16/10000,0)</f>
        <v>0</v>
      </c>
      <c r="S16" s="2824"/>
      <c r="T16" s="2824"/>
      <c r="U16" s="2824"/>
      <c r="V16" s="2833"/>
    </row>
    <row r="17" spans="1:22" s="2837" customFormat="1" ht="13.2" customHeight="1" thickBot="1">
      <c r="A17" s="2894">
        <v>4</v>
      </c>
      <c r="B17" s="3716" t="s">
        <v>2358</v>
      </c>
      <c r="C17" s="3717"/>
      <c r="D17" s="2895">
        <f>ROUND(D6*E17,0)</f>
        <v>0</v>
      </c>
      <c r="E17" s="2896"/>
      <c r="F17" s="2897" t="s">
        <v>2359</v>
      </c>
      <c r="G17" s="2857"/>
      <c r="H17" s="2832"/>
      <c r="I17" s="2833"/>
      <c r="J17" s="3704"/>
      <c r="K17" s="3706"/>
      <c r="L17" s="2867" t="s">
        <v>2360</v>
      </c>
      <c r="M17" s="2868"/>
      <c r="N17" s="2868"/>
      <c r="O17" s="2869"/>
      <c r="P17" s="2870">
        <v>365</v>
      </c>
      <c r="Q17" s="2844"/>
      <c r="R17" s="2891">
        <f>ROUND(M17*N17*O17*P17/10000,0)</f>
        <v>0</v>
      </c>
      <c r="S17" s="2824"/>
      <c r="T17" s="2824"/>
      <c r="U17" s="2824"/>
      <c r="V17" s="2833"/>
    </row>
    <row r="18" spans="1:22" s="2837" customFormat="1" ht="13.2" customHeight="1" thickBot="1">
      <c r="A18" s="2860" t="s">
        <v>2361</v>
      </c>
      <c r="B18" s="2861"/>
      <c r="C18" s="2861"/>
      <c r="D18" s="2898">
        <f>ROUND(D6*E18,0)</f>
        <v>0</v>
      </c>
      <c r="E18" s="2899"/>
      <c r="F18" s="2900" t="s">
        <v>2362</v>
      </c>
      <c r="G18" s="2857"/>
      <c r="H18" s="2832"/>
      <c r="I18" s="2833"/>
      <c r="J18" s="3704"/>
      <c r="K18" s="3706"/>
      <c r="L18" s="2867" t="s">
        <v>2363</v>
      </c>
      <c r="M18" s="2868"/>
      <c r="N18" s="2868"/>
      <c r="O18" s="2869"/>
      <c r="P18" s="2870">
        <v>365</v>
      </c>
      <c r="Q18" s="2844"/>
      <c r="R18" s="2891">
        <f>ROUND(M18*N18*O18*P18/10000,0)</f>
        <v>0</v>
      </c>
      <c r="S18" s="2824"/>
      <c r="T18" s="2824"/>
      <c r="U18" s="2824"/>
      <c r="V18" s="2833"/>
    </row>
    <row r="19" spans="1:22" s="2837" customFormat="1" ht="13.2" customHeight="1" thickBot="1">
      <c r="A19" s="2901" t="s">
        <v>2364</v>
      </c>
      <c r="B19" s="2855"/>
      <c r="C19" s="2855"/>
      <c r="D19" s="2855"/>
      <c r="E19" s="2855"/>
      <c r="F19" s="2856"/>
      <c r="G19" s="2876"/>
      <c r="H19" s="2832"/>
      <c r="I19" s="2833"/>
      <c r="J19" s="3704"/>
      <c r="K19" s="3707"/>
      <c r="L19" s="2887" t="s">
        <v>2342</v>
      </c>
      <c r="M19" s="2888"/>
      <c r="N19" s="2888">
        <f>SUM(N16:N18)</f>
        <v>0</v>
      </c>
      <c r="O19" s="2889"/>
      <c r="P19" s="2902" t="s">
        <v>2430</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04">
        <v>3</v>
      </c>
      <c r="K20" s="3705"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2" customHeight="1">
      <c r="A21" s="2860"/>
      <c r="B21" s="2861"/>
      <c r="C21" s="2906" t="s">
        <v>2372</v>
      </c>
      <c r="D21" s="2907" t="s">
        <v>2373</v>
      </c>
      <c r="E21" s="2908" t="s">
        <v>2374</v>
      </c>
      <c r="F21" s="2904"/>
      <c r="G21" s="2876"/>
      <c r="H21" s="2832"/>
      <c r="I21" s="2833"/>
      <c r="J21" s="3704"/>
      <c r="K21" s="3706"/>
      <c r="L21" s="2867" t="s">
        <v>2375</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2376</v>
      </c>
      <c r="D22" s="2911" t="s">
        <v>2377</v>
      </c>
      <c r="E22" s="2912" t="s">
        <v>2378</v>
      </c>
      <c r="F22" s="2904"/>
      <c r="G22" s="2824"/>
      <c r="H22" s="2832"/>
      <c r="I22" s="2833"/>
      <c r="J22" s="3704"/>
      <c r="K22" s="3706"/>
      <c r="L22" s="2867" t="s">
        <v>2379</v>
      </c>
      <c r="M22" s="2868"/>
      <c r="N22" s="2868"/>
      <c r="O22" s="2869"/>
      <c r="P22" s="2870">
        <v>365</v>
      </c>
      <c r="Q22" s="2844"/>
      <c r="R22" s="2909">
        <f>ROUND(M22*N22*O22*P22/10000,0)</f>
        <v>0</v>
      </c>
      <c r="S22" s="2824"/>
      <c r="T22" s="2824"/>
      <c r="U22" s="2824"/>
      <c r="V22" s="2833"/>
    </row>
    <row r="23" spans="1:22" s="2837" customFormat="1" ht="13.2" customHeight="1">
      <c r="A23" s="2913">
        <v>1</v>
      </c>
      <c r="B23" s="2914" t="s">
        <v>2380</v>
      </c>
      <c r="C23" s="2915">
        <f>D6</f>
        <v>0</v>
      </c>
      <c r="D23" s="2916">
        <f>C23*(1+D24)</f>
        <v>0</v>
      </c>
      <c r="E23" s="2917">
        <f>D23*(1+E24)</f>
        <v>0</v>
      </c>
      <c r="F23" s="2918"/>
      <c r="G23" s="2919"/>
      <c r="H23" s="2832"/>
      <c r="I23" s="2833"/>
      <c r="J23" s="3704"/>
      <c r="K23" s="3706"/>
      <c r="L23" s="2867" t="s">
        <v>2381</v>
      </c>
      <c r="M23" s="2868"/>
      <c r="N23" s="2868"/>
      <c r="O23" s="2869"/>
      <c r="P23" s="2870">
        <v>365</v>
      </c>
      <c r="Q23" s="2844"/>
      <c r="R23" s="2909">
        <f>ROUND(M23*N23*O23*P23/10000,0)</f>
        <v>0</v>
      </c>
      <c r="S23" s="2824"/>
      <c r="T23" s="2824"/>
      <c r="U23" s="2824"/>
      <c r="V23" s="2833"/>
    </row>
    <row r="24" spans="1:22" s="2837" customFormat="1" ht="13.2" customHeight="1">
      <c r="A24" s="2920"/>
      <c r="B24" s="2921" t="s">
        <v>2382</v>
      </c>
      <c r="C24" s="2922"/>
      <c r="D24" s="2923"/>
      <c r="E24" s="2924"/>
      <c r="F24" s="2925"/>
      <c r="G24" s="2919"/>
      <c r="H24" s="2832"/>
      <c r="I24" s="2833"/>
      <c r="J24" s="3704"/>
      <c r="K24" s="3707"/>
      <c r="L24" s="2887" t="s">
        <v>2342</v>
      </c>
      <c r="M24" s="2888">
        <f>SUM(M21:M23)</f>
        <v>0</v>
      </c>
      <c r="N24" s="2888"/>
      <c r="O24" s="2889"/>
      <c r="P24" s="2902" t="s">
        <v>2430</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2" customHeight="1">
      <c r="A26" s="2913">
        <v>2</v>
      </c>
      <c r="B26" s="2914" t="s">
        <v>2384</v>
      </c>
      <c r="C26" s="2915">
        <f>D7</f>
        <v>0</v>
      </c>
      <c r="D26" s="2916">
        <f>D23*D27</f>
        <v>0</v>
      </c>
      <c r="E26" s="2917">
        <f>E23*E27</f>
        <v>0</v>
      </c>
      <c r="F26" s="2918"/>
      <c r="G26" s="2919"/>
      <c r="H26" s="2832"/>
      <c r="I26" s="2833"/>
      <c r="J26" s="3708">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2" customHeight="1">
      <c r="A27" s="2920"/>
      <c r="B27" s="2921" t="s">
        <v>2391</v>
      </c>
      <c r="C27" s="2938" t="e">
        <f>E7</f>
        <v>#DIV/0!</v>
      </c>
      <c r="D27" s="2923"/>
      <c r="E27" s="2924"/>
      <c r="F27" s="2925"/>
      <c r="G27" s="2919"/>
      <c r="H27" s="2939"/>
      <c r="I27" s="2931"/>
      <c r="J27" s="3709"/>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2"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2" customHeight="1">
      <c r="A32" s="2913">
        <v>4</v>
      </c>
      <c r="B32" s="2914" t="s">
        <v>2400</v>
      </c>
      <c r="C32" s="2915">
        <f>C23-C26-C29</f>
        <v>0</v>
      </c>
      <c r="D32" s="2916">
        <f>D23-D26-D29</f>
        <v>0</v>
      </c>
      <c r="E32" s="2917">
        <f>E23-E26-E29</f>
        <v>0</v>
      </c>
      <c r="F32" s="2918"/>
      <c r="G32" s="2824"/>
      <c r="H32" s="2832"/>
      <c r="I32" s="2833"/>
      <c r="J32" s="3710" t="s">
        <v>2401</v>
      </c>
      <c r="K32" s="3711"/>
      <c r="L32" s="2834" t="s">
        <v>2402</v>
      </c>
      <c r="M32" s="2834" t="s">
        <v>2291</v>
      </c>
      <c r="N32" s="2834" t="s">
        <v>2292</v>
      </c>
      <c r="O32" s="2834" t="s">
        <v>2293</v>
      </c>
      <c r="P32" s="2834" t="s">
        <v>2294</v>
      </c>
      <c r="Q32" s="2835" t="s">
        <v>2403</v>
      </c>
      <c r="R32" s="2954" t="s">
        <v>2404</v>
      </c>
      <c r="S32" s="2824"/>
      <c r="T32" s="2824"/>
      <c r="U32" s="2824"/>
      <c r="V32" s="2931"/>
    </row>
    <row r="33" spans="1:23" s="2837" customFormat="1" ht="13.2" customHeight="1">
      <c r="A33" s="2913"/>
      <c r="B33" s="2914"/>
      <c r="C33" s="2915"/>
      <c r="D33" s="2955"/>
      <c r="E33" s="2956"/>
      <c r="F33" s="2918"/>
      <c r="G33" s="2824"/>
      <c r="H33" s="2939"/>
      <c r="I33" s="2931"/>
      <c r="J33" s="3712" t="s">
        <v>2405</v>
      </c>
      <c r="K33" s="3713"/>
      <c r="L33" s="2840"/>
      <c r="M33" s="2840"/>
      <c r="N33" s="2840"/>
      <c r="O33" s="2840"/>
      <c r="P33" s="2840"/>
      <c r="Q33" s="2841"/>
      <c r="R33" s="2957">
        <f>SUM(L33:Q33)</f>
        <v>0</v>
      </c>
      <c r="S33" s="2824"/>
      <c r="T33" s="2824"/>
      <c r="U33" s="2824"/>
      <c r="V33" s="2833"/>
    </row>
    <row r="34" spans="1:23" s="2837" customFormat="1" ht="13.2" customHeight="1">
      <c r="A34" s="2913">
        <v>5</v>
      </c>
      <c r="B34" s="2914" t="s">
        <v>2406</v>
      </c>
      <c r="C34" s="2958"/>
      <c r="D34" s="2959"/>
      <c r="E34" s="2960"/>
      <c r="F34" s="2918"/>
      <c r="G34" s="2824"/>
      <c r="H34" s="2939"/>
      <c r="I34" s="2931"/>
      <c r="J34" s="3712" t="s">
        <v>2407</v>
      </c>
      <c r="K34" s="3713"/>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2" customHeight="1" thickBot="1">
      <c r="A36" s="2913">
        <v>7</v>
      </c>
      <c r="B36" s="2967" t="s">
        <v>2411</v>
      </c>
      <c r="C36" s="2968"/>
      <c r="D36" s="2969"/>
      <c r="E36" s="2970"/>
      <c r="F36" s="2971">
        <f>C36+D36+E36</f>
        <v>0</v>
      </c>
      <c r="G36" s="2824"/>
      <c r="H36" s="2832"/>
      <c r="I36" s="2833"/>
      <c r="J36" s="3704">
        <v>1</v>
      </c>
      <c r="K36" s="3705" t="s">
        <v>2412</v>
      </c>
      <c r="L36" s="2858"/>
      <c r="M36" s="2859"/>
      <c r="N36" s="2859"/>
      <c r="O36" s="2859"/>
      <c r="P36" s="2859"/>
      <c r="Q36" s="2859"/>
      <c r="R36" s="2842" t="s">
        <v>2313</v>
      </c>
      <c r="S36" s="2824"/>
      <c r="T36" s="2824" t="s">
        <v>2314</v>
      </c>
      <c r="U36" s="2824"/>
      <c r="V36" s="2833"/>
    </row>
    <row r="37" spans="1:23" s="2837" customFormat="1" ht="13.2" customHeight="1">
      <c r="A37" s="2913"/>
      <c r="B37" s="2914"/>
      <c r="C37" s="2914"/>
      <c r="D37" s="2914"/>
      <c r="E37" s="2914"/>
      <c r="F37" s="2918"/>
      <c r="G37" s="2824"/>
      <c r="H37" s="2832"/>
      <c r="I37" s="2833"/>
      <c r="J37" s="3704"/>
      <c r="K37" s="3706"/>
      <c r="L37" s="2867"/>
      <c r="M37" s="2868"/>
      <c r="N37" s="2844"/>
      <c r="O37" s="2869"/>
      <c r="P37" s="2869"/>
      <c r="Q37" s="2870"/>
      <c r="R37" s="2871"/>
      <c r="S37" s="2824"/>
      <c r="T37" s="2824" t="s">
        <v>2317</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04"/>
      <c r="K38" s="3706"/>
      <c r="L38" s="2867"/>
      <c r="M38" s="2868"/>
      <c r="N38" s="2844"/>
      <c r="O38" s="2869"/>
      <c r="P38" s="2869"/>
      <c r="Q38" s="2870"/>
      <c r="R38" s="2871"/>
      <c r="S38" s="2824"/>
      <c r="T38" s="2824" t="s">
        <v>2324</v>
      </c>
      <c r="U38" s="2824"/>
      <c r="V38" s="2833"/>
    </row>
    <row r="39" spans="1:23" s="2837" customFormat="1" ht="13.2" customHeight="1">
      <c r="A39" s="2913">
        <v>9</v>
      </c>
      <c r="B39" s="2914" t="s">
        <v>2413</v>
      </c>
      <c r="C39" s="2881" t="e">
        <f>C38</f>
        <v>#DIV/0!</v>
      </c>
      <c r="D39" s="2914">
        <f>D38/(1+D34)^C36</f>
        <v>0</v>
      </c>
      <c r="E39" s="2914">
        <f>E38/(1+E34)^(C36+D36)</f>
        <v>0</v>
      </c>
      <c r="F39" s="2918"/>
      <c r="G39" s="2833"/>
      <c r="H39" s="2832"/>
      <c r="I39" s="2833"/>
      <c r="J39" s="3704"/>
      <c r="K39" s="3706"/>
      <c r="L39" s="2867"/>
      <c r="M39" s="2868"/>
      <c r="N39" s="2844"/>
      <c r="O39" s="2869"/>
      <c r="P39" s="2869"/>
      <c r="Q39" s="2870"/>
      <c r="R39" s="2871"/>
      <c r="S39" s="2824"/>
      <c r="T39" s="2824"/>
      <c r="U39" s="2824"/>
      <c r="V39" s="2833"/>
    </row>
    <row r="40" spans="1:23" s="2837" customFormat="1" ht="13.2" customHeight="1">
      <c r="A40" s="2972">
        <v>10</v>
      </c>
      <c r="B40" s="2914" t="s">
        <v>2414</v>
      </c>
      <c r="C40" s="2973" t="e">
        <f>C39+D39+E39</f>
        <v>#DIV/0!</v>
      </c>
      <c r="D40" s="2974"/>
      <c r="E40" s="2974"/>
      <c r="F40" s="2975"/>
      <c r="G40" s="2824"/>
      <c r="H40" s="2832"/>
      <c r="I40" s="2833"/>
      <c r="J40" s="3704"/>
      <c r="K40" s="3707"/>
      <c r="L40" s="2887" t="s">
        <v>2415</v>
      </c>
      <c r="M40" s="2888"/>
      <c r="N40" s="2888"/>
      <c r="O40" s="2889"/>
      <c r="P40" s="2889"/>
      <c r="Q40" s="2890"/>
      <c r="R40" s="2836">
        <f>SUM(R37:R39)</f>
        <v>0</v>
      </c>
      <c r="S40" s="2824"/>
      <c r="T40" s="2824"/>
      <c r="U40" s="2824"/>
      <c r="V40" s="2833"/>
    </row>
    <row r="41" spans="1:23" s="2837" customFormat="1" ht="13.2"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2" customHeight="1">
      <c r="G42" s="2832"/>
      <c r="H42" s="2832"/>
      <c r="I42" s="2833"/>
      <c r="J42" s="3708">
        <v>3</v>
      </c>
      <c r="K42" s="2933" t="s">
        <v>2418</v>
      </c>
      <c r="L42" s="2934"/>
      <c r="M42" s="2935"/>
      <c r="N42" s="2936" t="s">
        <v>2419</v>
      </c>
      <c r="O42" s="2936" t="s">
        <v>2420</v>
      </c>
      <c r="P42" s="2937" t="s">
        <v>2421</v>
      </c>
      <c r="Q42" s="2937" t="s">
        <v>2422</v>
      </c>
      <c r="R42" s="2842" t="s">
        <v>2423</v>
      </c>
      <c r="S42" s="2876"/>
      <c r="T42" s="2876"/>
      <c r="U42" s="2824"/>
      <c r="V42" s="2833"/>
    </row>
    <row r="43" spans="1:23" ht="13.2" customHeight="1">
      <c r="A43" s="2837"/>
      <c r="B43" s="2837"/>
      <c r="C43" s="2837"/>
      <c r="D43" s="2837"/>
      <c r="E43" s="2837"/>
      <c r="F43" s="2837"/>
      <c r="I43" s="2819"/>
      <c r="J43" s="3709"/>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0</v>
      </c>
      <c r="C2" s="2766"/>
      <c r="D2" s="2766"/>
      <c r="E2" s="2766"/>
      <c r="F2" s="2766"/>
      <c r="G2" s="2766"/>
    </row>
    <row r="3" spans="1:25" s="1672" customFormat="1" ht="18" customHeight="1">
      <c r="A3" s="1170" t="s">
        <v>1218</v>
      </c>
      <c r="B3" s="395">
        <f ca="1">ROUND(B2*10000/'数据-汇总表'!E3,0)</f>
        <v>0</v>
      </c>
      <c r="C3" s="2766"/>
      <c r="D3" s="2766"/>
      <c r="E3" s="2766"/>
      <c r="F3" s="2766"/>
      <c r="G3" s="2766"/>
    </row>
    <row r="4" spans="1:25" s="1672" customFormat="1" ht="18" customHeight="1">
      <c r="A4" s="396" t="s">
        <v>428</v>
      </c>
      <c r="B4" s="397">
        <f ca="1">ROUND(B2*10000/'数据-汇总表'!D3,0)</f>
        <v>0</v>
      </c>
      <c r="C4" s="2726"/>
      <c r="D4" s="2766"/>
      <c r="E4" s="2766"/>
      <c r="F4" s="2766"/>
      <c r="G4" s="2766"/>
    </row>
    <row r="5" spans="1:25" s="1672" customFormat="1" ht="18" customHeight="1" thickBot="1">
      <c r="A5" s="399"/>
      <c r="B5" s="400">
        <f ca="1">ROUND(B2/('数据-汇总表'!D3/666.67),0)</f>
        <v>0</v>
      </c>
      <c r="C5" s="401" t="s">
        <v>429</v>
      </c>
      <c r="D5" s="2766"/>
      <c r="E5" s="2766"/>
      <c r="F5" s="2766"/>
      <c r="G5" s="2766"/>
    </row>
    <row r="6" spans="1:25" s="1783" customFormat="1" ht="13.5" customHeight="1">
      <c r="A6" s="680"/>
      <c r="B6" s="681" t="s">
        <v>552</v>
      </c>
      <c r="C6" s="682" t="s">
        <v>553</v>
      </c>
      <c r="D6" s="682" t="s">
        <v>554</v>
      </c>
      <c r="E6" s="683" t="s">
        <v>555</v>
      </c>
      <c r="F6" s="683" t="s">
        <v>556</v>
      </c>
      <c r="G6" s="2765" t="s">
        <v>2270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96</v>
      </c>
      <c r="D12" s="2769">
        <f>'数据-汇总表'!E5</f>
        <v>5999.630000000001</v>
      </c>
      <c r="E12" s="2769">
        <f>'数据-取费表'!B27</f>
        <v>160</v>
      </c>
      <c r="F12" s="691"/>
      <c r="G12" s="694"/>
    </row>
    <row r="13" spans="1:25" s="1783" customFormat="1" ht="13.5" customHeight="1">
      <c r="A13" s="1987" t="s">
        <v>1793</v>
      </c>
      <c r="B13" s="692" t="s">
        <v>560</v>
      </c>
      <c r="C13" s="693">
        <f>ROUND(D13*E13/10000,0)</f>
        <v>107</v>
      </c>
      <c r="D13" s="2769">
        <f>'数据-汇总表'!E6</f>
        <v>5347.52</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0.91300000000000003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M12" sqref="M12"/>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3492</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19622</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32706</v>
      </c>
      <c r="C3" s="786" t="s">
        <v>669</v>
      </c>
      <c r="D3" s="785">
        <f>SUMIF('数据-汇总表'!$C19:$C33,D1,'数据-汇总表'!$E19:$E33)</f>
        <v>5999.630000000001</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20" t="s">
        <v>471</v>
      </c>
      <c r="D4" s="3621"/>
      <c r="E4" s="3642" t="s">
        <v>472</v>
      </c>
      <c r="F4" s="3643"/>
      <c r="G4" s="3620" t="s">
        <v>473</v>
      </c>
      <c r="H4" s="3621"/>
      <c r="I4" s="3620" t="s">
        <v>474</v>
      </c>
      <c r="J4" s="3621"/>
      <c r="K4" s="787"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1" t="s">
        <v>473</v>
      </c>
      <c r="AC4" s="3601" t="s">
        <v>474</v>
      </c>
    </row>
    <row r="5" spans="1:29" ht="13.8" customHeight="1">
      <c r="A5" s="466"/>
      <c r="B5" s="467"/>
      <c r="C5" s="3631" t="s">
        <v>2181</v>
      </c>
      <c r="D5" s="3632"/>
      <c r="E5" s="3723" t="s">
        <v>3493</v>
      </c>
      <c r="F5" s="3645"/>
      <c r="G5" s="3725" t="s">
        <v>3494</v>
      </c>
      <c r="H5" s="3645"/>
      <c r="I5" s="3724" t="s">
        <v>3495</v>
      </c>
      <c r="J5" s="3632"/>
      <c r="K5" s="788"/>
      <c r="L5" s="1741"/>
      <c r="M5" s="1742"/>
      <c r="N5" s="1742"/>
      <c r="O5" s="1742"/>
      <c r="P5" s="3624"/>
      <c r="Q5" s="3625"/>
      <c r="R5" s="3608"/>
      <c r="S5" s="3609"/>
      <c r="T5" s="3608"/>
      <c r="U5" s="3609"/>
      <c r="V5" s="3628"/>
      <c r="W5" s="3628"/>
      <c r="X5" s="1302"/>
      <c r="Y5" s="3608"/>
      <c r="Z5" s="3609"/>
      <c r="AA5" s="3602"/>
      <c r="AB5" s="3602"/>
      <c r="AC5" s="3602"/>
    </row>
    <row r="6" spans="1:29" ht="15" thickBot="1">
      <c r="A6" s="468"/>
      <c r="B6" s="469"/>
      <c r="C6" s="3629" t="s">
        <v>2185</v>
      </c>
      <c r="D6" s="3630"/>
      <c r="E6" s="3646" t="s">
        <v>3461</v>
      </c>
      <c r="F6" s="3647"/>
      <c r="G6" s="3629" t="s">
        <v>3461</v>
      </c>
      <c r="H6" s="3630"/>
      <c r="I6" s="3629" t="s">
        <v>3461</v>
      </c>
      <c r="J6" s="3630"/>
      <c r="K6" s="788" t="s">
        <v>477</v>
      </c>
      <c r="L6" s="1741"/>
      <c r="M6" s="1742"/>
      <c r="N6" s="1742"/>
      <c r="O6" s="1742"/>
      <c r="P6" s="3626"/>
      <c r="Q6" s="3627"/>
      <c r="R6" s="3608"/>
      <c r="S6" s="3609"/>
      <c r="T6" s="3610"/>
      <c r="U6" s="3611"/>
      <c r="V6" s="3628"/>
      <c r="W6" s="3628"/>
      <c r="X6" s="1302"/>
      <c r="Y6" s="3610"/>
      <c r="Z6" s="3611"/>
      <c r="AA6" s="3603"/>
      <c r="AB6" s="3603"/>
      <c r="AC6" s="3603"/>
    </row>
    <row r="7" spans="1:29" s="1060" customFormat="1" ht="1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04" t="s">
        <v>479</v>
      </c>
      <c r="Q7" s="3613"/>
      <c r="R7" s="1303" t="s">
        <v>10</v>
      </c>
      <c r="S7" s="1304">
        <f t="shared" ref="S7:S15" si="0">F7</f>
        <v>100</v>
      </c>
      <c r="T7" s="1303" t="s">
        <v>10</v>
      </c>
      <c r="U7" s="1304">
        <f t="shared" ref="U7:U15" si="1">H7</f>
        <v>100</v>
      </c>
      <c r="V7" s="1303" t="s">
        <v>10</v>
      </c>
      <c r="W7" s="1304">
        <f t="shared" ref="W7:W15" si="2">J7</f>
        <v>100</v>
      </c>
      <c r="X7" s="1305"/>
      <c r="Y7" s="3604" t="s">
        <v>479</v>
      </c>
      <c r="Z7" s="3605"/>
      <c r="AA7" s="997">
        <f>D7/F7</f>
        <v>1</v>
      </c>
      <c r="AB7" s="997">
        <f>D7/H7</f>
        <v>1</v>
      </c>
      <c r="AC7" s="997">
        <f>D7/J7</f>
        <v>1</v>
      </c>
    </row>
    <row r="8" spans="1:29" s="1060" customFormat="1" ht="15" thickBot="1">
      <c r="A8" s="2210"/>
      <c r="B8" s="2217"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3"/>
      <c r="M8" s="1640"/>
      <c r="N8" s="1640"/>
      <c r="O8" s="1640"/>
      <c r="P8" s="3604" t="s">
        <v>482</v>
      </c>
      <c r="Q8" s="3605"/>
      <c r="R8" s="1303" t="s">
        <v>10</v>
      </c>
      <c r="S8" s="1304">
        <f t="shared" si="0"/>
        <v>100</v>
      </c>
      <c r="T8" s="1303" t="s">
        <v>10</v>
      </c>
      <c r="U8" s="1304">
        <f t="shared" si="1"/>
        <v>100</v>
      </c>
      <c r="V8" s="1303" t="s">
        <v>10</v>
      </c>
      <c r="W8" s="1304">
        <f t="shared" si="2"/>
        <v>100</v>
      </c>
      <c r="X8" s="1305"/>
      <c r="Y8" s="3604" t="s">
        <v>482</v>
      </c>
      <c r="Z8" s="3605"/>
      <c r="AA8" s="997">
        <f t="shared" ref="AA8:AA46" si="3">D8/F8</f>
        <v>1</v>
      </c>
      <c r="AB8" s="997">
        <f t="shared" ref="AB8:AB46" si="4">D8/H8</f>
        <v>1</v>
      </c>
      <c r="AC8" s="997">
        <f t="shared" ref="AC8:AC46" si="5">D8/J8</f>
        <v>1</v>
      </c>
    </row>
    <row r="9" spans="1:29" s="1060" customFormat="1" ht="14.4">
      <c r="A9" s="2211"/>
      <c r="B9" s="2218" t="s">
        <v>2038</v>
      </c>
      <c r="C9" s="3422"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7"/>
      <c r="M11" s="1742"/>
      <c r="N11" s="1742"/>
      <c r="O11" s="1748"/>
      <c r="P11" s="3612"/>
      <c r="Q11" s="818" t="str">
        <f t="shared" si="6"/>
        <v>容积率</v>
      </c>
      <c r="R11" s="1303" t="s">
        <v>8</v>
      </c>
      <c r="S11" s="1304">
        <f t="shared" si="0"/>
        <v>100</v>
      </c>
      <c r="T11" s="1303" t="s">
        <v>8</v>
      </c>
      <c r="U11" s="1304">
        <f t="shared" si="1"/>
        <v>99</v>
      </c>
      <c r="V11" s="1303" t="s">
        <v>8</v>
      </c>
      <c r="W11" s="1304">
        <f t="shared" si="2"/>
        <v>99</v>
      </c>
      <c r="X11" s="1305"/>
      <c r="Y11" s="3560"/>
      <c r="Z11" s="997" t="str">
        <f t="shared" si="7"/>
        <v>容积率</v>
      </c>
      <c r="AA11" s="997">
        <f t="shared" si="3"/>
        <v>1</v>
      </c>
      <c r="AB11" s="997">
        <f t="shared" si="4"/>
        <v>1.0101010101010102</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2"/>
      <c r="Q12" s="818">
        <f t="shared" si="6"/>
        <v>111</v>
      </c>
      <c r="R12" s="1303" t="s">
        <v>8</v>
      </c>
      <c r="S12" s="1304">
        <f t="shared" si="0"/>
        <v>100</v>
      </c>
      <c r="T12" s="1303" t="s">
        <v>8</v>
      </c>
      <c r="U12" s="1304">
        <f t="shared" si="1"/>
        <v>100</v>
      </c>
      <c r="V12" s="1303" t="s">
        <v>8</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2"/>
      <c r="Q13" s="818">
        <f t="shared" si="6"/>
        <v>111</v>
      </c>
      <c r="R13" s="1303" t="s">
        <v>8</v>
      </c>
      <c r="S13" s="1304">
        <f t="shared" si="0"/>
        <v>100</v>
      </c>
      <c r="T13" s="1303" t="s">
        <v>8</v>
      </c>
      <c r="U13" s="1304">
        <f t="shared" si="1"/>
        <v>100</v>
      </c>
      <c r="V13" s="1303" t="s">
        <v>8</v>
      </c>
      <c r="W13" s="1304">
        <f t="shared" si="2"/>
        <v>100</v>
      </c>
      <c r="X13" s="1305"/>
      <c r="Y13" s="3560"/>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2"/>
      <c r="Q14" s="818">
        <f t="shared" si="6"/>
        <v>111</v>
      </c>
      <c r="R14" s="1303" t="s">
        <v>8</v>
      </c>
      <c r="S14" s="1304">
        <f t="shared" si="0"/>
        <v>100</v>
      </c>
      <c r="T14" s="1303" t="s">
        <v>8</v>
      </c>
      <c r="U14" s="1304">
        <f t="shared" si="1"/>
        <v>100</v>
      </c>
      <c r="V14" s="1303" t="s">
        <v>8</v>
      </c>
      <c r="W14" s="1304">
        <f t="shared" si="2"/>
        <v>100</v>
      </c>
      <c r="X14" s="1305"/>
      <c r="Y14" s="3560"/>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14" t="s">
        <v>489</v>
      </c>
      <c r="Q15" s="1306" t="str">
        <f t="shared" si="6"/>
        <v>居住社区成熟度</v>
      </c>
      <c r="R15" s="1307" t="s">
        <v>8</v>
      </c>
      <c r="S15" s="1308">
        <f t="shared" si="0"/>
        <v>103</v>
      </c>
      <c r="T15" s="1307" t="s">
        <v>8</v>
      </c>
      <c r="U15" s="1308">
        <f t="shared" si="1"/>
        <v>100</v>
      </c>
      <c r="V15" s="1307" t="s">
        <v>8</v>
      </c>
      <c r="W15" s="1308">
        <f t="shared" si="2"/>
        <v>103</v>
      </c>
      <c r="X15" s="1302"/>
      <c r="Y15" s="3614" t="s">
        <v>489</v>
      </c>
      <c r="Z15" s="1309" t="str">
        <f t="shared" si="7"/>
        <v>居住社区成熟度</v>
      </c>
      <c r="AA15" s="1309">
        <f t="shared" si="3"/>
        <v>0.970873786407767</v>
      </c>
      <c r="AB15" s="1309">
        <f t="shared" si="4"/>
        <v>1</v>
      </c>
      <c r="AC15" s="1309">
        <f t="shared" si="5"/>
        <v>0.970873786407767</v>
      </c>
    </row>
    <row r="16" spans="1:29" ht="15">
      <c r="A16" s="482"/>
      <c r="B16" s="799"/>
      <c r="C16" s="526" t="s">
        <v>3470</v>
      </c>
      <c r="D16" s="505"/>
      <c r="E16" s="506" t="s">
        <v>3467</v>
      </c>
      <c r="F16" s="507"/>
      <c r="G16" s="508" t="s">
        <v>3470</v>
      </c>
      <c r="H16" s="509"/>
      <c r="I16" s="506" t="s">
        <v>3467</v>
      </c>
      <c r="J16" s="505"/>
      <c r="K16" s="800"/>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15"/>
      <c r="Q17" s="1306" t="str">
        <f>B17</f>
        <v>交通便捷度</v>
      </c>
      <c r="R17" s="1307" t="s">
        <v>8</v>
      </c>
      <c r="S17" s="1308">
        <f>F17</f>
        <v>100</v>
      </c>
      <c r="T17" s="1307" t="s">
        <v>8</v>
      </c>
      <c r="U17" s="1308">
        <f>H17</f>
        <v>100</v>
      </c>
      <c r="V17" s="1307" t="s">
        <v>8</v>
      </c>
      <c r="W17" s="1308">
        <f>J17</f>
        <v>100</v>
      </c>
      <c r="X17" s="1302"/>
      <c r="Y17" s="3615"/>
      <c r="Z17" s="1309" t="str">
        <f>Q17</f>
        <v>交通便捷度</v>
      </c>
      <c r="AA17" s="1309">
        <f t="shared" si="3"/>
        <v>1</v>
      </c>
      <c r="AB17" s="1309">
        <f t="shared" si="4"/>
        <v>1</v>
      </c>
      <c r="AC17" s="1309">
        <f t="shared" si="5"/>
        <v>1</v>
      </c>
    </row>
    <row r="18" spans="1:29" ht="15">
      <c r="A18" s="482"/>
      <c r="B18" s="544"/>
      <c r="C18" s="802" t="s">
        <v>3470</v>
      </c>
      <c r="D18" s="509"/>
      <c r="E18" s="518" t="s">
        <v>3470</v>
      </c>
      <c r="F18" s="513"/>
      <c r="G18" s="519" t="s">
        <v>3470</v>
      </c>
      <c r="H18" s="505"/>
      <c r="I18" s="518" t="s">
        <v>3470</v>
      </c>
      <c r="J18" s="505"/>
      <c r="K18" s="800"/>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15"/>
      <c r="Q19" s="1306" t="str">
        <f>B19</f>
        <v>公共配套设施</v>
      </c>
      <c r="R19" s="1307" t="s">
        <v>8</v>
      </c>
      <c r="S19" s="1308">
        <f>F19</f>
        <v>100</v>
      </c>
      <c r="T19" s="1307" t="s">
        <v>8</v>
      </c>
      <c r="U19" s="1308">
        <f>H19</f>
        <v>100</v>
      </c>
      <c r="V19" s="1307" t="s">
        <v>8</v>
      </c>
      <c r="W19" s="1308">
        <f>J19</f>
        <v>100</v>
      </c>
      <c r="X19" s="1302"/>
      <c r="Y19" s="3615"/>
      <c r="Z19" s="1309" t="str">
        <f>Q19</f>
        <v>公共配套设施</v>
      </c>
      <c r="AA19" s="1309">
        <f t="shared" si="3"/>
        <v>1</v>
      </c>
      <c r="AB19" s="1309">
        <f t="shared" si="4"/>
        <v>1</v>
      </c>
      <c r="AC19" s="1309">
        <f t="shared" si="5"/>
        <v>1</v>
      </c>
    </row>
    <row r="20" spans="1:29" ht="15">
      <c r="A20" s="482"/>
      <c r="B20" s="544"/>
      <c r="C20" s="526" t="s">
        <v>3470</v>
      </c>
      <c r="D20" s="505"/>
      <c r="E20" s="506" t="s">
        <v>3470</v>
      </c>
      <c r="F20" s="507"/>
      <c r="G20" s="508" t="s">
        <v>3470</v>
      </c>
      <c r="H20" s="505"/>
      <c r="I20" s="506" t="s">
        <v>3470</v>
      </c>
      <c r="J20" s="505"/>
      <c r="K20" s="800"/>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15"/>
      <c r="Q21" s="1306" t="str">
        <f>B21</f>
        <v>基础设施水平</v>
      </c>
      <c r="R21" s="1307" t="s">
        <v>8</v>
      </c>
      <c r="S21" s="1308">
        <f>F21</f>
        <v>100</v>
      </c>
      <c r="T21" s="1307" t="s">
        <v>8</v>
      </c>
      <c r="U21" s="1308">
        <f>H21</f>
        <v>100</v>
      </c>
      <c r="V21" s="1307" t="s">
        <v>8</v>
      </c>
      <c r="W21" s="1308">
        <f>J21</f>
        <v>100</v>
      </c>
      <c r="X21" s="1302"/>
      <c r="Y21" s="3615"/>
      <c r="Z21" s="1309" t="str">
        <f>Q21</f>
        <v>基础设施水平</v>
      </c>
      <c r="AA21" s="1309">
        <f>D21/F21</f>
        <v>1</v>
      </c>
      <c r="AB21" s="1309">
        <f>D21/H21</f>
        <v>1</v>
      </c>
      <c r="AC21" s="1309">
        <f>D21/J21</f>
        <v>1</v>
      </c>
    </row>
    <row r="22" spans="1:29" ht="15">
      <c r="A22" s="482"/>
      <c r="B22" s="844"/>
      <c r="C22" s="802" t="s">
        <v>3468</v>
      </c>
      <c r="D22" s="505"/>
      <c r="E22" s="526" t="s">
        <v>3468</v>
      </c>
      <c r="F22" s="507"/>
      <c r="G22" s="526" t="s">
        <v>3468</v>
      </c>
      <c r="H22" s="505"/>
      <c r="I22" s="526" t="s">
        <v>3468</v>
      </c>
      <c r="J22" s="505"/>
      <c r="K22" s="2058"/>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15"/>
      <c r="Q23" s="1306" t="str">
        <f>B23</f>
        <v>自然及人文环境</v>
      </c>
      <c r="R23" s="1307" t="s">
        <v>8</v>
      </c>
      <c r="S23" s="1308">
        <f>F23</f>
        <v>100</v>
      </c>
      <c r="T23" s="1307" t="s">
        <v>8</v>
      </c>
      <c r="U23" s="1308">
        <f>H23</f>
        <v>100</v>
      </c>
      <c r="V23" s="1307" t="s">
        <v>8</v>
      </c>
      <c r="W23" s="1308">
        <f>J23</f>
        <v>100</v>
      </c>
      <c r="X23" s="1302"/>
      <c r="Y23" s="3615"/>
      <c r="Z23" s="1309" t="str">
        <f>Q23</f>
        <v>自然及人文环境</v>
      </c>
      <c r="AA23" s="1309">
        <f t="shared" si="3"/>
        <v>1</v>
      </c>
      <c r="AB23" s="1309">
        <f t="shared" si="4"/>
        <v>1</v>
      </c>
      <c r="AC23" s="1309">
        <f t="shared" si="5"/>
        <v>1</v>
      </c>
    </row>
    <row r="24" spans="1:29" ht="15">
      <c r="A24" s="482"/>
      <c r="B24" s="544"/>
      <c r="C24" s="526" t="s">
        <v>3470</v>
      </c>
      <c r="D24" s="505"/>
      <c r="E24" s="506" t="s">
        <v>3470</v>
      </c>
      <c r="F24" s="507"/>
      <c r="G24" s="508" t="s">
        <v>3470</v>
      </c>
      <c r="H24" s="505"/>
      <c r="I24" s="506" t="s">
        <v>3470</v>
      </c>
      <c r="J24" s="505"/>
      <c r="K24" s="800"/>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5"/>
      <c r="Q25" s="1306" t="str">
        <f t="shared" ref="Q25:Q46" si="8">B25</f>
        <v>楼层-1</v>
      </c>
      <c r="R25" s="1307" t="s">
        <v>8</v>
      </c>
      <c r="S25" s="1308">
        <f>F25</f>
        <v>100</v>
      </c>
      <c r="T25" s="1307" t="s">
        <v>8</v>
      </c>
      <c r="U25" s="1308">
        <f>H25</f>
        <v>100</v>
      </c>
      <c r="V25" s="1307" t="s">
        <v>8</v>
      </c>
      <c r="W25" s="1308">
        <f>J25</f>
        <v>100</v>
      </c>
      <c r="X25" s="1302"/>
      <c r="Y25" s="3615"/>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5"/>
      <c r="Q26" s="1306" t="str">
        <f t="shared" si="8"/>
        <v>朝向</v>
      </c>
      <c r="R26" s="1307" t="s">
        <v>8</v>
      </c>
      <c r="S26" s="1308">
        <f>F26</f>
        <v>100</v>
      </c>
      <c r="T26" s="1307" t="s">
        <v>8</v>
      </c>
      <c r="U26" s="1308">
        <f>H26</f>
        <v>100</v>
      </c>
      <c r="V26" s="1307" t="s">
        <v>8</v>
      </c>
      <c r="W26" s="1308">
        <f>J26</f>
        <v>100</v>
      </c>
      <c r="X26" s="1302"/>
      <c r="Y26" s="3615"/>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5"/>
      <c r="Q27" s="818" t="str">
        <f t="shared" si="8"/>
        <v>道路级别</v>
      </c>
      <c r="R27" s="1303" t="s">
        <v>8</v>
      </c>
      <c r="S27" s="1304">
        <f>F27</f>
        <v>100</v>
      </c>
      <c r="T27" s="1303" t="s">
        <v>8</v>
      </c>
      <c r="U27" s="1304">
        <f>H27</f>
        <v>100</v>
      </c>
      <c r="V27" s="1303" t="s">
        <v>8</v>
      </c>
      <c r="W27" s="1304">
        <f>J27</f>
        <v>100</v>
      </c>
      <c r="X27" s="1305"/>
      <c r="Y27" s="3615"/>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5"/>
      <c r="Q28" s="1306">
        <f t="shared" si="8"/>
        <v>111</v>
      </c>
      <c r="R28" s="1307" t="s">
        <v>8</v>
      </c>
      <c r="S28" s="1308">
        <f t="shared" ref="S28:S46" si="9">F28</f>
        <v>100</v>
      </c>
      <c r="T28" s="1307" t="s">
        <v>8</v>
      </c>
      <c r="U28" s="1308">
        <f t="shared" ref="U28:U46" si="10">H28</f>
        <v>100</v>
      </c>
      <c r="V28" s="1307" t="s">
        <v>8</v>
      </c>
      <c r="W28" s="1308">
        <f t="shared" ref="W28:W46" si="11">J28</f>
        <v>100</v>
      </c>
      <c r="X28" s="1302"/>
      <c r="Y28" s="3615"/>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5"/>
      <c r="Q29" s="1306">
        <f t="shared" si="8"/>
        <v>111</v>
      </c>
      <c r="R29" s="1307" t="s">
        <v>8</v>
      </c>
      <c r="S29" s="1308">
        <f t="shared" si="9"/>
        <v>100</v>
      </c>
      <c r="T29" s="1307" t="s">
        <v>8</v>
      </c>
      <c r="U29" s="1308">
        <f t="shared" si="10"/>
        <v>100</v>
      </c>
      <c r="V29" s="1307" t="s">
        <v>8</v>
      </c>
      <c r="W29" s="1308">
        <f t="shared" si="11"/>
        <v>100</v>
      </c>
      <c r="X29" s="1302"/>
      <c r="Y29" s="361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5"/>
      <c r="Q30" s="1306">
        <f t="shared" si="8"/>
        <v>111</v>
      </c>
      <c r="R30" s="1307" t="s">
        <v>8</v>
      </c>
      <c r="S30" s="1308">
        <f t="shared" si="9"/>
        <v>100</v>
      </c>
      <c r="T30" s="1307" t="s">
        <v>8</v>
      </c>
      <c r="U30" s="1308">
        <f t="shared" si="10"/>
        <v>100</v>
      </c>
      <c r="V30" s="1307" t="s">
        <v>8</v>
      </c>
      <c r="W30" s="1308">
        <f t="shared" si="11"/>
        <v>100</v>
      </c>
      <c r="X30" s="1302"/>
      <c r="Y30" s="3615"/>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5"/>
      <c r="Q31" s="1306">
        <f t="shared" si="8"/>
        <v>111</v>
      </c>
      <c r="R31" s="1307" t="s">
        <v>8</v>
      </c>
      <c r="S31" s="1308">
        <f t="shared" si="9"/>
        <v>100</v>
      </c>
      <c r="T31" s="1307" t="s">
        <v>8</v>
      </c>
      <c r="U31" s="1308">
        <f t="shared" si="10"/>
        <v>100</v>
      </c>
      <c r="V31" s="1307" t="s">
        <v>8</v>
      </c>
      <c r="W31" s="1308">
        <f t="shared" si="11"/>
        <v>100</v>
      </c>
      <c r="X31" s="1302"/>
      <c r="Y31" s="3615"/>
      <c r="Z31" s="1309">
        <f t="shared" si="12"/>
        <v>111</v>
      </c>
      <c r="AA31" s="1309">
        <f t="shared" si="3"/>
        <v>1</v>
      </c>
      <c r="AB31" s="1309">
        <f t="shared" si="4"/>
        <v>1</v>
      </c>
      <c r="AC31" s="1309">
        <f t="shared" si="5"/>
        <v>1</v>
      </c>
    </row>
    <row r="32" spans="1:29" ht="15">
      <c r="A32" s="2204"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49"/>
      <c r="M32" s="1742"/>
      <c r="N32" s="1742"/>
      <c r="O32" s="1748"/>
      <c r="P32" s="3616" t="s">
        <v>499</v>
      </c>
      <c r="Q32" s="1306" t="str">
        <f t="shared" si="8"/>
        <v>建筑类型</v>
      </c>
      <c r="R32" s="1307" t="s">
        <v>8</v>
      </c>
      <c r="S32" s="1308">
        <f t="shared" si="9"/>
        <v>100</v>
      </c>
      <c r="T32" s="1307" t="s">
        <v>8</v>
      </c>
      <c r="U32" s="1308">
        <f t="shared" si="10"/>
        <v>103</v>
      </c>
      <c r="V32" s="1307" t="s">
        <v>8</v>
      </c>
      <c r="W32" s="1308">
        <f t="shared" si="11"/>
        <v>100</v>
      </c>
      <c r="X32" s="1302"/>
      <c r="Y32" s="3617"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17"/>
      <c r="Q33" s="819" t="str">
        <f t="shared" si="8"/>
        <v>项目建筑规模</v>
      </c>
      <c r="R33" s="1310" t="s">
        <v>8</v>
      </c>
      <c r="S33" s="1311">
        <f t="shared" si="9"/>
        <v>100</v>
      </c>
      <c r="T33" s="1310" t="s">
        <v>8</v>
      </c>
      <c r="U33" s="1311">
        <f t="shared" si="10"/>
        <v>100</v>
      </c>
      <c r="V33" s="1310" t="s">
        <v>8</v>
      </c>
      <c r="W33" s="1311">
        <f t="shared" si="11"/>
        <v>100</v>
      </c>
      <c r="X33" s="1312"/>
      <c r="Y33" s="3617"/>
      <c r="Z33" s="1313" t="str">
        <f t="shared" si="12"/>
        <v>项目建筑规模</v>
      </c>
      <c r="AA33" s="1309">
        <f t="shared" si="3"/>
        <v>1</v>
      </c>
      <c r="AB33" s="1309">
        <f t="shared" si="4"/>
        <v>1</v>
      </c>
      <c r="AC33" s="1309">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49"/>
      <c r="M34" s="1742"/>
      <c r="N34" s="1742"/>
      <c r="O34" s="1748"/>
      <c r="P34" s="3617"/>
      <c r="Q34" s="1306" t="str">
        <f t="shared" si="8"/>
        <v>建筑结构</v>
      </c>
      <c r="R34" s="1307" t="s">
        <v>8</v>
      </c>
      <c r="S34" s="1308">
        <f t="shared" si="9"/>
        <v>100</v>
      </c>
      <c r="T34" s="1307" t="s">
        <v>8</v>
      </c>
      <c r="U34" s="1308">
        <f t="shared" si="10"/>
        <v>100</v>
      </c>
      <c r="V34" s="1307" t="s">
        <v>8</v>
      </c>
      <c r="W34" s="1308">
        <f t="shared" si="11"/>
        <v>100</v>
      </c>
      <c r="X34" s="1302"/>
      <c r="Y34" s="3617"/>
      <c r="Z34" s="1309" t="str">
        <f t="shared" si="12"/>
        <v>建筑结构</v>
      </c>
      <c r="AA34" s="1309">
        <f t="shared" si="3"/>
        <v>1</v>
      </c>
      <c r="AB34" s="1309">
        <f t="shared" si="4"/>
        <v>1</v>
      </c>
      <c r="AC34" s="1309">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49"/>
      <c r="M35" s="1742"/>
      <c r="N35" s="1742"/>
      <c r="O35" s="1748"/>
      <c r="P35" s="3617"/>
      <c r="Q35" s="1306" t="str">
        <f t="shared" si="8"/>
        <v>建筑品质</v>
      </c>
      <c r="R35" s="1307" t="s">
        <v>8</v>
      </c>
      <c r="S35" s="1308">
        <f t="shared" si="9"/>
        <v>100</v>
      </c>
      <c r="T35" s="1307" t="s">
        <v>8</v>
      </c>
      <c r="U35" s="1308">
        <f t="shared" si="10"/>
        <v>100</v>
      </c>
      <c r="V35" s="1307" t="s">
        <v>8</v>
      </c>
      <c r="W35" s="1308">
        <f t="shared" si="11"/>
        <v>100</v>
      </c>
      <c r="X35" s="1302"/>
      <c r="Y35" s="3617"/>
      <c r="Z35" s="1309" t="str">
        <f t="shared" si="12"/>
        <v>建筑品质</v>
      </c>
      <c r="AA35" s="1309">
        <f t="shared" si="3"/>
        <v>1</v>
      </c>
      <c r="AB35" s="1309">
        <f t="shared" si="4"/>
        <v>1</v>
      </c>
      <c r="AC35" s="1309">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49"/>
      <c r="M36" s="1742"/>
      <c r="N36" s="1742"/>
      <c r="O36" s="1748"/>
      <c r="P36" s="3617"/>
      <c r="Q36" s="1306" t="str">
        <f t="shared" si="8"/>
        <v>公共部分装修</v>
      </c>
      <c r="R36" s="1307" t="s">
        <v>8</v>
      </c>
      <c r="S36" s="1308">
        <f t="shared" si="9"/>
        <v>100</v>
      </c>
      <c r="T36" s="1307" t="s">
        <v>8</v>
      </c>
      <c r="U36" s="1308">
        <f t="shared" si="10"/>
        <v>100</v>
      </c>
      <c r="V36" s="1307" t="s">
        <v>8</v>
      </c>
      <c r="W36" s="1308">
        <f t="shared" si="11"/>
        <v>100</v>
      </c>
      <c r="X36" s="1302"/>
      <c r="Y36" s="3617"/>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17"/>
      <c r="Q37" s="818" t="str">
        <f t="shared" si="8"/>
        <v>成新度</v>
      </c>
      <c r="R37" s="1303" t="s">
        <v>8</v>
      </c>
      <c r="S37" s="1304">
        <f t="shared" si="9"/>
        <v>100</v>
      </c>
      <c r="T37" s="1303" t="s">
        <v>8</v>
      </c>
      <c r="U37" s="1304">
        <f t="shared" si="10"/>
        <v>100</v>
      </c>
      <c r="V37" s="1303" t="s">
        <v>8</v>
      </c>
      <c r="W37" s="1304">
        <f t="shared" si="11"/>
        <v>100</v>
      </c>
      <c r="X37" s="1305"/>
      <c r="Y37" s="3617"/>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49"/>
      <c r="M38" s="1742"/>
      <c r="N38" s="1742"/>
      <c r="O38" s="1748"/>
      <c r="P38" s="3617" t="s">
        <v>499</v>
      </c>
      <c r="Q38" s="1306" t="str">
        <f t="shared" si="8"/>
        <v>物业管理</v>
      </c>
      <c r="R38" s="1307" t="s">
        <v>8</v>
      </c>
      <c r="S38" s="1308">
        <f t="shared" si="9"/>
        <v>100</v>
      </c>
      <c r="T38" s="1307" t="s">
        <v>8</v>
      </c>
      <c r="U38" s="1308">
        <f t="shared" si="10"/>
        <v>100</v>
      </c>
      <c r="V38" s="1307" t="s">
        <v>8</v>
      </c>
      <c r="W38" s="1308">
        <f t="shared" si="11"/>
        <v>100</v>
      </c>
      <c r="X38" s="1302"/>
      <c r="Y38" s="3617" t="s">
        <v>499</v>
      </c>
      <c r="Z38" s="1309" t="str">
        <f t="shared" si="12"/>
        <v>物业管理</v>
      </c>
      <c r="AA38" s="1309">
        <f t="shared" si="3"/>
        <v>1</v>
      </c>
      <c r="AB38" s="1309">
        <f t="shared" si="4"/>
        <v>1</v>
      </c>
      <c r="AC38" s="1309">
        <f t="shared" si="5"/>
        <v>1</v>
      </c>
    </row>
    <row r="39" spans="1:29" ht="15">
      <c r="A39" s="543"/>
      <c r="B39" s="1554"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49"/>
      <c r="M39" s="1742"/>
      <c r="N39" s="1742"/>
      <c r="O39" s="1748"/>
      <c r="P39" s="3617"/>
      <c r="Q39" s="1306" t="str">
        <f t="shared" si="8"/>
        <v>市政基础设施</v>
      </c>
      <c r="R39" s="1307" t="s">
        <v>8</v>
      </c>
      <c r="S39" s="1308">
        <f t="shared" si="9"/>
        <v>100</v>
      </c>
      <c r="T39" s="1307" t="s">
        <v>8</v>
      </c>
      <c r="U39" s="1308">
        <f t="shared" si="10"/>
        <v>100</v>
      </c>
      <c r="V39" s="1307" t="s">
        <v>8</v>
      </c>
      <c r="W39" s="1308">
        <f t="shared" si="11"/>
        <v>100</v>
      </c>
      <c r="X39" s="1302"/>
      <c r="Y39" s="3617"/>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7"/>
      <c r="Q40" s="1306" t="str">
        <f t="shared" si="8"/>
        <v>房型</v>
      </c>
      <c r="R40" s="1307" t="s">
        <v>8</v>
      </c>
      <c r="S40" s="1308">
        <f t="shared" si="9"/>
        <v>100</v>
      </c>
      <c r="T40" s="1307" t="s">
        <v>8</v>
      </c>
      <c r="U40" s="1308">
        <f t="shared" si="10"/>
        <v>100</v>
      </c>
      <c r="V40" s="1307" t="s">
        <v>8</v>
      </c>
      <c r="W40" s="1308">
        <f t="shared" si="11"/>
        <v>100</v>
      </c>
      <c r="X40" s="1302"/>
      <c r="Y40" s="3617"/>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7"/>
      <c r="Q41" s="819" t="str">
        <f t="shared" si="8"/>
        <v>单套/主力户型建筑面积</v>
      </c>
      <c r="R41" s="1310" t="s">
        <v>8</v>
      </c>
      <c r="S41" s="1311">
        <f t="shared" si="9"/>
        <v>100</v>
      </c>
      <c r="T41" s="1310" t="s">
        <v>8</v>
      </c>
      <c r="U41" s="1311">
        <f t="shared" si="10"/>
        <v>100</v>
      </c>
      <c r="V41" s="1310" t="s">
        <v>8</v>
      </c>
      <c r="W41" s="1311">
        <f t="shared" si="11"/>
        <v>100</v>
      </c>
      <c r="X41" s="1312"/>
      <c r="Y41" s="3617"/>
      <c r="Z41" s="1313" t="str">
        <f t="shared" si="12"/>
        <v>单套/主力户型建筑面积</v>
      </c>
      <c r="AA41" s="1309">
        <f t="shared" si="3"/>
        <v>1</v>
      </c>
      <c r="AB41" s="1309">
        <f t="shared" si="4"/>
        <v>1</v>
      </c>
      <c r="AC41" s="1309">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49"/>
      <c r="M42" s="1742"/>
      <c r="N42" s="1742"/>
      <c r="O42" s="1748"/>
      <c r="P42" s="3617"/>
      <c r="Q42" s="1306" t="str">
        <f t="shared" si="8"/>
        <v>内部装修</v>
      </c>
      <c r="R42" s="1307" t="s">
        <v>8</v>
      </c>
      <c r="S42" s="1308">
        <f t="shared" si="9"/>
        <v>100</v>
      </c>
      <c r="T42" s="1307" t="s">
        <v>8</v>
      </c>
      <c r="U42" s="1308">
        <f t="shared" si="10"/>
        <v>100</v>
      </c>
      <c r="V42" s="1307" t="s">
        <v>8</v>
      </c>
      <c r="W42" s="1308">
        <f t="shared" si="11"/>
        <v>100</v>
      </c>
      <c r="X42" s="1302"/>
      <c r="Y42" s="3617"/>
      <c r="Z42" s="1309" t="str">
        <f t="shared" si="12"/>
        <v>内部装修</v>
      </c>
      <c r="AA42" s="1309">
        <f t="shared" si="3"/>
        <v>1</v>
      </c>
      <c r="AB42" s="1309">
        <f t="shared" si="4"/>
        <v>1</v>
      </c>
      <c r="AC42" s="1309">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49"/>
      <c r="M43" s="1742"/>
      <c r="N43" s="1742"/>
      <c r="O43" s="1748"/>
      <c r="P43" s="3617"/>
      <c r="Q43" s="1306" t="str">
        <f t="shared" si="8"/>
        <v>内部装修维护情况</v>
      </c>
      <c r="R43" s="1307" t="s">
        <v>8</v>
      </c>
      <c r="S43" s="1308">
        <f t="shared" si="9"/>
        <v>100</v>
      </c>
      <c r="T43" s="1307" t="s">
        <v>8</v>
      </c>
      <c r="U43" s="1308">
        <f t="shared" si="10"/>
        <v>100</v>
      </c>
      <c r="V43" s="1307" t="s">
        <v>8</v>
      </c>
      <c r="W43" s="1308">
        <f t="shared" si="11"/>
        <v>100</v>
      </c>
      <c r="X43" s="1302"/>
      <c r="Y43" s="361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7"/>
      <c r="Q44" s="818">
        <f t="shared" si="8"/>
        <v>111</v>
      </c>
      <c r="R44" s="1303" t="s">
        <v>8</v>
      </c>
      <c r="S44" s="1304">
        <f t="shared" si="9"/>
        <v>100</v>
      </c>
      <c r="T44" s="1303" t="s">
        <v>8</v>
      </c>
      <c r="U44" s="1304">
        <f t="shared" si="10"/>
        <v>100</v>
      </c>
      <c r="V44" s="1303" t="s">
        <v>8</v>
      </c>
      <c r="W44" s="1304">
        <f t="shared" si="11"/>
        <v>100</v>
      </c>
      <c r="X44" s="1305"/>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7"/>
      <c r="Q45" s="1306">
        <f t="shared" si="8"/>
        <v>111</v>
      </c>
      <c r="R45" s="1307" t="s">
        <v>8</v>
      </c>
      <c r="S45" s="1308">
        <f t="shared" si="9"/>
        <v>100</v>
      </c>
      <c r="T45" s="1307" t="s">
        <v>8</v>
      </c>
      <c r="U45" s="1308">
        <f t="shared" si="10"/>
        <v>100</v>
      </c>
      <c r="V45" s="1307" t="s">
        <v>8</v>
      </c>
      <c r="W45" s="1308">
        <f t="shared" si="11"/>
        <v>100</v>
      </c>
      <c r="X45" s="1302"/>
      <c r="Y45" s="3617"/>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7"/>
      <c r="Q46" s="1306">
        <f t="shared" si="8"/>
        <v>111</v>
      </c>
      <c r="R46" s="1307" t="s">
        <v>7</v>
      </c>
      <c r="S46" s="1308">
        <f t="shared" si="9"/>
        <v>100</v>
      </c>
      <c r="T46" s="1307" t="s">
        <v>7</v>
      </c>
      <c r="U46" s="1308">
        <f t="shared" si="10"/>
        <v>100</v>
      </c>
      <c r="V46" s="1307" t="s">
        <v>7</v>
      </c>
      <c r="W46" s="1308">
        <f t="shared" si="11"/>
        <v>100</v>
      </c>
      <c r="X46" s="1302"/>
      <c r="Y46" s="3727"/>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612" t="str">
        <f>A47</f>
        <v>成交单价（元/平方米）</v>
      </c>
      <c r="Q47" s="3612"/>
      <c r="R47" s="3628">
        <f>E47</f>
        <v>37029</v>
      </c>
      <c r="S47" s="3628"/>
      <c r="T47" s="3628">
        <f>G47</f>
        <v>31060</v>
      </c>
      <c r="U47" s="3628"/>
      <c r="V47" s="3628">
        <f>I47</f>
        <v>32332</v>
      </c>
      <c r="W47" s="3628"/>
      <c r="X47" s="799"/>
      <c r="Y47" s="1314"/>
      <c r="Z47" s="799"/>
      <c r="AA47" s="799"/>
      <c r="AB47" s="799"/>
      <c r="AC47" s="799"/>
    </row>
    <row r="48" spans="1:29" ht="15" thickBot="1">
      <c r="A48" s="564" t="s">
        <v>2042</v>
      </c>
      <c r="B48" s="813"/>
      <c r="C48" s="2082">
        <f>R49</f>
        <v>32706</v>
      </c>
      <c r="D48" s="2550" t="s">
        <v>2250</v>
      </c>
      <c r="E48" s="2083">
        <f>R48</f>
        <v>35950</v>
      </c>
      <c r="F48" s="2551"/>
      <c r="G48" s="2082">
        <f>T48</f>
        <v>30460</v>
      </c>
      <c r="H48" s="2551"/>
      <c r="I48" s="2083">
        <f>V48</f>
        <v>31707</v>
      </c>
      <c r="J48" s="2551"/>
      <c r="K48" s="2558">
        <f>F48+H48+J48</f>
        <v>0</v>
      </c>
      <c r="L48" s="1751"/>
      <c r="M48" s="1742"/>
      <c r="N48" s="1742"/>
      <c r="O48" s="1742"/>
      <c r="P48" s="3612" t="str">
        <f>A48</f>
        <v>比较价格（元/平方米）</v>
      </c>
      <c r="Q48" s="3612"/>
      <c r="R48" s="3628">
        <f>IF(F1="售价",ROUND(PRODUCT(R47,AA7:AA46),0),ROUND(PRODUCT(R47,AA7:AA46),1))</f>
        <v>35950</v>
      </c>
      <c r="S48" s="3628"/>
      <c r="T48" s="3628">
        <f>IF(F1="售价",ROUND(PRODUCT(T47,AB7:AB46),0),ROUND(PRODUCT(T47,AB7:AB46),1))</f>
        <v>30460</v>
      </c>
      <c r="U48" s="3628"/>
      <c r="V48" s="3628">
        <f>IF(F1="售价",ROUND(PRODUCT(V47,AC7:AC46),0),ROUND(PRODUCT(V47,AC7:AC46),1))</f>
        <v>31707</v>
      </c>
      <c r="W48" s="3628"/>
      <c r="X48" s="799"/>
      <c r="Y48" s="799"/>
      <c r="Z48" s="799"/>
      <c r="AA48" s="799"/>
      <c r="AB48" s="799"/>
      <c r="AC48" s="799"/>
    </row>
    <row r="49" spans="1:29" ht="15" thickBot="1">
      <c r="A49" s="568" t="s">
        <v>2187</v>
      </c>
      <c r="B49" s="569"/>
      <c r="C49" s="469">
        <f>R49</f>
        <v>32706</v>
      </c>
      <c r="D49" s="469"/>
      <c r="E49" s="469"/>
      <c r="F49" s="469"/>
      <c r="G49" s="469"/>
      <c r="H49" s="469"/>
      <c r="I49" s="469"/>
      <c r="J49" s="469"/>
      <c r="K49" s="1332"/>
      <c r="L49" s="1751"/>
      <c r="M49" s="1742"/>
      <c r="N49" s="1742"/>
      <c r="O49" s="1742"/>
      <c r="P49" s="3618" t="str">
        <f>A49</f>
        <v>估价对象XX用房的比较价格（楼面单价，元/平方米）</v>
      </c>
      <c r="Q49" s="3619"/>
      <c r="R49" s="3726">
        <f>IF(F1="售价",ROUND(IF(D48="简单平均",AVERAGE(R48:V48),R48*F48+T48*H48+V48*J48),0),ROUND(IF(D48="简单平均",AVERAGE(R48:V48),R48*F48+T48*H48+V48*J48),1))</f>
        <v>32706</v>
      </c>
      <c r="S49" s="3726"/>
      <c r="T49" s="3726"/>
      <c r="U49" s="3726"/>
      <c r="V49" s="3726"/>
      <c r="W49" s="3726"/>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3482</v>
      </c>
      <c r="D100" s="547" t="s">
        <v>3481</v>
      </c>
      <c r="E100" s="547" t="s">
        <v>3475</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3476</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3483</v>
      </c>
      <c r="D107" s="3419" t="s">
        <v>3484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3485</v>
      </c>
      <c r="D109" s="3421" t="s">
        <v>3486</v>
      </c>
      <c r="E109" s="3421" t="s">
        <v>3487</v>
      </c>
      <c r="F109" s="3419" t="s">
        <v>3488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3489</v>
      </c>
      <c r="D114" s="3421" t="s">
        <v>3490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3485</v>
      </c>
      <c r="D122" s="3421" t="s">
        <v>3486</v>
      </c>
      <c r="E122" s="3421" t="s">
        <v>3487</v>
      </c>
      <c r="F122" s="3419" t="s">
        <v>3488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5" priority="14"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F7:F46 H7:H46 J7:J46">
    <cfRule type="cellIs" dxfId="92" priority="1" operator="notEqual">
      <formula>100</formula>
    </cfRule>
  </conditionalFormatting>
  <conditionalFormatting sqref="F48">
    <cfRule type="expression" dxfId="91" priority="4">
      <formula>$D$48="简单平均"</formula>
    </cfRule>
  </conditionalFormatting>
  <conditionalFormatting sqref="F52:F54 H52:H54 J52:J54">
    <cfRule type="containsText" dxfId="90" priority="15" stopIfTrue="1" operator="containsText" text="超过">
      <formula>NOT(ISERROR(SEARCH("超过",F52)))</formula>
    </cfRule>
  </conditionalFormatting>
  <conditionalFormatting sqref="G52">
    <cfRule type="expression" dxfId="89" priority="9" stopIfTrue="1">
      <formula>$H$52="超过30%"</formula>
    </cfRule>
  </conditionalFormatting>
  <conditionalFormatting sqref="G53">
    <cfRule type="expression" dxfId="88" priority="8" stopIfTrue="1">
      <formula>$H$53="超过20%"</formula>
    </cfRule>
  </conditionalFormatting>
  <conditionalFormatting sqref="G54">
    <cfRule type="expression" dxfId="87" priority="12" stopIfTrue="1">
      <formula>$H$54="超过30%"</formula>
    </cfRule>
  </conditionalFormatting>
  <conditionalFormatting sqref="H48">
    <cfRule type="expression" dxfId="86" priority="3">
      <formula>$D$48="简单平均"</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J48">
    <cfRule type="expression" dxfId="82"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28" t="s">
        <v>473</v>
      </c>
      <c r="AC4" s="3601" t="s">
        <v>474</v>
      </c>
    </row>
    <row r="5" spans="1:29">
      <c r="A5" s="466"/>
      <c r="B5" s="467"/>
      <c r="C5" s="3631" t="s">
        <v>2181</v>
      </c>
      <c r="D5" s="3632"/>
      <c r="E5" s="3644" t="s">
        <v>2182</v>
      </c>
      <c r="F5" s="3645"/>
      <c r="G5" s="3631" t="s">
        <v>2183</v>
      </c>
      <c r="H5" s="3632"/>
      <c r="I5" s="3631" t="s">
        <v>2184</v>
      </c>
      <c r="J5" s="3632"/>
      <c r="K5" s="465"/>
      <c r="L5" s="1741"/>
      <c r="M5" s="1742"/>
      <c r="N5" s="1742"/>
      <c r="O5" s="1742"/>
      <c r="P5" s="3624"/>
      <c r="Q5" s="3625"/>
      <c r="R5" s="3608"/>
      <c r="S5" s="3609"/>
      <c r="T5" s="3608"/>
      <c r="U5" s="3609"/>
      <c r="V5" s="3628"/>
      <c r="W5" s="3628"/>
      <c r="X5" s="1302"/>
      <c r="Y5" s="3608"/>
      <c r="Z5" s="3609"/>
      <c r="AA5" s="3602"/>
      <c r="AB5" s="3628"/>
      <c r="AC5" s="3602"/>
    </row>
    <row r="6" spans="1:29" ht="15" thickBot="1">
      <c r="A6" s="468"/>
      <c r="B6" s="469"/>
      <c r="C6" s="3629" t="s">
        <v>2185</v>
      </c>
      <c r="D6" s="3630"/>
      <c r="E6" s="3646" t="s">
        <v>2185</v>
      </c>
      <c r="F6" s="3647"/>
      <c r="G6" s="3629" t="s">
        <v>2185</v>
      </c>
      <c r="H6" s="3630"/>
      <c r="I6" s="3629" t="s">
        <v>2185</v>
      </c>
      <c r="J6" s="3630"/>
      <c r="K6" s="465" t="s">
        <v>477</v>
      </c>
      <c r="L6" s="1741"/>
      <c r="M6" s="1742"/>
      <c r="N6" s="1742"/>
      <c r="O6" s="1742"/>
      <c r="P6" s="3626"/>
      <c r="Q6" s="3627"/>
      <c r="R6" s="3608"/>
      <c r="S6" s="3609"/>
      <c r="T6" s="3610"/>
      <c r="U6" s="3611"/>
      <c r="V6" s="3628"/>
      <c r="W6" s="3628"/>
      <c r="X6" s="1302"/>
      <c r="Y6" s="3610"/>
      <c r="Z6" s="3611"/>
      <c r="AA6" s="3603"/>
      <c r="AB6" s="3628"/>
      <c r="AC6" s="3603"/>
    </row>
    <row r="7" spans="1:29" s="1060" customFormat="1" ht="1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4" t="s">
        <v>489</v>
      </c>
      <c r="Q15" s="1306" t="str">
        <f t="shared" si="6"/>
        <v>商业繁华度</v>
      </c>
      <c r="R15" s="1307" t="s">
        <v>5</v>
      </c>
      <c r="S15" s="1308">
        <f t="shared" si="0"/>
        <v>100</v>
      </c>
      <c r="T15" s="1307" t="s">
        <v>5</v>
      </c>
      <c r="U15" s="1308">
        <f t="shared" si="1"/>
        <v>100</v>
      </c>
      <c r="V15" s="1307" t="s">
        <v>5</v>
      </c>
      <c r="W15" s="1308">
        <f t="shared" si="2"/>
        <v>100</v>
      </c>
      <c r="X15" s="1302"/>
      <c r="Y15" s="3614"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5"/>
      <c r="Q23" s="1306" t="str">
        <f>B23</f>
        <v>自然及人文环境</v>
      </c>
      <c r="R23" s="1307" t="s">
        <v>5</v>
      </c>
      <c r="S23" s="1308">
        <f>F23</f>
        <v>100</v>
      </c>
      <c r="T23" s="1307" t="s">
        <v>5</v>
      </c>
      <c r="U23" s="1308">
        <f>H23</f>
        <v>100</v>
      </c>
      <c r="V23" s="1307" t="s">
        <v>5</v>
      </c>
      <c r="W23" s="1308">
        <f>J23</f>
        <v>100</v>
      </c>
      <c r="X23" s="1302"/>
      <c r="Y23" s="3615"/>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5"/>
      <c r="Q25" s="1306" t="str">
        <f t="shared" ref="Q25:Q46" si="8">B25</f>
        <v>临街状况</v>
      </c>
      <c r="R25" s="1307" t="s">
        <v>5</v>
      </c>
      <c r="S25" s="1308">
        <f>F25</f>
        <v>100</v>
      </c>
      <c r="T25" s="1307" t="s">
        <v>5</v>
      </c>
      <c r="U25" s="1308">
        <f>H25</f>
        <v>100</v>
      </c>
      <c r="V25" s="1307" t="s">
        <v>5</v>
      </c>
      <c r="W25" s="1308">
        <f>J25</f>
        <v>100</v>
      </c>
      <c r="X25" s="1302"/>
      <c r="Y25" s="3615"/>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5"/>
      <c r="Q26" s="1306" t="str">
        <f t="shared" si="8"/>
        <v>平面位置/可视性</v>
      </c>
      <c r="R26" s="1307" t="s">
        <v>5</v>
      </c>
      <c r="S26" s="1308">
        <f>F26</f>
        <v>100</v>
      </c>
      <c r="T26" s="1307" t="s">
        <v>5</v>
      </c>
      <c r="U26" s="1308">
        <f>H26</f>
        <v>100</v>
      </c>
      <c r="V26" s="1307" t="s">
        <v>5</v>
      </c>
      <c r="W26" s="1308">
        <f>J26</f>
        <v>100</v>
      </c>
      <c r="X26" s="1302"/>
      <c r="Y26" s="3615"/>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5"/>
      <c r="Q27" s="818" t="str">
        <f t="shared" si="8"/>
        <v>人流量</v>
      </c>
      <c r="R27" s="1303" t="s">
        <v>5</v>
      </c>
      <c r="S27" s="1304">
        <f>F27</f>
        <v>100</v>
      </c>
      <c r="T27" s="1303" t="s">
        <v>5</v>
      </c>
      <c r="U27" s="1304">
        <f>H27</f>
        <v>100</v>
      </c>
      <c r="V27" s="1303" t="s">
        <v>5</v>
      </c>
      <c r="W27" s="1304">
        <f>J27</f>
        <v>100</v>
      </c>
      <c r="X27" s="1305"/>
      <c r="Y27" s="3615"/>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5"/>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5"/>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5"/>
      <c r="Q29" s="1306">
        <f t="shared" si="8"/>
        <v>111</v>
      </c>
      <c r="R29" s="1307" t="s">
        <v>5</v>
      </c>
      <c r="S29" s="1308">
        <f t="shared" si="9"/>
        <v>100</v>
      </c>
      <c r="T29" s="1307" t="s">
        <v>5</v>
      </c>
      <c r="U29" s="1308">
        <f t="shared" si="10"/>
        <v>100</v>
      </c>
      <c r="V29" s="1307" t="s">
        <v>5</v>
      </c>
      <c r="W29" s="1308">
        <f t="shared" si="11"/>
        <v>100</v>
      </c>
      <c r="X29" s="1302"/>
      <c r="Y29" s="361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6" t="s">
        <v>499</v>
      </c>
      <c r="Q32" s="1306" t="str">
        <f t="shared" si="8"/>
        <v>商业类型</v>
      </c>
      <c r="R32" s="1307" t="s">
        <v>5</v>
      </c>
      <c r="S32" s="1308">
        <f t="shared" si="9"/>
        <v>100</v>
      </c>
      <c r="T32" s="1307" t="s">
        <v>5</v>
      </c>
      <c r="U32" s="1308">
        <f t="shared" si="10"/>
        <v>100</v>
      </c>
      <c r="V32" s="1307" t="s">
        <v>5</v>
      </c>
      <c r="W32" s="1308">
        <f t="shared" si="11"/>
        <v>100</v>
      </c>
      <c r="X32" s="1302"/>
      <c r="Y32" s="3617"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7"/>
      <c r="Q33" s="819" t="str">
        <f t="shared" si="8"/>
        <v>项目建筑规模</v>
      </c>
      <c r="R33" s="1310" t="s">
        <v>5</v>
      </c>
      <c r="S33" s="1311" t="e">
        <f t="shared" si="9"/>
        <v>#N/A</v>
      </c>
      <c r="T33" s="1310" t="s">
        <v>5</v>
      </c>
      <c r="U33" s="1311" t="e">
        <f t="shared" si="10"/>
        <v>#N/A</v>
      </c>
      <c r="V33" s="1310" t="s">
        <v>5</v>
      </c>
      <c r="W33" s="1311" t="e">
        <f t="shared" si="11"/>
        <v>#N/A</v>
      </c>
      <c r="X33" s="1312"/>
      <c r="Y33" s="3617"/>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7"/>
      <c r="Q34" s="1306" t="str">
        <f t="shared" si="8"/>
        <v>建筑结构</v>
      </c>
      <c r="R34" s="1307" t="s">
        <v>5</v>
      </c>
      <c r="S34" s="1308">
        <f t="shared" si="9"/>
        <v>100</v>
      </c>
      <c r="T34" s="1307" t="s">
        <v>5</v>
      </c>
      <c r="U34" s="1308">
        <f t="shared" si="10"/>
        <v>100</v>
      </c>
      <c r="V34" s="1307" t="s">
        <v>5</v>
      </c>
      <c r="W34" s="1308">
        <f t="shared" si="11"/>
        <v>100</v>
      </c>
      <c r="X34" s="1302"/>
      <c r="Y34" s="3617"/>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7"/>
      <c r="Q35" s="1306" t="str">
        <f t="shared" si="8"/>
        <v>公共部分装修</v>
      </c>
      <c r="R35" s="1307" t="s">
        <v>5</v>
      </c>
      <c r="S35" s="1308">
        <f t="shared" si="9"/>
        <v>100</v>
      </c>
      <c r="T35" s="1307" t="s">
        <v>5</v>
      </c>
      <c r="U35" s="1308">
        <f t="shared" si="10"/>
        <v>100</v>
      </c>
      <c r="V35" s="1307" t="s">
        <v>5</v>
      </c>
      <c r="W35" s="1308">
        <f t="shared" si="11"/>
        <v>100</v>
      </c>
      <c r="X35" s="1302"/>
      <c r="Y35" s="3617"/>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17"/>
      <c r="Q36" s="1306" t="str">
        <f t="shared" si="8"/>
        <v>成新度</v>
      </c>
      <c r="R36" s="1307" t="s">
        <v>5</v>
      </c>
      <c r="S36" s="1308" t="e">
        <f t="shared" si="9"/>
        <v>#N/A</v>
      </c>
      <c r="T36" s="1307" t="s">
        <v>5</v>
      </c>
      <c r="U36" s="1308" t="e">
        <f t="shared" si="10"/>
        <v>#N/A</v>
      </c>
      <c r="V36" s="1307" t="s">
        <v>5</v>
      </c>
      <c r="W36" s="1308" t="e">
        <f t="shared" si="11"/>
        <v>#N/A</v>
      </c>
      <c r="X36" s="1302"/>
      <c r="Y36" s="3617"/>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7"/>
      <c r="Q37" s="818" t="str">
        <f t="shared" si="8"/>
        <v>市政基础设施</v>
      </c>
      <c r="R37" s="1303" t="s">
        <v>5</v>
      </c>
      <c r="S37" s="1304">
        <f t="shared" si="9"/>
        <v>100</v>
      </c>
      <c r="T37" s="1303" t="s">
        <v>5</v>
      </c>
      <c r="U37" s="1304">
        <f t="shared" si="10"/>
        <v>100</v>
      </c>
      <c r="V37" s="1303" t="s">
        <v>5</v>
      </c>
      <c r="W37" s="1304">
        <f t="shared" si="11"/>
        <v>100</v>
      </c>
      <c r="X37" s="1305"/>
      <c r="Y37" s="3617"/>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7" t="s">
        <v>706</v>
      </c>
      <c r="Q38" s="1306" t="str">
        <f t="shared" si="8"/>
        <v>业态</v>
      </c>
      <c r="R38" s="1307" t="s">
        <v>5</v>
      </c>
      <c r="S38" s="1308">
        <f t="shared" si="9"/>
        <v>100</v>
      </c>
      <c r="T38" s="1307" t="s">
        <v>5</v>
      </c>
      <c r="U38" s="1308">
        <f t="shared" si="10"/>
        <v>100</v>
      </c>
      <c r="V38" s="1307" t="s">
        <v>5</v>
      </c>
      <c r="W38" s="1308">
        <f t="shared" si="11"/>
        <v>100</v>
      </c>
      <c r="X38" s="1302"/>
      <c r="Y38" s="3617"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7"/>
      <c r="Q39" s="1306" t="str">
        <f t="shared" si="8"/>
        <v>层高</v>
      </c>
      <c r="R39" s="1307" t="s">
        <v>5</v>
      </c>
      <c r="S39" s="1308">
        <f t="shared" si="9"/>
        <v>100</v>
      </c>
      <c r="T39" s="1307" t="s">
        <v>5</v>
      </c>
      <c r="U39" s="1308">
        <f t="shared" si="10"/>
        <v>100</v>
      </c>
      <c r="V39" s="1307" t="s">
        <v>5</v>
      </c>
      <c r="W39" s="1308">
        <f t="shared" si="11"/>
        <v>100</v>
      </c>
      <c r="X39" s="1302"/>
      <c r="Y39" s="3617"/>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17"/>
      <c r="Q40" s="1306" t="str">
        <f t="shared" si="8"/>
        <v>单套建筑面积</v>
      </c>
      <c r="R40" s="1307" t="s">
        <v>5</v>
      </c>
      <c r="S40" s="1308">
        <f t="shared" si="9"/>
        <v>100</v>
      </c>
      <c r="T40" s="1307" t="s">
        <v>5</v>
      </c>
      <c r="U40" s="1308">
        <f t="shared" si="10"/>
        <v>100</v>
      </c>
      <c r="V40" s="1307" t="s">
        <v>5</v>
      </c>
      <c r="W40" s="1308">
        <f t="shared" si="11"/>
        <v>100</v>
      </c>
      <c r="X40" s="1302"/>
      <c r="Y40" s="3617"/>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7"/>
      <c r="Q41" s="819" t="str">
        <f t="shared" si="8"/>
        <v>进深比</v>
      </c>
      <c r="R41" s="1310" t="s">
        <v>5</v>
      </c>
      <c r="S41" s="1311">
        <f t="shared" si="9"/>
        <v>100</v>
      </c>
      <c r="T41" s="1310" t="s">
        <v>5</v>
      </c>
      <c r="U41" s="1311">
        <f t="shared" si="10"/>
        <v>100</v>
      </c>
      <c r="V41" s="1310" t="s">
        <v>5</v>
      </c>
      <c r="W41" s="1311">
        <f t="shared" si="11"/>
        <v>100</v>
      </c>
      <c r="X41" s="1312"/>
      <c r="Y41" s="3617"/>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7"/>
      <c r="Q42" s="1306" t="str">
        <f t="shared" si="8"/>
        <v>内部装修</v>
      </c>
      <c r="R42" s="1307" t="s">
        <v>5</v>
      </c>
      <c r="S42" s="1308">
        <f t="shared" si="9"/>
        <v>100</v>
      </c>
      <c r="T42" s="1307" t="s">
        <v>5</v>
      </c>
      <c r="U42" s="1308">
        <f t="shared" si="10"/>
        <v>100</v>
      </c>
      <c r="V42" s="1307" t="s">
        <v>5</v>
      </c>
      <c r="W42" s="1308">
        <f t="shared" si="11"/>
        <v>100</v>
      </c>
      <c r="X42" s="1302"/>
      <c r="Y42" s="3617"/>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7"/>
      <c r="Q43" s="1306" t="str">
        <f t="shared" si="8"/>
        <v>内部装修维护情况</v>
      </c>
      <c r="R43" s="1307" t="s">
        <v>5</v>
      </c>
      <c r="S43" s="1308">
        <f t="shared" si="9"/>
        <v>100</v>
      </c>
      <c r="T43" s="1307" t="s">
        <v>5</v>
      </c>
      <c r="U43" s="1308">
        <f t="shared" si="10"/>
        <v>100</v>
      </c>
      <c r="V43" s="1307" t="s">
        <v>5</v>
      </c>
      <c r="W43" s="1308">
        <f t="shared" si="11"/>
        <v>100</v>
      </c>
      <c r="X43" s="1302"/>
      <c r="Y43" s="361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7"/>
      <c r="Q44" s="818">
        <f t="shared" si="8"/>
        <v>111</v>
      </c>
      <c r="R44" s="1303" t="s">
        <v>5</v>
      </c>
      <c r="S44" s="1304">
        <f t="shared" si="9"/>
        <v>100</v>
      </c>
      <c r="T44" s="1303" t="s">
        <v>5</v>
      </c>
      <c r="U44" s="1304">
        <f t="shared" si="10"/>
        <v>100</v>
      </c>
      <c r="V44" s="1303" t="s">
        <v>5</v>
      </c>
      <c r="W44" s="1304">
        <f t="shared" si="11"/>
        <v>100</v>
      </c>
      <c r="X44" s="1305"/>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7"/>
      <c r="Q45" s="1306">
        <f t="shared" si="8"/>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7"/>
      <c r="Q46" s="1306">
        <f t="shared" si="8"/>
        <v>111</v>
      </c>
      <c r="R46" s="1307" t="s">
        <v>5</v>
      </c>
      <c r="S46" s="1308">
        <f t="shared" si="9"/>
        <v>100</v>
      </c>
      <c r="T46" s="1307" t="s">
        <v>5</v>
      </c>
      <c r="U46" s="1308">
        <f t="shared" si="10"/>
        <v>100</v>
      </c>
      <c r="V46" s="1307" t="s">
        <v>5</v>
      </c>
      <c r="W46" s="1308">
        <f t="shared" si="11"/>
        <v>100</v>
      </c>
      <c r="X46" s="1302"/>
      <c r="Y46" s="3727"/>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612" t="str">
        <f>A47</f>
        <v>成交单价（元/平方米）</v>
      </c>
      <c r="Q47" s="3612"/>
      <c r="R47" s="3628">
        <f>E47</f>
        <v>0</v>
      </c>
      <c r="S47" s="3628"/>
      <c r="T47" s="3628">
        <f>G47</f>
        <v>0</v>
      </c>
      <c r="U47" s="3628"/>
      <c r="V47" s="3628">
        <f>I47</f>
        <v>0</v>
      </c>
      <c r="W47" s="3628"/>
      <c r="X47" s="799"/>
      <c r="Y47" s="1314"/>
      <c r="Z47" s="799"/>
      <c r="AA47" s="799"/>
      <c r="AB47" s="799"/>
      <c r="AC47" s="799"/>
    </row>
    <row r="48" spans="1:29" ht="15" thickBot="1">
      <c r="A48" s="564" t="s">
        <v>2042</v>
      </c>
      <c r="B48" s="813"/>
      <c r="C48" s="2082" t="e">
        <f>R49</f>
        <v>#DIV/0!</v>
      </c>
      <c r="D48" s="2550" t="s">
        <v>2250</v>
      </c>
      <c r="E48" s="2083" t="e">
        <f>R48</f>
        <v>#DIV/0!</v>
      </c>
      <c r="F48" s="2551"/>
      <c r="G48" s="2082" t="e">
        <f>T48</f>
        <v>#DIV/0!</v>
      </c>
      <c r="H48" s="2551"/>
      <c r="I48" s="2083" t="e">
        <f>V48</f>
        <v>#DIV/0!</v>
      </c>
      <c r="J48" s="2551"/>
      <c r="K48" s="2558">
        <f>F48+H48+J48</f>
        <v>0</v>
      </c>
      <c r="L48" s="1751"/>
      <c r="M48" s="1742"/>
      <c r="N48" s="1742"/>
      <c r="O48" s="1742"/>
      <c r="P48" s="3612" t="str">
        <f>A48</f>
        <v>比较价格（元/平方米）</v>
      </c>
      <c r="Q48" s="3612"/>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99"/>
      <c r="Y48" s="799"/>
      <c r="Z48" s="799"/>
      <c r="AA48" s="799"/>
      <c r="AB48" s="799"/>
      <c r="AC48" s="799"/>
    </row>
    <row r="49" spans="1:29" ht="15" thickBot="1">
      <c r="A49" s="568" t="s">
        <v>2187</v>
      </c>
      <c r="B49" s="569"/>
      <c r="C49" s="469" t="e">
        <f>R49</f>
        <v>#DIV/0!</v>
      </c>
      <c r="D49" s="469"/>
      <c r="E49" s="469"/>
      <c r="F49" s="469"/>
      <c r="G49" s="469"/>
      <c r="H49" s="469"/>
      <c r="I49" s="469"/>
      <c r="J49" s="469"/>
      <c r="K49" s="1336"/>
      <c r="L49" s="1751"/>
      <c r="M49" s="1742"/>
      <c r="N49" s="1742"/>
      <c r="O49" s="1742"/>
      <c r="P49" s="3618" t="str">
        <f>A49</f>
        <v>估价对象XX用房的比较价格（楼面单价，元/平方米）</v>
      </c>
      <c r="Q49" s="3619"/>
      <c r="R49" s="3726" t="e">
        <f>IF(F1="售价",ROUND(IF(D48="简单平均",AVERAGE(R48:V48),R48*F48+T48*H48+V48*J48),0),ROUND(IF(D48="简单平均",AVERAGE(R48:V48),R48*F48+T48*H48+V48*J48),1))</f>
        <v>#DIV/0!</v>
      </c>
      <c r="S49" s="3726"/>
      <c r="T49" s="3726"/>
      <c r="U49" s="3726"/>
      <c r="V49" s="3726"/>
      <c r="W49" s="3726"/>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1" priority="16" stopIfTrue="1">
      <formula>$F$52="超过30%"</formula>
    </cfRule>
  </conditionalFormatting>
  <conditionalFormatting sqref="E53">
    <cfRule type="expression" dxfId="80" priority="15" stopIfTrue="1">
      <formula>$F$53="超过20%"</formula>
    </cfRule>
  </conditionalFormatting>
  <conditionalFormatting sqref="E54">
    <cfRule type="expression" dxfId="79" priority="14" stopIfTrue="1">
      <formula>$F$54="超过30%"</formula>
    </cfRule>
  </conditionalFormatting>
  <conditionalFormatting sqref="F7:F46 H7:H46 J7:J46">
    <cfRule type="cellIs" dxfId="78" priority="1" operator="notEqual">
      <formula>100</formula>
    </cfRule>
  </conditionalFormatting>
  <conditionalFormatting sqref="F48">
    <cfRule type="expression" dxfId="77" priority="4">
      <formula>$D$48="简单平均"</formula>
    </cfRule>
  </conditionalFormatting>
  <conditionalFormatting sqref="F52:F54 H52:H54">
    <cfRule type="containsText" dxfId="76" priority="17" stopIfTrue="1" operator="containsText" text="超过">
      <formula>NOT(ISERROR(SEARCH("超过",F52)))</formula>
    </cfRule>
  </conditionalFormatting>
  <conditionalFormatting sqref="G52">
    <cfRule type="expression" dxfId="75" priority="12" stopIfTrue="1">
      <formula>$H$52="超过30%"</formula>
    </cfRule>
  </conditionalFormatting>
  <conditionalFormatting sqref="G53">
    <cfRule type="expression" dxfId="74" priority="11" stopIfTrue="1">
      <formula>$H$53="超过20%"</formula>
    </cfRule>
  </conditionalFormatting>
  <conditionalFormatting sqref="G54">
    <cfRule type="expression" dxfId="73" priority="13" stopIfTrue="1">
      <formula>$H$54="超过30%"</formula>
    </cfRule>
  </conditionalFormatting>
  <conditionalFormatting sqref="H48">
    <cfRule type="expression" dxfId="72" priority="3">
      <formula>$D$48="简单平均"</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J48">
    <cfRule type="expression" dxfId="68" priority="2">
      <formula>$D$48="简单平均"</formula>
    </cfRule>
  </conditionalFormatting>
  <conditionalFormatting sqref="J52:J54">
    <cfRule type="containsText" dxfId="67"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20" t="s">
        <v>471</v>
      </c>
      <c r="D4" s="3621"/>
      <c r="E4" s="3642" t="s">
        <v>472</v>
      </c>
      <c r="F4" s="3643"/>
      <c r="G4" s="3620" t="s">
        <v>473</v>
      </c>
      <c r="H4" s="3621"/>
      <c r="I4" s="3620" t="s">
        <v>474</v>
      </c>
      <c r="J4" s="3621"/>
      <c r="K4" s="465" t="s">
        <v>475</v>
      </c>
      <c r="L4" s="1741"/>
      <c r="M4" s="1742"/>
      <c r="N4" s="1742"/>
      <c r="O4" s="1742"/>
      <c r="P4" s="3728" t="s">
        <v>476</v>
      </c>
      <c r="Q4" s="3623"/>
      <c r="R4" s="3606" t="s">
        <v>472</v>
      </c>
      <c r="S4" s="3607"/>
      <c r="T4" s="3606" t="s">
        <v>473</v>
      </c>
      <c r="U4" s="3607"/>
      <c r="V4" s="3628" t="s">
        <v>474</v>
      </c>
      <c r="W4" s="3628"/>
      <c r="X4" s="1302"/>
      <c r="Y4" s="3606" t="s">
        <v>476</v>
      </c>
      <c r="Z4" s="3607"/>
      <c r="AA4" s="3601" t="s">
        <v>472</v>
      </c>
      <c r="AB4" s="3601" t="s">
        <v>473</v>
      </c>
      <c r="AC4" s="3601" t="s">
        <v>474</v>
      </c>
    </row>
    <row r="5" spans="1:29">
      <c r="A5" s="466"/>
      <c r="B5" s="467"/>
      <c r="C5" s="3631" t="s">
        <v>2181</v>
      </c>
      <c r="D5" s="3632"/>
      <c r="E5" s="3644" t="s">
        <v>2182</v>
      </c>
      <c r="F5" s="3645"/>
      <c r="G5" s="3631" t="s">
        <v>2183</v>
      </c>
      <c r="H5" s="3632"/>
      <c r="I5" s="3631" t="s">
        <v>2184</v>
      </c>
      <c r="J5" s="3632"/>
      <c r="K5" s="465"/>
      <c r="L5" s="1741"/>
      <c r="M5" s="1742"/>
      <c r="N5" s="1742"/>
      <c r="O5" s="1742"/>
      <c r="P5" s="3729"/>
      <c r="Q5" s="3625"/>
      <c r="R5" s="3608"/>
      <c r="S5" s="3609"/>
      <c r="T5" s="3608"/>
      <c r="U5" s="3609"/>
      <c r="V5" s="3628"/>
      <c r="W5" s="3628"/>
      <c r="X5" s="1302"/>
      <c r="Y5" s="3608"/>
      <c r="Z5" s="3609"/>
      <c r="AA5" s="3602"/>
      <c r="AB5" s="3602"/>
      <c r="AC5" s="3602"/>
    </row>
    <row r="6" spans="1:29" ht="15" thickBot="1">
      <c r="A6" s="468"/>
      <c r="B6" s="469"/>
      <c r="C6" s="3629" t="s">
        <v>2185</v>
      </c>
      <c r="D6" s="3630"/>
      <c r="E6" s="3646" t="s">
        <v>2185</v>
      </c>
      <c r="F6" s="3647"/>
      <c r="G6" s="3629" t="s">
        <v>2185</v>
      </c>
      <c r="H6" s="3630"/>
      <c r="I6" s="3629" t="s">
        <v>2185</v>
      </c>
      <c r="J6" s="3630"/>
      <c r="K6" s="465" t="s">
        <v>477</v>
      </c>
      <c r="L6" s="1741"/>
      <c r="M6" s="1742"/>
      <c r="N6" s="1742"/>
      <c r="O6" s="1742"/>
      <c r="P6" s="3730"/>
      <c r="Q6" s="3627"/>
      <c r="R6" s="3608"/>
      <c r="S6" s="3609"/>
      <c r="T6" s="3610"/>
      <c r="U6" s="3611"/>
      <c r="V6" s="3628"/>
      <c r="W6" s="3628"/>
      <c r="X6" s="1302"/>
      <c r="Y6" s="3610"/>
      <c r="Z6" s="3611"/>
      <c r="AA6" s="3603"/>
      <c r="AB6" s="3603"/>
      <c r="AC6" s="3603"/>
    </row>
    <row r="7" spans="1:29" s="1060" customFormat="1" ht="1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3"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3" t="s">
        <v>482</v>
      </c>
      <c r="Q8" s="3605"/>
      <c r="R8" s="1303" t="s">
        <v>5</v>
      </c>
      <c r="S8" s="1304">
        <f t="shared" si="0"/>
        <v>0</v>
      </c>
      <c r="T8" s="1303" t="s">
        <v>5</v>
      </c>
      <c r="U8" s="1304">
        <f t="shared" si="1"/>
        <v>0</v>
      </c>
      <c r="V8" s="1303" t="s">
        <v>5</v>
      </c>
      <c r="W8" s="1304">
        <f t="shared" si="2"/>
        <v>0</v>
      </c>
      <c r="X8" s="1305"/>
      <c r="Y8" s="3604" t="s">
        <v>482</v>
      </c>
      <c r="Z8" s="3605"/>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4" t="s">
        <v>489</v>
      </c>
      <c r="Q15" s="1306" t="str">
        <f t="shared" si="6"/>
        <v>办公集聚程度</v>
      </c>
      <c r="R15" s="1307" t="s">
        <v>5</v>
      </c>
      <c r="S15" s="1308">
        <f t="shared" si="0"/>
        <v>100</v>
      </c>
      <c r="T15" s="1307" t="s">
        <v>5</v>
      </c>
      <c r="U15" s="1308">
        <f t="shared" si="1"/>
        <v>100</v>
      </c>
      <c r="V15" s="1307" t="s">
        <v>5</v>
      </c>
      <c r="W15" s="1308">
        <f t="shared" si="2"/>
        <v>100</v>
      </c>
      <c r="X15" s="1302"/>
      <c r="Y15" s="3614"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5"/>
      <c r="Q16" s="1306"/>
      <c r="R16" s="1307"/>
      <c r="S16" s="1308"/>
      <c r="T16" s="1307"/>
      <c r="U16" s="1308"/>
      <c r="V16" s="1307"/>
      <c r="W16" s="1308"/>
      <c r="X16" s="1302"/>
      <c r="Y16" s="3615"/>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5"/>
      <c r="Q18" s="1306"/>
      <c r="R18" s="1307"/>
      <c r="S18" s="1308"/>
      <c r="T18" s="1307"/>
      <c r="U18" s="1308"/>
      <c r="V18" s="1307"/>
      <c r="W18" s="1308"/>
      <c r="X18" s="1302"/>
      <c r="Y18" s="3615"/>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5"/>
      <c r="Q20" s="1306"/>
      <c r="R20" s="1307"/>
      <c r="S20" s="1308"/>
      <c r="T20" s="1307"/>
      <c r="U20" s="1308"/>
      <c r="V20" s="1307"/>
      <c r="W20" s="1308"/>
      <c r="X20" s="1302"/>
      <c r="Y20" s="3615"/>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5"/>
      <c r="Q22" s="1306"/>
      <c r="R22" s="1307"/>
      <c r="S22" s="1308"/>
      <c r="T22" s="1307"/>
      <c r="U22" s="1308"/>
      <c r="V22" s="1307"/>
      <c r="W22" s="1308"/>
      <c r="X22" s="1302"/>
      <c r="Y22" s="3615"/>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5"/>
      <c r="Q24" s="1306"/>
      <c r="R24" s="1307"/>
      <c r="S24" s="1308"/>
      <c r="T24" s="1307"/>
      <c r="U24" s="1308"/>
      <c r="V24" s="1307"/>
      <c r="W24" s="1308"/>
      <c r="X24" s="1302"/>
      <c r="Y24" s="3615"/>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5"/>
      <c r="Q25" s="1306" t="str">
        <f>B25</f>
        <v>毗邻道路的类型与等级</v>
      </c>
      <c r="R25" s="1307" t="s">
        <v>5</v>
      </c>
      <c r="S25" s="1308">
        <f>F25</f>
        <v>100</v>
      </c>
      <c r="T25" s="1307" t="s">
        <v>5</v>
      </c>
      <c r="U25" s="1308">
        <f>H25</f>
        <v>100</v>
      </c>
      <c r="V25" s="1307" t="s">
        <v>5</v>
      </c>
      <c r="W25" s="1308">
        <f>J25</f>
        <v>100</v>
      </c>
      <c r="X25" s="1302"/>
      <c r="Y25" s="3615"/>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5"/>
      <c r="Q26" s="1306"/>
      <c r="R26" s="1307"/>
      <c r="S26" s="1308"/>
      <c r="T26" s="1307"/>
      <c r="U26" s="1308"/>
      <c r="V26" s="1307"/>
      <c r="W26" s="1308"/>
      <c r="X26" s="1302"/>
      <c r="Y26" s="3615"/>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5"/>
      <c r="Q27" s="1306" t="str">
        <f t="shared" ref="Q27:Q47" si="8">B27</f>
        <v>楼层</v>
      </c>
      <c r="R27" s="1307" t="s">
        <v>5</v>
      </c>
      <c r="S27" s="1308">
        <f>F27</f>
        <v>100</v>
      </c>
      <c r="T27" s="1307" t="s">
        <v>5</v>
      </c>
      <c r="U27" s="1308">
        <f>H27</f>
        <v>100</v>
      </c>
      <c r="V27" s="1307" t="s">
        <v>5</v>
      </c>
      <c r="W27" s="1308">
        <f>J27</f>
        <v>100</v>
      </c>
      <c r="X27" s="1302"/>
      <c r="Y27" s="3615"/>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5"/>
      <c r="Q28" s="818" t="str">
        <f t="shared" si="8"/>
        <v>朝向</v>
      </c>
      <c r="R28" s="1303" t="s">
        <v>5</v>
      </c>
      <c r="S28" s="1304">
        <f>F28</f>
        <v>100</v>
      </c>
      <c r="T28" s="1303" t="s">
        <v>5</v>
      </c>
      <c r="U28" s="1304">
        <f>H28</f>
        <v>100</v>
      </c>
      <c r="V28" s="1303" t="s">
        <v>5</v>
      </c>
      <c r="W28" s="1304">
        <f>J28</f>
        <v>100</v>
      </c>
      <c r="X28" s="1305"/>
      <c r="Y28" s="3615"/>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5"/>
      <c r="Q29" s="1306">
        <f t="shared" si="8"/>
        <v>111</v>
      </c>
      <c r="R29" s="1307" t="s">
        <v>5</v>
      </c>
      <c r="S29" s="1308">
        <f t="shared" ref="S29:S47" si="9">F29</f>
        <v>100</v>
      </c>
      <c r="T29" s="1307" t="s">
        <v>5</v>
      </c>
      <c r="U29" s="1308">
        <f t="shared" ref="U29:U47" si="10">H29</f>
        <v>100</v>
      </c>
      <c r="V29" s="1307" t="s">
        <v>5</v>
      </c>
      <c r="W29" s="1308">
        <f t="shared" ref="W29:W47" si="11">J29</f>
        <v>100</v>
      </c>
      <c r="X29" s="1302"/>
      <c r="Y29" s="3615"/>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5"/>
      <c r="Q32" s="1306">
        <f t="shared" si="8"/>
        <v>111</v>
      </c>
      <c r="R32" s="1307" t="s">
        <v>5</v>
      </c>
      <c r="S32" s="1308">
        <f t="shared" si="9"/>
        <v>100</v>
      </c>
      <c r="T32" s="1307" t="s">
        <v>5</v>
      </c>
      <c r="U32" s="1308">
        <f t="shared" si="10"/>
        <v>100</v>
      </c>
      <c r="V32" s="1307" t="s">
        <v>5</v>
      </c>
      <c r="W32" s="1308">
        <f t="shared" si="11"/>
        <v>100</v>
      </c>
      <c r="X32" s="1302"/>
      <c r="Y32" s="3615"/>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6" t="s">
        <v>499</v>
      </c>
      <c r="Q33" s="1306" t="str">
        <f t="shared" si="8"/>
        <v>建筑类型</v>
      </c>
      <c r="R33" s="1307" t="s">
        <v>5</v>
      </c>
      <c r="S33" s="1308">
        <f t="shared" si="9"/>
        <v>100</v>
      </c>
      <c r="T33" s="1307" t="s">
        <v>5</v>
      </c>
      <c r="U33" s="1308">
        <f t="shared" si="10"/>
        <v>100</v>
      </c>
      <c r="V33" s="1307" t="s">
        <v>5</v>
      </c>
      <c r="W33" s="1308">
        <f t="shared" si="11"/>
        <v>100</v>
      </c>
      <c r="X33" s="1302"/>
      <c r="Y33" s="3617"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7"/>
      <c r="Q34" s="819" t="str">
        <f t="shared" si="8"/>
        <v>项目建筑规模</v>
      </c>
      <c r="R34" s="1310" t="s">
        <v>5</v>
      </c>
      <c r="S34" s="1311" t="e">
        <f t="shared" si="9"/>
        <v>#N/A</v>
      </c>
      <c r="T34" s="1310" t="s">
        <v>5</v>
      </c>
      <c r="U34" s="1311" t="e">
        <f t="shared" si="10"/>
        <v>#N/A</v>
      </c>
      <c r="V34" s="1310" t="s">
        <v>5</v>
      </c>
      <c r="W34" s="1311" t="e">
        <f t="shared" si="11"/>
        <v>#N/A</v>
      </c>
      <c r="X34" s="1312"/>
      <c r="Y34" s="3617"/>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7"/>
      <c r="Q35" s="1306" t="str">
        <f t="shared" si="8"/>
        <v>建筑结构</v>
      </c>
      <c r="R35" s="1307" t="s">
        <v>5</v>
      </c>
      <c r="S35" s="1308">
        <f t="shared" si="9"/>
        <v>100</v>
      </c>
      <c r="T35" s="1307" t="s">
        <v>5</v>
      </c>
      <c r="U35" s="1308">
        <f t="shared" si="10"/>
        <v>100</v>
      </c>
      <c r="V35" s="1307" t="s">
        <v>5</v>
      </c>
      <c r="W35" s="1308">
        <f t="shared" si="11"/>
        <v>100</v>
      </c>
      <c r="X35" s="1302"/>
      <c r="Y35" s="3617"/>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7"/>
      <c r="Q36" s="1306" t="str">
        <f t="shared" si="8"/>
        <v>公共部分装修</v>
      </c>
      <c r="R36" s="1307" t="s">
        <v>5</v>
      </c>
      <c r="S36" s="1308">
        <f t="shared" si="9"/>
        <v>100</v>
      </c>
      <c r="T36" s="1307" t="s">
        <v>5</v>
      </c>
      <c r="U36" s="1308">
        <f t="shared" si="10"/>
        <v>100</v>
      </c>
      <c r="V36" s="1307" t="s">
        <v>5</v>
      </c>
      <c r="W36" s="1308">
        <f t="shared" si="11"/>
        <v>100</v>
      </c>
      <c r="X36" s="1302"/>
      <c r="Y36" s="3617"/>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7"/>
      <c r="Q37" s="1306" t="str">
        <f t="shared" si="8"/>
        <v>成新度</v>
      </c>
      <c r="R37" s="1307" t="s">
        <v>5</v>
      </c>
      <c r="S37" s="1308" t="e">
        <f t="shared" si="9"/>
        <v>#N/A</v>
      </c>
      <c r="T37" s="1307" t="s">
        <v>5</v>
      </c>
      <c r="U37" s="1308" t="e">
        <f t="shared" si="10"/>
        <v>#N/A</v>
      </c>
      <c r="V37" s="1307" t="s">
        <v>5</v>
      </c>
      <c r="W37" s="1308" t="e">
        <f t="shared" si="11"/>
        <v>#N/A</v>
      </c>
      <c r="X37" s="1302"/>
      <c r="Y37" s="3617"/>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7"/>
      <c r="Q38" s="818" t="str">
        <f t="shared" si="8"/>
        <v>写字楼等级</v>
      </c>
      <c r="R38" s="1303" t="s">
        <v>5</v>
      </c>
      <c r="S38" s="1304">
        <f t="shared" si="9"/>
        <v>100</v>
      </c>
      <c r="T38" s="1303" t="s">
        <v>5</v>
      </c>
      <c r="U38" s="1304">
        <f t="shared" si="10"/>
        <v>100</v>
      </c>
      <c r="V38" s="1303" t="s">
        <v>5</v>
      </c>
      <c r="W38" s="1304">
        <f t="shared" si="11"/>
        <v>100</v>
      </c>
      <c r="X38" s="1305"/>
      <c r="Y38" s="3617"/>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7" t="s">
        <v>499</v>
      </c>
      <c r="Q39" s="1306" t="str">
        <f t="shared" si="8"/>
        <v>物业管理</v>
      </c>
      <c r="R39" s="1307" t="s">
        <v>5</v>
      </c>
      <c r="S39" s="1308">
        <f t="shared" si="9"/>
        <v>100</v>
      </c>
      <c r="T39" s="1307" t="s">
        <v>5</v>
      </c>
      <c r="U39" s="1308">
        <f t="shared" si="10"/>
        <v>100</v>
      </c>
      <c r="V39" s="1307" t="s">
        <v>5</v>
      </c>
      <c r="W39" s="1308">
        <f t="shared" si="11"/>
        <v>100</v>
      </c>
      <c r="X39" s="1302"/>
      <c r="Y39" s="3617"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7"/>
      <c r="Q40" s="1306" t="str">
        <f t="shared" si="8"/>
        <v>市政基础设施</v>
      </c>
      <c r="R40" s="1307" t="s">
        <v>5</v>
      </c>
      <c r="S40" s="1308">
        <f t="shared" si="9"/>
        <v>100</v>
      </c>
      <c r="T40" s="1307" t="s">
        <v>5</v>
      </c>
      <c r="U40" s="1308">
        <f t="shared" si="10"/>
        <v>100</v>
      </c>
      <c r="V40" s="1307" t="s">
        <v>5</v>
      </c>
      <c r="W40" s="1308">
        <f t="shared" si="11"/>
        <v>100</v>
      </c>
      <c r="X40" s="1302"/>
      <c r="Y40" s="3617"/>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7"/>
      <c r="Q41" s="1306" t="str">
        <f t="shared" si="8"/>
        <v>层高</v>
      </c>
      <c r="R41" s="1307" t="s">
        <v>5</v>
      </c>
      <c r="S41" s="1308">
        <f t="shared" si="9"/>
        <v>100</v>
      </c>
      <c r="T41" s="1307" t="s">
        <v>5</v>
      </c>
      <c r="U41" s="1308">
        <f t="shared" si="10"/>
        <v>100</v>
      </c>
      <c r="V41" s="1307" t="s">
        <v>5</v>
      </c>
      <c r="W41" s="1308">
        <f t="shared" si="11"/>
        <v>100</v>
      </c>
      <c r="X41" s="1302"/>
      <c r="Y41" s="3617"/>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7"/>
      <c r="Q42" s="819" t="str">
        <f t="shared" si="8"/>
        <v>单套建筑面积</v>
      </c>
      <c r="R42" s="1310" t="s">
        <v>5</v>
      </c>
      <c r="S42" s="1311">
        <f t="shared" si="9"/>
        <v>100</v>
      </c>
      <c r="T42" s="1310" t="s">
        <v>5</v>
      </c>
      <c r="U42" s="1311">
        <f t="shared" si="10"/>
        <v>100</v>
      </c>
      <c r="V42" s="1310" t="s">
        <v>5</v>
      </c>
      <c r="W42" s="1311">
        <f t="shared" si="11"/>
        <v>100</v>
      </c>
      <c r="X42" s="1312"/>
      <c r="Y42" s="3617"/>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7"/>
      <c r="Q43" s="1306" t="str">
        <f t="shared" si="8"/>
        <v>内部装修</v>
      </c>
      <c r="R43" s="1307" t="s">
        <v>5</v>
      </c>
      <c r="S43" s="1308">
        <f t="shared" si="9"/>
        <v>100</v>
      </c>
      <c r="T43" s="1307" t="s">
        <v>5</v>
      </c>
      <c r="U43" s="1308">
        <f t="shared" si="10"/>
        <v>100</v>
      </c>
      <c r="V43" s="1307" t="s">
        <v>5</v>
      </c>
      <c r="W43" s="1308">
        <f t="shared" si="11"/>
        <v>100</v>
      </c>
      <c r="X43" s="1302"/>
      <c r="Y43" s="3617"/>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7"/>
      <c r="Q44" s="1306" t="str">
        <f t="shared" si="8"/>
        <v>内部装修维护情况</v>
      </c>
      <c r="R44" s="1307" t="s">
        <v>5</v>
      </c>
      <c r="S44" s="1308">
        <f t="shared" si="9"/>
        <v>100</v>
      </c>
      <c r="T44" s="1307" t="s">
        <v>5</v>
      </c>
      <c r="U44" s="1308">
        <f t="shared" si="10"/>
        <v>100</v>
      </c>
      <c r="V44" s="1307" t="s">
        <v>5</v>
      </c>
      <c r="W44" s="1308">
        <f t="shared" si="11"/>
        <v>100</v>
      </c>
      <c r="X44" s="1302"/>
      <c r="Y44" s="3617"/>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7"/>
      <c r="Q45" s="818">
        <f t="shared" si="8"/>
        <v>111</v>
      </c>
      <c r="R45" s="1303" t="s">
        <v>5</v>
      </c>
      <c r="S45" s="1304">
        <f t="shared" si="9"/>
        <v>100</v>
      </c>
      <c r="T45" s="1303" t="s">
        <v>5</v>
      </c>
      <c r="U45" s="1304">
        <f t="shared" si="10"/>
        <v>100</v>
      </c>
      <c r="V45" s="1303" t="s">
        <v>5</v>
      </c>
      <c r="W45" s="1304">
        <f t="shared" si="11"/>
        <v>100</v>
      </c>
      <c r="X45" s="1305"/>
      <c r="Y45" s="361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7"/>
      <c r="Q46" s="1306">
        <f t="shared" si="8"/>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7"/>
      <c r="Q47" s="1306">
        <f t="shared" si="8"/>
        <v>111</v>
      </c>
      <c r="R47" s="1307" t="s">
        <v>5</v>
      </c>
      <c r="S47" s="1308">
        <f t="shared" si="9"/>
        <v>100</v>
      </c>
      <c r="T47" s="1307" t="s">
        <v>5</v>
      </c>
      <c r="U47" s="1308">
        <f t="shared" si="10"/>
        <v>100</v>
      </c>
      <c r="V47" s="1307" t="s">
        <v>5</v>
      </c>
      <c r="W47" s="1308">
        <f t="shared" si="11"/>
        <v>100</v>
      </c>
      <c r="X47" s="1302"/>
      <c r="Y47" s="3727"/>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19" t="str">
        <f>A48</f>
        <v>成交单价（元/平方米）</v>
      </c>
      <c r="Q48" s="3612"/>
      <c r="R48" s="3628">
        <f>E48</f>
        <v>0</v>
      </c>
      <c r="S48" s="3628"/>
      <c r="T48" s="3628">
        <f>G48</f>
        <v>0</v>
      </c>
      <c r="U48" s="3628"/>
      <c r="V48" s="3628">
        <f>I48</f>
        <v>0</v>
      </c>
      <c r="W48" s="3628"/>
      <c r="X48" s="799"/>
      <c r="Y48" s="1314"/>
      <c r="Z48" s="799"/>
      <c r="AA48" s="799"/>
      <c r="AB48" s="799"/>
      <c r="AC48" s="799"/>
    </row>
    <row r="49" spans="1:29" ht="15" thickBot="1">
      <c r="A49" s="564" t="s">
        <v>2042</v>
      </c>
      <c r="B49" s="813"/>
      <c r="C49" s="2082" t="e">
        <f>R50</f>
        <v>#DIV/0!</v>
      </c>
      <c r="D49" s="2550" t="s">
        <v>2250</v>
      </c>
      <c r="E49" s="2083" t="e">
        <f>R49</f>
        <v>#DIV/0!</v>
      </c>
      <c r="F49" s="2551"/>
      <c r="G49" s="2082" t="e">
        <f>T49</f>
        <v>#DIV/0!</v>
      </c>
      <c r="H49" s="2551"/>
      <c r="I49" s="2083" t="e">
        <f>V49</f>
        <v>#DIV/0!</v>
      </c>
      <c r="J49" s="2551"/>
      <c r="K49" s="2558">
        <f>F49+H49+J49</f>
        <v>0</v>
      </c>
      <c r="L49" s="1751"/>
      <c r="M49" s="1742"/>
      <c r="N49" s="1742"/>
      <c r="O49" s="1742"/>
      <c r="P49" s="3619" t="str">
        <f>A49</f>
        <v>比较价格（元/平方米）</v>
      </c>
      <c r="Q49" s="3612"/>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799"/>
      <c r="Y49" s="799"/>
      <c r="Z49" s="799"/>
      <c r="AA49" s="799"/>
      <c r="AB49" s="799"/>
      <c r="AC49" s="799"/>
    </row>
    <row r="50" spans="1:29" ht="15" thickBot="1">
      <c r="A50" s="568" t="s">
        <v>2187</v>
      </c>
      <c r="B50" s="569"/>
      <c r="C50" s="469" t="e">
        <f>R50</f>
        <v>#DIV/0!</v>
      </c>
      <c r="D50" s="469"/>
      <c r="E50" s="469"/>
      <c r="F50" s="469"/>
      <c r="G50" s="469"/>
      <c r="H50" s="469"/>
      <c r="I50" s="469"/>
      <c r="J50" s="469"/>
      <c r="K50" s="1336"/>
      <c r="L50" s="1751"/>
      <c r="M50" s="1742"/>
      <c r="N50" s="1742"/>
      <c r="O50" s="1742"/>
      <c r="P50" s="3731" t="str">
        <f>A50</f>
        <v>估价对象XX用房的比较价格（楼面单价，元/平方米）</v>
      </c>
      <c r="Q50" s="3619"/>
      <c r="R50" s="3726" t="e">
        <f>IF(F1="售价",ROUND(IF(D49="简单平均",AVERAGE(R49:V49),R49*F49+T49*H49+V49*J49),0),ROUND(IF(D49="简单平均",AVERAGE(R49:V49),R49*F49+T49*H49+V49*J49),1))</f>
        <v>#DIV/0!</v>
      </c>
      <c r="S50" s="3726"/>
      <c r="T50" s="3726"/>
      <c r="U50" s="3726"/>
      <c r="V50" s="3726"/>
      <c r="W50" s="3726"/>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6" priority="16" stopIfTrue="1">
      <formula>$F$53="超过30%"</formula>
    </cfRule>
  </conditionalFormatting>
  <conditionalFormatting sqref="E54">
    <cfRule type="expression" dxfId="65" priority="15" stopIfTrue="1">
      <formula>$F$54="超过20%"</formula>
    </cfRule>
  </conditionalFormatting>
  <conditionalFormatting sqref="E55">
    <cfRule type="expression" dxfId="64" priority="14" stopIfTrue="1">
      <formula>$F$55="超过30%"</formula>
    </cfRule>
  </conditionalFormatting>
  <conditionalFormatting sqref="F7:F47 H7:H47 J7:J47">
    <cfRule type="cellIs" dxfId="63" priority="1" operator="notEqual">
      <formula>100</formula>
    </cfRule>
  </conditionalFormatting>
  <conditionalFormatting sqref="F49">
    <cfRule type="expression" dxfId="62" priority="4">
      <formula>$D$49="简单平均"</formula>
    </cfRule>
  </conditionalFormatting>
  <conditionalFormatting sqref="F53:F55 H53:H55">
    <cfRule type="containsText" dxfId="61" priority="17"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G54">
    <cfRule type="expression" dxfId="59" priority="11" stopIfTrue="1">
      <formula>$H$54="超过20%"</formula>
    </cfRule>
  </conditionalFormatting>
  <conditionalFormatting sqref="G55">
    <cfRule type="expression" dxfId="58" priority="13" stopIfTrue="1">
      <formula>$H$55="超过30%"</formula>
    </cfRule>
  </conditionalFormatting>
  <conditionalFormatting sqref="H49">
    <cfRule type="expression" dxfId="57" priority="3">
      <formula>$D$49="简单平均"</formula>
    </cfRule>
  </conditionalFormatting>
  <conditionalFormatting sqref="I53">
    <cfRule type="expression" dxfId="56" priority="7" stopIfTrue="1">
      <formula>$J$53="超过30%"</formula>
    </cfRule>
  </conditionalFormatting>
  <conditionalFormatting sqref="I54">
    <cfRule type="expression" dxfId="55" priority="6" stopIfTrue="1">
      <formula>$J$53+$J$54="超过20%"</formula>
    </cfRule>
  </conditionalFormatting>
  <conditionalFormatting sqref="I55">
    <cfRule type="expression" dxfId="54" priority="5" stopIfTrue="1">
      <formula>$J$55="超过30%"</formula>
    </cfRule>
  </conditionalFormatting>
  <conditionalFormatting sqref="J49">
    <cfRule type="expression" dxfId="53" priority="2">
      <formula>$D$49="简单平均"</formula>
    </cfRule>
  </conditionalFormatting>
  <conditionalFormatting sqref="J53:J55">
    <cfRule type="containsText" dxfId="52"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2" t="s">
        <v>473</v>
      </c>
      <c r="AC4" s="3601" t="s">
        <v>474</v>
      </c>
    </row>
    <row r="5" spans="1:29">
      <c r="A5" s="466"/>
      <c r="B5" s="467"/>
      <c r="C5" s="3631" t="s">
        <v>2181</v>
      </c>
      <c r="D5" s="3632"/>
      <c r="E5" s="3644" t="s">
        <v>2182</v>
      </c>
      <c r="F5" s="3645"/>
      <c r="G5" s="3631" t="s">
        <v>2183</v>
      </c>
      <c r="H5" s="3632"/>
      <c r="I5" s="3631" t="s">
        <v>2184</v>
      </c>
      <c r="J5" s="3632"/>
      <c r="K5" s="465"/>
      <c r="L5" s="1741"/>
      <c r="M5" s="1742"/>
      <c r="N5" s="1742"/>
      <c r="O5" s="1742"/>
      <c r="P5" s="3624"/>
      <c r="Q5" s="3625"/>
      <c r="R5" s="3608"/>
      <c r="S5" s="3609"/>
      <c r="T5" s="3608"/>
      <c r="U5" s="3609"/>
      <c r="V5" s="3628"/>
      <c r="W5" s="3628"/>
      <c r="X5" s="1302"/>
      <c r="Y5" s="3608"/>
      <c r="Z5" s="3609"/>
      <c r="AA5" s="3602"/>
      <c r="AB5" s="3602"/>
      <c r="AC5" s="3602"/>
    </row>
    <row r="6" spans="1:29" ht="15" thickBot="1">
      <c r="A6" s="468"/>
      <c r="B6" s="469"/>
      <c r="C6" s="3629" t="s">
        <v>2185</v>
      </c>
      <c r="D6" s="3630"/>
      <c r="E6" s="3646" t="s">
        <v>2185</v>
      </c>
      <c r="F6" s="3647"/>
      <c r="G6" s="3629" t="s">
        <v>2185</v>
      </c>
      <c r="H6" s="3630"/>
      <c r="I6" s="3629" t="s">
        <v>2185</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4" t="s">
        <v>489</v>
      </c>
      <c r="Q15" s="1306" t="str">
        <f t="shared" si="6"/>
        <v>产业集聚程度</v>
      </c>
      <c r="R15" s="1307" t="s">
        <v>5</v>
      </c>
      <c r="S15" s="1308">
        <f t="shared" si="0"/>
        <v>100</v>
      </c>
      <c r="T15" s="1307" t="s">
        <v>5</v>
      </c>
      <c r="U15" s="1308">
        <f t="shared" si="1"/>
        <v>100</v>
      </c>
      <c r="V15" s="1307" t="s">
        <v>5</v>
      </c>
      <c r="W15" s="1308">
        <f t="shared" si="2"/>
        <v>100</v>
      </c>
      <c r="X15" s="1302"/>
      <c r="Y15" s="3614"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5"/>
      <c r="Q25" s="1306">
        <f>B25</f>
        <v>111</v>
      </c>
      <c r="R25" s="1307" t="s">
        <v>5</v>
      </c>
      <c r="S25" s="1308">
        <f>F25</f>
        <v>100</v>
      </c>
      <c r="T25" s="1307" t="s">
        <v>5</v>
      </c>
      <c r="U25" s="1308">
        <f>H25</f>
        <v>100</v>
      </c>
      <c r="V25" s="1307" t="s">
        <v>5</v>
      </c>
      <c r="W25" s="1308">
        <f>J25</f>
        <v>100</v>
      </c>
      <c r="X25" s="1302"/>
      <c r="Y25" s="3615"/>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5"/>
      <c r="Q26" s="1306">
        <f t="shared" ref="Q26:Q40" si="8">B26</f>
        <v>111</v>
      </c>
      <c r="R26" s="1307" t="s">
        <v>5</v>
      </c>
      <c r="S26" s="1308">
        <f>F26</f>
        <v>100</v>
      </c>
      <c r="T26" s="1307" t="s">
        <v>5</v>
      </c>
      <c r="U26" s="1308">
        <f>H26</f>
        <v>100</v>
      </c>
      <c r="V26" s="1307" t="s">
        <v>5</v>
      </c>
      <c r="W26" s="1308">
        <f>J26</f>
        <v>100</v>
      </c>
      <c r="X26" s="1302"/>
      <c r="Y26" s="3615"/>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5"/>
      <c r="Q27" s="818">
        <f t="shared" si="8"/>
        <v>111</v>
      </c>
      <c r="R27" s="1303" t="s">
        <v>5</v>
      </c>
      <c r="S27" s="1304">
        <f>F27</f>
        <v>100</v>
      </c>
      <c r="T27" s="1303" t="s">
        <v>5</v>
      </c>
      <c r="U27" s="1304">
        <f>H27</f>
        <v>100</v>
      </c>
      <c r="V27" s="1303" t="s">
        <v>5</v>
      </c>
      <c r="W27" s="1304">
        <f>J27</f>
        <v>100</v>
      </c>
      <c r="X27" s="1305"/>
      <c r="Y27" s="3615"/>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5"/>
      <c r="Q28" s="1306">
        <f t="shared" si="8"/>
        <v>111</v>
      </c>
      <c r="R28" s="1307" t="s">
        <v>5</v>
      </c>
      <c r="S28" s="1308">
        <f t="shared" ref="S28:S40" si="9">F28</f>
        <v>100</v>
      </c>
      <c r="T28" s="1307" t="s">
        <v>5</v>
      </c>
      <c r="U28" s="1308">
        <f t="shared" ref="U28:U40" si="10">H28</f>
        <v>100</v>
      </c>
      <c r="V28" s="1307" t="s">
        <v>5</v>
      </c>
      <c r="W28" s="1308">
        <f t="shared" ref="W28:W40" si="11">J28</f>
        <v>100</v>
      </c>
      <c r="X28" s="1302"/>
      <c r="Y28" s="3615"/>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6" t="s">
        <v>499</v>
      </c>
      <c r="Q29" s="1306" t="str">
        <f t="shared" si="8"/>
        <v>建筑类型</v>
      </c>
      <c r="R29" s="1307" t="s">
        <v>5</v>
      </c>
      <c r="S29" s="1308">
        <f t="shared" si="9"/>
        <v>100</v>
      </c>
      <c r="T29" s="1307" t="s">
        <v>5</v>
      </c>
      <c r="U29" s="1308">
        <f t="shared" si="10"/>
        <v>100</v>
      </c>
      <c r="V29" s="1307" t="s">
        <v>5</v>
      </c>
      <c r="W29" s="1308">
        <f t="shared" si="11"/>
        <v>100</v>
      </c>
      <c r="X29" s="1302"/>
      <c r="Y29" s="3617"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7"/>
      <c r="Q30" s="819" t="str">
        <f t="shared" si="8"/>
        <v>项目建筑规模</v>
      </c>
      <c r="R30" s="1310" t="s">
        <v>5</v>
      </c>
      <c r="S30" s="1311" t="e">
        <f t="shared" si="9"/>
        <v>#N/A</v>
      </c>
      <c r="T30" s="1310" t="s">
        <v>5</v>
      </c>
      <c r="U30" s="1311" t="e">
        <f t="shared" si="10"/>
        <v>#N/A</v>
      </c>
      <c r="V30" s="1310" t="s">
        <v>5</v>
      </c>
      <c r="W30" s="1311" t="e">
        <f t="shared" si="11"/>
        <v>#N/A</v>
      </c>
      <c r="X30" s="1312"/>
      <c r="Y30" s="3617"/>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7"/>
      <c r="Q31" s="1306" t="str">
        <f t="shared" si="8"/>
        <v>建筑结构</v>
      </c>
      <c r="R31" s="1307" t="s">
        <v>5</v>
      </c>
      <c r="S31" s="1308">
        <f t="shared" si="9"/>
        <v>100</v>
      </c>
      <c r="T31" s="1307" t="s">
        <v>5</v>
      </c>
      <c r="U31" s="1308">
        <f t="shared" si="10"/>
        <v>100</v>
      </c>
      <c r="V31" s="1307" t="s">
        <v>5</v>
      </c>
      <c r="W31" s="1308">
        <f t="shared" si="11"/>
        <v>100</v>
      </c>
      <c r="X31" s="1302"/>
      <c r="Y31" s="3617"/>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7"/>
      <c r="Q32" s="1306" t="str">
        <f t="shared" si="8"/>
        <v>公共部分装修</v>
      </c>
      <c r="R32" s="1307" t="s">
        <v>5</v>
      </c>
      <c r="S32" s="1308">
        <f t="shared" si="9"/>
        <v>100</v>
      </c>
      <c r="T32" s="1307" t="s">
        <v>5</v>
      </c>
      <c r="U32" s="1308">
        <f t="shared" si="10"/>
        <v>100</v>
      </c>
      <c r="V32" s="1307" t="s">
        <v>5</v>
      </c>
      <c r="W32" s="1308">
        <f t="shared" si="11"/>
        <v>100</v>
      </c>
      <c r="X32" s="1302"/>
      <c r="Y32" s="3617"/>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7"/>
      <c r="Q33" s="1306" t="str">
        <f t="shared" si="8"/>
        <v>成新度</v>
      </c>
      <c r="R33" s="1307" t="s">
        <v>5</v>
      </c>
      <c r="S33" s="1308" t="e">
        <f t="shared" si="9"/>
        <v>#N/A</v>
      </c>
      <c r="T33" s="1307" t="s">
        <v>5</v>
      </c>
      <c r="U33" s="1308" t="e">
        <f t="shared" si="10"/>
        <v>#N/A</v>
      </c>
      <c r="V33" s="1307" t="s">
        <v>5</v>
      </c>
      <c r="W33" s="1308" t="e">
        <f t="shared" si="11"/>
        <v>#N/A</v>
      </c>
      <c r="X33" s="1302"/>
      <c r="Y33" s="3617"/>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7"/>
      <c r="Q34" s="818" t="str">
        <f t="shared" si="8"/>
        <v>物业管理</v>
      </c>
      <c r="R34" s="1303" t="s">
        <v>5</v>
      </c>
      <c r="S34" s="1304">
        <f t="shared" si="9"/>
        <v>100</v>
      </c>
      <c r="T34" s="1303" t="s">
        <v>5</v>
      </c>
      <c r="U34" s="1304">
        <f t="shared" si="10"/>
        <v>100</v>
      </c>
      <c r="V34" s="1303" t="s">
        <v>5</v>
      </c>
      <c r="W34" s="1304">
        <f t="shared" si="11"/>
        <v>100</v>
      </c>
      <c r="X34" s="1305"/>
      <c r="Y34" s="3617"/>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7" t="s">
        <v>499</v>
      </c>
      <c r="Q35" s="1306" t="str">
        <f t="shared" si="8"/>
        <v>市政基础设施</v>
      </c>
      <c r="R35" s="1307" t="s">
        <v>5</v>
      </c>
      <c r="S35" s="1308">
        <f t="shared" si="9"/>
        <v>100</v>
      </c>
      <c r="T35" s="1307" t="s">
        <v>5</v>
      </c>
      <c r="U35" s="1308">
        <f t="shared" si="10"/>
        <v>100</v>
      </c>
      <c r="V35" s="1307" t="s">
        <v>5</v>
      </c>
      <c r="W35" s="1308">
        <f t="shared" si="11"/>
        <v>100</v>
      </c>
      <c r="X35" s="1302"/>
      <c r="Y35" s="3617"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7"/>
      <c r="Q36" s="1306" t="str">
        <f t="shared" si="8"/>
        <v>内部装修</v>
      </c>
      <c r="R36" s="1307" t="s">
        <v>5</v>
      </c>
      <c r="S36" s="1308">
        <f t="shared" si="9"/>
        <v>100</v>
      </c>
      <c r="T36" s="1307" t="s">
        <v>5</v>
      </c>
      <c r="U36" s="1308">
        <f t="shared" si="10"/>
        <v>100</v>
      </c>
      <c r="V36" s="1307" t="s">
        <v>5</v>
      </c>
      <c r="W36" s="1308">
        <f t="shared" si="11"/>
        <v>100</v>
      </c>
      <c r="X36" s="1302"/>
      <c r="Y36" s="3617"/>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7"/>
      <c r="Q37" s="1306" t="str">
        <f t="shared" si="8"/>
        <v>内部装修状况</v>
      </c>
      <c r="R37" s="1307" t="s">
        <v>5</v>
      </c>
      <c r="S37" s="1308">
        <f t="shared" si="9"/>
        <v>100</v>
      </c>
      <c r="T37" s="1307" t="s">
        <v>5</v>
      </c>
      <c r="U37" s="1308">
        <f t="shared" si="10"/>
        <v>100</v>
      </c>
      <c r="V37" s="1307" t="s">
        <v>5</v>
      </c>
      <c r="W37" s="1308">
        <f t="shared" si="11"/>
        <v>100</v>
      </c>
      <c r="X37" s="1302"/>
      <c r="Y37" s="3617"/>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7"/>
      <c r="Q38" s="819">
        <f t="shared" si="8"/>
        <v>111</v>
      </c>
      <c r="R38" s="1310" t="s">
        <v>5</v>
      </c>
      <c r="S38" s="1311">
        <f t="shared" si="9"/>
        <v>100</v>
      </c>
      <c r="T38" s="1310" t="s">
        <v>5</v>
      </c>
      <c r="U38" s="1311">
        <f t="shared" si="10"/>
        <v>100</v>
      </c>
      <c r="V38" s="1310" t="s">
        <v>5</v>
      </c>
      <c r="W38" s="1311">
        <f t="shared" si="11"/>
        <v>100</v>
      </c>
      <c r="X38" s="1312"/>
      <c r="Y38" s="3617"/>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7"/>
      <c r="Q39" s="1306">
        <f t="shared" si="8"/>
        <v>111</v>
      </c>
      <c r="R39" s="1307" t="s">
        <v>5</v>
      </c>
      <c r="S39" s="1308">
        <f t="shared" si="9"/>
        <v>100</v>
      </c>
      <c r="T39" s="1307" t="s">
        <v>5</v>
      </c>
      <c r="U39" s="1308">
        <f t="shared" si="10"/>
        <v>100</v>
      </c>
      <c r="V39" s="1307" t="s">
        <v>5</v>
      </c>
      <c r="W39" s="1308">
        <f t="shared" si="11"/>
        <v>100</v>
      </c>
      <c r="X39" s="1302"/>
      <c r="Y39" s="3617"/>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7"/>
      <c r="Q40" s="1306">
        <f t="shared" si="8"/>
        <v>111</v>
      </c>
      <c r="R40" s="1307" t="s">
        <v>5</v>
      </c>
      <c r="S40" s="1308">
        <f t="shared" si="9"/>
        <v>100</v>
      </c>
      <c r="T40" s="1307" t="s">
        <v>5</v>
      </c>
      <c r="U40" s="1308">
        <f t="shared" si="10"/>
        <v>100</v>
      </c>
      <c r="V40" s="1307" t="s">
        <v>5</v>
      </c>
      <c r="W40" s="1308">
        <f t="shared" si="11"/>
        <v>100</v>
      </c>
      <c r="X40" s="1302"/>
      <c r="Y40" s="3727"/>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612" t="str">
        <f>A41</f>
        <v>成交单价（元/平方米）</v>
      </c>
      <c r="Q41" s="3612"/>
      <c r="R41" s="3628">
        <f>E41</f>
        <v>0</v>
      </c>
      <c r="S41" s="3628"/>
      <c r="T41" s="3628">
        <f>G41</f>
        <v>0</v>
      </c>
      <c r="U41" s="3628"/>
      <c r="V41" s="3628">
        <f>I41</f>
        <v>0</v>
      </c>
      <c r="W41" s="3628"/>
      <c r="X41" s="799"/>
      <c r="Y41" s="1314"/>
      <c r="Z41" s="799"/>
      <c r="AA41" s="799"/>
      <c r="AB41" s="799"/>
      <c r="AC41" s="799"/>
    </row>
    <row r="42" spans="1:29" ht="15" thickBot="1">
      <c r="A42" s="564" t="s">
        <v>2042</v>
      </c>
      <c r="B42" s="813"/>
      <c r="C42" s="2082" t="e">
        <f>R43</f>
        <v>#DIV/0!</v>
      </c>
      <c r="D42" s="2550" t="s">
        <v>2250</v>
      </c>
      <c r="E42" s="2083" t="e">
        <f>R42</f>
        <v>#DIV/0!</v>
      </c>
      <c r="F42" s="2551"/>
      <c r="G42" s="2082" t="e">
        <f>T42</f>
        <v>#DIV/0!</v>
      </c>
      <c r="H42" s="2551"/>
      <c r="I42" s="2083" t="e">
        <f>V42</f>
        <v>#DIV/0!</v>
      </c>
      <c r="J42" s="2551"/>
      <c r="K42" s="2558">
        <f>F42+H42+J42</f>
        <v>0</v>
      </c>
      <c r="L42" s="1751"/>
      <c r="M42" s="1742"/>
      <c r="N42" s="1742"/>
      <c r="O42" s="1742"/>
      <c r="P42" s="3612" t="str">
        <f>A42</f>
        <v>比较价格（元/平方米）</v>
      </c>
      <c r="Q42" s="3612"/>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799"/>
      <c r="Y42" s="799"/>
      <c r="Z42" s="799"/>
      <c r="AA42" s="799"/>
      <c r="AB42" s="799"/>
      <c r="AC42" s="799"/>
    </row>
    <row r="43" spans="1:29" ht="15" thickBot="1">
      <c r="A43" s="568" t="s">
        <v>2187</v>
      </c>
      <c r="B43" s="569"/>
      <c r="C43" s="469" t="e">
        <f>R43</f>
        <v>#DIV/0!</v>
      </c>
      <c r="D43" s="469"/>
      <c r="E43" s="469"/>
      <c r="F43" s="469"/>
      <c r="G43" s="469"/>
      <c r="H43" s="469"/>
      <c r="I43" s="469"/>
      <c r="J43" s="469"/>
      <c r="K43" s="1336"/>
      <c r="L43" s="1751"/>
      <c r="M43" s="1742"/>
      <c r="N43" s="1742"/>
      <c r="O43" s="1742"/>
      <c r="P43" s="3618" t="str">
        <f>A43</f>
        <v>估价对象XX用房的比较价格（楼面单价，元/平方米）</v>
      </c>
      <c r="Q43" s="3619"/>
      <c r="R43" s="3726" t="e">
        <f>IF(F1="售价",ROUND(IF(D42="简单平均",AVERAGE(R42:V42),R42*F42+T42*H42+V42*J42),0),ROUND(IF(D42="简单平均",AVERAGE(R42:V42),R42*F42+T42*H42+V42*J42),1))</f>
        <v>#DIV/0!</v>
      </c>
      <c r="S43" s="3726"/>
      <c r="T43" s="3726"/>
      <c r="U43" s="3726"/>
      <c r="V43" s="3726"/>
      <c r="W43" s="3726"/>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F7:F40 H7:H40 J7:J40">
    <cfRule type="cellIs" dxfId="48" priority="1" operator="notEqual">
      <formula>100</formula>
    </cfRule>
  </conditionalFormatting>
  <conditionalFormatting sqref="F42">
    <cfRule type="expression" dxfId="47" priority="4">
      <formula>$D$42="简单平均"</formula>
    </cfRule>
  </conditionalFormatting>
  <conditionalFormatting sqref="F46:F48 H46:H48">
    <cfRule type="containsText" dxfId="46" priority="17" stopIfTrue="1" operator="containsText" text="超过">
      <formula>NOT(ISERROR(SEARCH("超过",F46)))</formula>
    </cfRule>
  </conditionalFormatting>
  <conditionalFormatting sqref="G46">
    <cfRule type="expression" dxfId="45" priority="12" stopIfTrue="1">
      <formula>$H$46="超过30%"</formula>
    </cfRule>
  </conditionalFormatting>
  <conditionalFormatting sqref="G47">
    <cfRule type="expression" dxfId="44" priority="11" stopIfTrue="1">
      <formula>$H$47="超过20%"</formula>
    </cfRule>
  </conditionalFormatting>
  <conditionalFormatting sqref="G48">
    <cfRule type="expression" dxfId="43" priority="13" stopIfTrue="1">
      <formula>$H$48="超过30%"</formula>
    </cfRule>
  </conditionalFormatting>
  <conditionalFormatting sqref="H42">
    <cfRule type="expression" dxfId="42" priority="3">
      <formula>$D$42="简单平均"</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J42">
    <cfRule type="expression" dxfId="38" priority="2">
      <formula>$D$42="简单平均"</formula>
    </cfRule>
  </conditionalFormatting>
  <conditionalFormatting sqref="J46:J48">
    <cfRule type="containsText" dxfId="37"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5551.97平方米。根据《建设工程规划许可证》[]、《出让合同》[]，估价对象规划建筑面积为11347.15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根据《国有土地使用证》[]，估价对象（分摊）出让国有建设用地使用权面积为5551.97平方米。根据《建设工程规划许可证》[]、《出让合同》[]，估价对象规划建筑面积为11347.15平方米。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8" t="s">
        <v>3492</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8171</v>
      </c>
      <c r="C3" s="786" t="s">
        <v>736</v>
      </c>
      <c r="D3" s="785">
        <f>SUMIF('数据-汇总表'!$C19:$C33,D1,'数据-汇总表'!$E19:$E33)</f>
        <v>3289.81</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20" t="s">
        <v>738</v>
      </c>
      <c r="D4" s="3621"/>
      <c r="E4" s="3620" t="s">
        <v>739</v>
      </c>
      <c r="F4" s="3621"/>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ht="13.8" customHeight="1">
      <c r="A5" s="466"/>
      <c r="B5" s="467"/>
      <c r="C5" s="3631" t="s">
        <v>2181</v>
      </c>
      <c r="D5" s="3632"/>
      <c r="E5" s="3724" t="s">
        <v>3498</v>
      </c>
      <c r="F5" s="3632"/>
      <c r="G5" s="3724" t="s">
        <v>3499</v>
      </c>
      <c r="H5" s="3632"/>
      <c r="I5" s="3724" t="s">
        <v>3503</v>
      </c>
      <c r="J5" s="3632"/>
      <c r="K5" s="465"/>
      <c r="L5" s="1741"/>
      <c r="M5" s="1742"/>
      <c r="N5" s="1742"/>
      <c r="O5" s="1742"/>
      <c r="P5" s="3624"/>
      <c r="Q5" s="3625"/>
      <c r="R5" s="3608"/>
      <c r="S5" s="3609"/>
      <c r="T5" s="3608"/>
      <c r="U5" s="3609"/>
      <c r="V5" s="3628"/>
      <c r="W5" s="3628"/>
      <c r="X5" s="1302"/>
      <c r="Y5" s="3608"/>
      <c r="Z5" s="3609"/>
      <c r="AA5" s="3602"/>
      <c r="AB5" s="3602"/>
      <c r="AC5" s="3602"/>
    </row>
    <row r="6" spans="1:29" ht="15" thickBot="1">
      <c r="A6" s="468"/>
      <c r="B6" s="469"/>
      <c r="C6" s="3629" t="s">
        <v>2185</v>
      </c>
      <c r="D6" s="3630"/>
      <c r="E6" s="3633" t="s">
        <v>2185</v>
      </c>
      <c r="F6" s="3634"/>
      <c r="G6" s="3629" t="s">
        <v>2185</v>
      </c>
      <c r="H6" s="3630"/>
      <c r="I6" s="3629" t="s">
        <v>2185</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04" t="s">
        <v>479</v>
      </c>
      <c r="Q7" s="3613"/>
      <c r="R7" s="1303" t="s">
        <v>5</v>
      </c>
      <c r="S7" s="1304">
        <f t="shared" ref="S7:S14" si="0">F7</f>
        <v>100</v>
      </c>
      <c r="T7" s="1303" t="s">
        <v>5</v>
      </c>
      <c r="U7" s="1304">
        <f t="shared" ref="U7:U14" si="1">H7</f>
        <v>100</v>
      </c>
      <c r="V7" s="1303" t="s">
        <v>5</v>
      </c>
      <c r="W7" s="1304">
        <f t="shared" ref="W7:W14" si="2">J7</f>
        <v>100</v>
      </c>
      <c r="X7" s="1305"/>
      <c r="Y7" s="3604" t="s">
        <v>479</v>
      </c>
      <c r="Z7" s="3605"/>
      <c r="AA7" s="997">
        <f>D7/F7</f>
        <v>1</v>
      </c>
      <c r="AB7" s="997">
        <f>D7/H7</f>
        <v>1</v>
      </c>
      <c r="AC7" s="997">
        <f>D7/J7</f>
        <v>1</v>
      </c>
    </row>
    <row r="8" spans="1:29" s="1060" customFormat="1" ht="15" thickBot="1">
      <c r="A8" s="2210"/>
      <c r="B8" s="2217"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3"/>
      <c r="M8" s="1640"/>
      <c r="N8" s="1640"/>
      <c r="O8" s="1640"/>
      <c r="P8" s="3604" t="s">
        <v>482</v>
      </c>
      <c r="Q8" s="3605"/>
      <c r="R8" s="1303" t="s">
        <v>5</v>
      </c>
      <c r="S8" s="1304">
        <f t="shared" si="0"/>
        <v>100</v>
      </c>
      <c r="T8" s="1303" t="s">
        <v>5</v>
      </c>
      <c r="U8" s="1304">
        <f t="shared" si="1"/>
        <v>100</v>
      </c>
      <c r="V8" s="1303" t="s">
        <v>5</v>
      </c>
      <c r="W8" s="1304">
        <f t="shared" si="2"/>
        <v>100</v>
      </c>
      <c r="X8" s="1305"/>
      <c r="Y8" s="3604" t="s">
        <v>482</v>
      </c>
      <c r="Z8" s="3605"/>
      <c r="AA8" s="997">
        <f t="shared" ref="AA8:AA36" si="3">D8/F8</f>
        <v>1</v>
      </c>
      <c r="AB8" s="997">
        <f t="shared" ref="AB8:AB36" si="4">D8/H8</f>
        <v>1</v>
      </c>
      <c r="AC8" s="997">
        <f t="shared" ref="AC8:AC36" si="5">D8/J8</f>
        <v>1</v>
      </c>
    </row>
    <row r="9" spans="1:29" s="1060" customFormat="1" ht="14.4">
      <c r="A9" s="2211"/>
      <c r="B9" s="2218"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3"/>
      <c r="M9" s="1640"/>
      <c r="N9" s="1640"/>
      <c r="O9" s="1744"/>
      <c r="P9" s="3612" t="s">
        <v>484</v>
      </c>
      <c r="Q9" s="818" t="str">
        <f t="shared" ref="Q9:Q14" si="6">B9</f>
        <v>用途</v>
      </c>
      <c r="R9" s="1303" t="s">
        <v>5</v>
      </c>
      <c r="S9" s="1304">
        <f t="shared" si="0"/>
        <v>100</v>
      </c>
      <c r="T9" s="1303" t="s">
        <v>5</v>
      </c>
      <c r="U9" s="1304">
        <f t="shared" si="1"/>
        <v>100</v>
      </c>
      <c r="V9" s="1303" t="s">
        <v>5</v>
      </c>
      <c r="W9" s="1304">
        <f t="shared" si="2"/>
        <v>100</v>
      </c>
      <c r="X9" s="1305"/>
      <c r="Y9" s="3560"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2"/>
      <c r="Q11" s="818">
        <f t="shared" si="6"/>
        <v>111</v>
      </c>
      <c r="R11" s="1303" t="s">
        <v>5</v>
      </c>
      <c r="S11" s="1304">
        <f t="shared" si="0"/>
        <v>100</v>
      </c>
      <c r="T11" s="1303" t="s">
        <v>5</v>
      </c>
      <c r="U11" s="1304">
        <f t="shared" si="1"/>
        <v>100</v>
      </c>
      <c r="V11" s="1303" t="s">
        <v>5</v>
      </c>
      <c r="W11" s="1304">
        <f t="shared" si="2"/>
        <v>100</v>
      </c>
      <c r="X11" s="1305"/>
      <c r="Y11" s="3560"/>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66"/>
      <c r="B15" s="846"/>
      <c r="C15" s="526" t="s">
        <v>3470</v>
      </c>
      <c r="D15" s="505"/>
      <c r="E15" s="526" t="s">
        <v>3470</v>
      </c>
      <c r="F15" s="507"/>
      <c r="G15" s="526" t="s">
        <v>3470</v>
      </c>
      <c r="H15" s="509"/>
      <c r="I15" s="526" t="s">
        <v>3470</v>
      </c>
      <c r="J15" s="505"/>
      <c r="K15" s="823"/>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66"/>
      <c r="B17" s="516"/>
      <c r="C17" s="526" t="s">
        <v>3470</v>
      </c>
      <c r="D17" s="505"/>
      <c r="E17" s="526" t="s">
        <v>3470</v>
      </c>
      <c r="F17" s="507"/>
      <c r="G17" s="526" t="s">
        <v>3470</v>
      </c>
      <c r="H17" s="505"/>
      <c r="I17" s="526" t="s">
        <v>3470</v>
      </c>
      <c r="J17" s="505"/>
      <c r="K17" s="823"/>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66"/>
      <c r="B19" s="528"/>
      <c r="C19" s="802" t="s">
        <v>3468</v>
      </c>
      <c r="D19" s="509"/>
      <c r="E19" s="802" t="s">
        <v>3468</v>
      </c>
      <c r="F19" s="507"/>
      <c r="G19" s="802" t="s">
        <v>3468</v>
      </c>
      <c r="H19" s="505"/>
      <c r="I19" s="802" t="s">
        <v>3468</v>
      </c>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66"/>
      <c r="B21" s="516"/>
      <c r="C21" s="526" t="s">
        <v>3470</v>
      </c>
      <c r="D21" s="505"/>
      <c r="E21" s="526" t="s">
        <v>3470</v>
      </c>
      <c r="F21" s="507"/>
      <c r="G21" s="526" t="s">
        <v>3470</v>
      </c>
      <c r="H21" s="505"/>
      <c r="I21" s="526" t="s">
        <v>3470</v>
      </c>
      <c r="J21" s="505"/>
      <c r="K21" s="823"/>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5"/>
      <c r="Q24" s="1306">
        <f t="shared" ref="Q24:Q36"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5"/>
      <c r="Q25" s="818">
        <f t="shared" si="8"/>
        <v>111</v>
      </c>
      <c r="R25" s="1303" t="s">
        <v>5</v>
      </c>
      <c r="S25" s="1304">
        <f>F25</f>
        <v>100</v>
      </c>
      <c r="T25" s="1303" t="s">
        <v>5</v>
      </c>
      <c r="U25" s="1304">
        <f>H25</f>
        <v>100</v>
      </c>
      <c r="V25" s="1303" t="s">
        <v>5</v>
      </c>
      <c r="W25" s="1304">
        <f>J25</f>
        <v>100</v>
      </c>
      <c r="X25" s="1305"/>
      <c r="Y25" s="3615"/>
      <c r="Z25" s="997">
        <f>Q25</f>
        <v>111</v>
      </c>
      <c r="AA25" s="1309">
        <f>D25/F25</f>
        <v>1</v>
      </c>
      <c r="AB25" s="1309">
        <f>D25/H25</f>
        <v>1</v>
      </c>
      <c r="AC25" s="1309">
        <f>D25/J25</f>
        <v>1</v>
      </c>
    </row>
    <row r="26" spans="1:29" ht="15">
      <c r="A26" s="2204"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49"/>
      <c r="M26" s="1742"/>
      <c r="N26" s="1742"/>
      <c r="O26" s="1748"/>
      <c r="P26" s="3616"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7"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17"/>
      <c r="Q27" s="819" t="str">
        <f t="shared" si="8"/>
        <v>项目停车位配比</v>
      </c>
      <c r="R27" s="1310" t="s">
        <v>5</v>
      </c>
      <c r="S27" s="1311">
        <f t="shared" si="9"/>
        <v>100</v>
      </c>
      <c r="T27" s="1310" t="s">
        <v>5</v>
      </c>
      <c r="U27" s="1311">
        <f t="shared" si="10"/>
        <v>100</v>
      </c>
      <c r="V27" s="1310" t="s">
        <v>5</v>
      </c>
      <c r="W27" s="1311">
        <f t="shared" si="11"/>
        <v>100</v>
      </c>
      <c r="X27" s="1312"/>
      <c r="Y27" s="3617"/>
      <c r="Z27" s="1313" t="str">
        <f t="shared" si="12"/>
        <v>项目停车位配比</v>
      </c>
      <c r="AA27" s="1309">
        <f t="shared" si="3"/>
        <v>1</v>
      </c>
      <c r="AB27" s="1309">
        <f t="shared" si="4"/>
        <v>1</v>
      </c>
      <c r="AC27" s="1309">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49"/>
      <c r="M28" s="1742"/>
      <c r="N28" s="1742"/>
      <c r="O28" s="1748"/>
      <c r="P28" s="3617"/>
      <c r="Q28" s="1306" t="str">
        <f t="shared" si="8"/>
        <v>公共部分装修</v>
      </c>
      <c r="R28" s="1307" t="s">
        <v>5</v>
      </c>
      <c r="S28" s="1308">
        <f t="shared" si="9"/>
        <v>100</v>
      </c>
      <c r="T28" s="1307" t="s">
        <v>5</v>
      </c>
      <c r="U28" s="1308">
        <f t="shared" si="10"/>
        <v>100</v>
      </c>
      <c r="V28" s="1307" t="s">
        <v>5</v>
      </c>
      <c r="W28" s="1308">
        <f t="shared" si="11"/>
        <v>100</v>
      </c>
      <c r="X28" s="1302"/>
      <c r="Y28" s="3617"/>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17"/>
      <c r="Q29" s="1306" t="str">
        <f t="shared" si="8"/>
        <v>成新率</v>
      </c>
      <c r="R29" s="1307" t="s">
        <v>5</v>
      </c>
      <c r="S29" s="1308">
        <f t="shared" si="9"/>
        <v>100</v>
      </c>
      <c r="T29" s="1307" t="s">
        <v>5</v>
      </c>
      <c r="U29" s="1308">
        <f t="shared" si="10"/>
        <v>100</v>
      </c>
      <c r="V29" s="1307" t="s">
        <v>5</v>
      </c>
      <c r="W29" s="1308">
        <f t="shared" si="11"/>
        <v>100</v>
      </c>
      <c r="X29" s="1302"/>
      <c r="Y29" s="3617"/>
      <c r="Z29" s="1309" t="str">
        <f t="shared" si="12"/>
        <v>成新率</v>
      </c>
      <c r="AA29" s="1309">
        <f t="shared" si="3"/>
        <v>1</v>
      </c>
      <c r="AB29" s="1309">
        <f t="shared" si="4"/>
        <v>1</v>
      </c>
      <c r="AC29" s="1309">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49"/>
      <c r="M30" s="1742"/>
      <c r="N30" s="1742"/>
      <c r="O30" s="1748"/>
      <c r="P30" s="3617"/>
      <c r="Q30" s="1306" t="str">
        <f t="shared" si="8"/>
        <v>物业等级</v>
      </c>
      <c r="R30" s="1307" t="s">
        <v>5</v>
      </c>
      <c r="S30" s="1308">
        <f t="shared" si="9"/>
        <v>100</v>
      </c>
      <c r="T30" s="1307" t="s">
        <v>5</v>
      </c>
      <c r="U30" s="1308">
        <f t="shared" si="10"/>
        <v>100</v>
      </c>
      <c r="V30" s="1307" t="s">
        <v>5</v>
      </c>
      <c r="W30" s="1308">
        <f t="shared" si="11"/>
        <v>100</v>
      </c>
      <c r="X30" s="1302"/>
      <c r="Y30" s="3617"/>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17"/>
      <c r="Q31" s="818" t="str">
        <f t="shared" si="8"/>
        <v>停车位面积</v>
      </c>
      <c r="R31" s="1303" t="s">
        <v>5</v>
      </c>
      <c r="S31" s="1304">
        <f t="shared" si="9"/>
        <v>100</v>
      </c>
      <c r="T31" s="1303" t="s">
        <v>5</v>
      </c>
      <c r="U31" s="1304">
        <f t="shared" si="10"/>
        <v>100</v>
      </c>
      <c r="V31" s="1303" t="s">
        <v>5</v>
      </c>
      <c r="W31" s="1304">
        <f t="shared" si="11"/>
        <v>100</v>
      </c>
      <c r="X31" s="1305"/>
      <c r="Y31" s="3617"/>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49"/>
      <c r="M32" s="1742"/>
      <c r="N32" s="1742"/>
      <c r="O32" s="1748"/>
      <c r="P32" s="3617" t="s">
        <v>499</v>
      </c>
      <c r="Q32" s="1306" t="str">
        <f t="shared" si="8"/>
        <v>车位类型</v>
      </c>
      <c r="R32" s="1307" t="s">
        <v>5</v>
      </c>
      <c r="S32" s="1308">
        <f t="shared" si="9"/>
        <v>100</v>
      </c>
      <c r="T32" s="1307" t="s">
        <v>5</v>
      </c>
      <c r="U32" s="1308">
        <f t="shared" si="10"/>
        <v>100</v>
      </c>
      <c r="V32" s="1307" t="s">
        <v>5</v>
      </c>
      <c r="W32" s="1308">
        <f t="shared" si="11"/>
        <v>100</v>
      </c>
      <c r="X32" s="1302"/>
      <c r="Y32" s="3617" t="s">
        <v>499</v>
      </c>
      <c r="Z32" s="1309" t="str">
        <f t="shared" si="12"/>
        <v>车位类型</v>
      </c>
      <c r="AA32" s="1309">
        <f t="shared" si="3"/>
        <v>1</v>
      </c>
      <c r="AB32" s="1309">
        <f t="shared" si="4"/>
        <v>1</v>
      </c>
      <c r="AC32" s="1309">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49"/>
      <c r="M33" s="1742"/>
      <c r="N33" s="1742"/>
      <c r="O33" s="1748"/>
      <c r="P33" s="3617"/>
      <c r="Q33" s="1306" t="str">
        <f t="shared" si="8"/>
        <v>是否直接入户</v>
      </c>
      <c r="R33" s="1307" t="s">
        <v>5</v>
      </c>
      <c r="S33" s="1308">
        <f t="shared" si="9"/>
        <v>100</v>
      </c>
      <c r="T33" s="1307" t="s">
        <v>5</v>
      </c>
      <c r="U33" s="1308">
        <f t="shared" si="10"/>
        <v>100</v>
      </c>
      <c r="V33" s="1307" t="s">
        <v>5</v>
      </c>
      <c r="W33" s="1308">
        <f t="shared" si="11"/>
        <v>100</v>
      </c>
      <c r="X33" s="1302"/>
      <c r="Y33" s="3617"/>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7"/>
      <c r="Q35" s="819">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7"/>
      <c r="Q36" s="1306">
        <f t="shared" si="8"/>
        <v>111</v>
      </c>
      <c r="R36" s="1307" t="s">
        <v>5</v>
      </c>
      <c r="S36" s="1308">
        <f t="shared" si="9"/>
        <v>100</v>
      </c>
      <c r="T36" s="1307" t="s">
        <v>5</v>
      </c>
      <c r="U36" s="1308">
        <f t="shared" si="10"/>
        <v>100</v>
      </c>
      <c r="V36" s="1307" t="s">
        <v>5</v>
      </c>
      <c r="W36" s="1308">
        <f t="shared" si="11"/>
        <v>100</v>
      </c>
      <c r="X36" s="1302"/>
      <c r="Y36" s="3617"/>
      <c r="Z36" s="1309">
        <f t="shared" si="12"/>
        <v>111</v>
      </c>
      <c r="AA36" s="1309">
        <f t="shared" si="3"/>
        <v>1</v>
      </c>
      <c r="AB36" s="1309">
        <f t="shared" si="4"/>
        <v>1</v>
      </c>
      <c r="AC36" s="1309">
        <f t="shared" si="5"/>
        <v>1</v>
      </c>
    </row>
    <row r="37" spans="1:29" ht="14.4">
      <c r="A37" s="1535" t="s">
        <v>1595</v>
      </c>
      <c r="B37" s="1536" t="s">
        <v>3504</v>
      </c>
      <c r="C37" s="2081" t="s">
        <v>0</v>
      </c>
      <c r="D37" s="559"/>
      <c r="E37" s="560">
        <v>107387</v>
      </c>
      <c r="F37" s="561"/>
      <c r="G37" s="562">
        <v>106462</v>
      </c>
      <c r="H37" s="563"/>
      <c r="I37" s="560">
        <v>119368</v>
      </c>
      <c r="J37" s="563"/>
      <c r="K37" s="1335"/>
      <c r="L37" s="1751"/>
      <c r="M37" s="1742"/>
      <c r="N37" s="1742"/>
      <c r="O37" s="1742"/>
      <c r="P37" s="3612" t="str">
        <f>A37</f>
        <v>成交单价</v>
      </c>
      <c r="Q37" s="3612"/>
      <c r="R37" s="3628">
        <f>E37</f>
        <v>107387</v>
      </c>
      <c r="S37" s="3628"/>
      <c r="T37" s="3628">
        <f>G37</f>
        <v>106462</v>
      </c>
      <c r="U37" s="3628"/>
      <c r="V37" s="3628">
        <f>I37</f>
        <v>119368</v>
      </c>
      <c r="W37" s="3628"/>
      <c r="X37" s="799"/>
      <c r="Y37" s="1314"/>
      <c r="Z37" s="799"/>
      <c r="AA37" s="799"/>
      <c r="AB37" s="799"/>
      <c r="AC37" s="799"/>
    </row>
    <row r="38" spans="1:29" ht="15" thickBot="1">
      <c r="A38" s="564" t="s">
        <v>2042</v>
      </c>
      <c r="B38" s="813"/>
      <c r="C38" s="2082">
        <f>R39</f>
        <v>111072</v>
      </c>
      <c r="D38" s="2550" t="s">
        <v>2250</v>
      </c>
      <c r="E38" s="2083">
        <f>R38</f>
        <v>107387</v>
      </c>
      <c r="F38" s="2551"/>
      <c r="G38" s="2082">
        <f>T38</f>
        <v>106462</v>
      </c>
      <c r="H38" s="2551"/>
      <c r="I38" s="2083">
        <f>V38</f>
        <v>119368</v>
      </c>
      <c r="J38" s="2551"/>
      <c r="K38" s="2558">
        <f>F38+H38+J38</f>
        <v>0</v>
      </c>
      <c r="L38" s="1751"/>
      <c r="M38" s="1742"/>
      <c r="N38" s="1742"/>
      <c r="O38" s="1742"/>
      <c r="P38" s="3612" t="str">
        <f>A38</f>
        <v>比较价格（元/平方米）</v>
      </c>
      <c r="Q38" s="3612"/>
      <c r="R38" s="3628">
        <f>IF(F1="售价",ROUND(PRODUCT(R37,AA7:AA36),0),ROUND(PRODUCT(R37,AA7:AA36),1))</f>
        <v>107387</v>
      </c>
      <c r="S38" s="3628"/>
      <c r="T38" s="3628">
        <f>IF(F1="售价",ROUND(PRODUCT(T37,AB7:AB36),0),ROUND(PRODUCT(T37,AB7:AB36),1))</f>
        <v>106462</v>
      </c>
      <c r="U38" s="3628"/>
      <c r="V38" s="3628">
        <f>IF(F1="售价",ROUND(PRODUCT(V37,AC7:AC36),0),ROUND(PRODUCT(V37,AC7:AC36),1))</f>
        <v>119368</v>
      </c>
      <c r="W38" s="3628"/>
      <c r="X38" s="799"/>
      <c r="Y38" s="799"/>
      <c r="Z38" s="799"/>
      <c r="AA38" s="799"/>
      <c r="AB38" s="799"/>
      <c r="AC38" s="799"/>
    </row>
    <row r="39" spans="1:29" ht="15" thickBot="1">
      <c r="A39" s="568" t="s">
        <v>2187</v>
      </c>
      <c r="B39" s="569"/>
      <c r="C39" s="469">
        <f>R39</f>
        <v>111072</v>
      </c>
      <c r="D39" s="469"/>
      <c r="E39" s="469"/>
      <c r="F39" s="469"/>
      <c r="G39" s="469"/>
      <c r="H39" s="469"/>
      <c r="I39" s="469"/>
      <c r="J39" s="469"/>
      <c r="K39" s="1336"/>
      <c r="L39" s="1751"/>
      <c r="M39" s="1742"/>
      <c r="N39" s="1742"/>
      <c r="O39" s="1742"/>
      <c r="P39" s="3618" t="str">
        <f>A39</f>
        <v>估价对象XX用房的比较价格（楼面单价，元/平方米）</v>
      </c>
      <c r="Q39" s="3619"/>
      <c r="R39" s="3726">
        <f>IF(F1="售价",ROUND(IF(D38="简单平均",AVERAGE(R38:W38),R38*F38+T38*H38+V38*J38),0),ROUND(IF(D38="简单平均",AVERAGE(R38:V38),R38*F38+T38*H38+V38*J38),1))</f>
        <v>111072</v>
      </c>
      <c r="S39" s="3726"/>
      <c r="T39" s="3726"/>
      <c r="U39" s="3726"/>
      <c r="V39" s="3726"/>
      <c r="W39" s="3726"/>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3485</v>
      </c>
      <c r="D83" s="3421" t="s">
        <v>3486</v>
      </c>
      <c r="E83" s="3419" t="s">
        <v>3487</v>
      </c>
      <c r="F83" s="3419" t="s">
        <v>3488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3500</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3501</v>
      </c>
      <c r="D95" s="3418" t="s">
        <v>3502</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6" priority="13" stopIfTrue="1">
      <formula>$F$42="超过30%"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F7:F36 H7:H36 J7:J36">
    <cfRule type="cellIs" dxfId="33" priority="1" operator="notEqual">
      <formula>100</formula>
    </cfRule>
  </conditionalFormatting>
  <conditionalFormatting sqref="F38">
    <cfRule type="expression" dxfId="32" priority="4">
      <formula>$D$38="简单平均"</formula>
    </cfRule>
  </conditionalFormatting>
  <conditionalFormatting sqref="F42:F44 H42:H44 J42:J44">
    <cfRule type="containsText" dxfId="31" priority="14" stopIfTrue="1" operator="containsText" text="超过">
      <formula>NOT(ISERROR(SEARCH("超过",F42)))</formula>
    </cfRule>
  </conditionalFormatting>
  <conditionalFormatting sqref="G42">
    <cfRule type="expression" dxfId="30" priority="9" stopIfTrue="1">
      <formula>$H$52+$H$42="超过30%"</formula>
    </cfRule>
  </conditionalFormatting>
  <conditionalFormatting sqref="G43">
    <cfRule type="expression" dxfId="29" priority="8" stopIfTrue="1">
      <formula>$H$43="超过20%"</formula>
    </cfRule>
  </conditionalFormatting>
  <conditionalFormatting sqref="G44">
    <cfRule type="expression" dxfId="28" priority="12" stopIfTrue="1">
      <formula>$H$54+$H$44="超过30%"</formula>
    </cfRule>
  </conditionalFormatting>
  <conditionalFormatting sqref="H38">
    <cfRule type="expression" dxfId="27" priority="3">
      <formula>$D$38="简单平均"</formula>
    </cfRule>
  </conditionalFormatting>
  <conditionalFormatting sqref="I42">
    <cfRule type="expression" dxfId="26" priority="7" stopIfTrue="1">
      <formula>$J$52+$J$42="超过30%"</formula>
    </cfRule>
  </conditionalFormatting>
  <conditionalFormatting sqref="I43">
    <cfRule type="expression" dxfId="25" priority="6" stopIfTrue="1">
      <formula>$J$53+$J$43="超过20%"</formula>
    </cfRule>
  </conditionalFormatting>
  <conditionalFormatting sqref="I44">
    <cfRule type="expression" dxfId="24" priority="5" stopIfTrue="1">
      <formula>$J$44="超过30%"</formula>
    </cfRule>
  </conditionalFormatting>
  <conditionalFormatting sqref="J38">
    <cfRule type="expression" dxfId="23"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20" t="s">
        <v>738</v>
      </c>
      <c r="D4" s="3621"/>
      <c r="E4" s="3642" t="s">
        <v>739</v>
      </c>
      <c r="F4" s="3643"/>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c r="A5" s="466"/>
      <c r="B5" s="467"/>
      <c r="C5" s="3631" t="s">
        <v>2181</v>
      </c>
      <c r="D5" s="3632"/>
      <c r="E5" s="3644" t="s">
        <v>2182</v>
      </c>
      <c r="F5" s="3645"/>
      <c r="G5" s="3631" t="s">
        <v>2183</v>
      </c>
      <c r="H5" s="3632"/>
      <c r="I5" s="3631" t="s">
        <v>2184</v>
      </c>
      <c r="J5" s="3632"/>
      <c r="K5" s="465"/>
      <c r="L5" s="1741"/>
      <c r="M5" s="1742"/>
      <c r="N5" s="1742"/>
      <c r="O5" s="1742"/>
      <c r="P5" s="3624"/>
      <c r="Q5" s="3625"/>
      <c r="R5" s="3608"/>
      <c r="S5" s="3609"/>
      <c r="T5" s="3608"/>
      <c r="U5" s="3609"/>
      <c r="V5" s="3628"/>
      <c r="W5" s="3628"/>
      <c r="X5" s="1302"/>
      <c r="Y5" s="3608"/>
      <c r="Z5" s="3609"/>
      <c r="AA5" s="3602"/>
      <c r="AB5" s="3602"/>
      <c r="AC5" s="3602"/>
    </row>
    <row r="6" spans="1:29" ht="15" thickBot="1">
      <c r="A6" s="468"/>
      <c r="B6" s="469"/>
      <c r="C6" s="3629" t="s">
        <v>2185</v>
      </c>
      <c r="D6" s="3630"/>
      <c r="E6" s="3646" t="s">
        <v>2185</v>
      </c>
      <c r="F6" s="3647"/>
      <c r="G6" s="3629" t="s">
        <v>2185</v>
      </c>
      <c r="H6" s="3630"/>
      <c r="I6" s="3629" t="s">
        <v>2185</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4" t="s">
        <v>479</v>
      </c>
      <c r="Q7" s="3613"/>
      <c r="R7" s="1303" t="s">
        <v>5</v>
      </c>
      <c r="S7" s="1304">
        <f t="shared" ref="S7:S14" si="0">F7</f>
        <v>0</v>
      </c>
      <c r="T7" s="1303" t="s">
        <v>5</v>
      </c>
      <c r="U7" s="1304">
        <f t="shared" ref="U7:U14" si="1">H7</f>
        <v>0</v>
      </c>
      <c r="V7" s="1303" t="s">
        <v>5</v>
      </c>
      <c r="W7" s="1304">
        <f t="shared" ref="W7:W14" si="2">J7</f>
        <v>0</v>
      </c>
      <c r="X7" s="1305"/>
      <c r="Y7" s="3604" t="s">
        <v>479</v>
      </c>
      <c r="Z7" s="3605"/>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2" t="s">
        <v>484</v>
      </c>
      <c r="Q9" s="818" t="str">
        <f t="shared" ref="Q9:Q14" si="6">B9</f>
        <v>用途</v>
      </c>
      <c r="R9" s="1303" t="s">
        <v>5</v>
      </c>
      <c r="S9" s="1304">
        <f t="shared" si="0"/>
        <v>100</v>
      </c>
      <c r="T9" s="1303" t="s">
        <v>5</v>
      </c>
      <c r="U9" s="1304">
        <f t="shared" si="1"/>
        <v>100</v>
      </c>
      <c r="V9" s="1303" t="s">
        <v>5</v>
      </c>
      <c r="W9" s="1304">
        <f t="shared" si="2"/>
        <v>100</v>
      </c>
      <c r="X9" s="1305"/>
      <c r="Y9" s="3560"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12"/>
      <c r="Q11" s="818">
        <f t="shared" si="6"/>
        <v>111</v>
      </c>
      <c r="R11" s="1303" t="s">
        <v>5</v>
      </c>
      <c r="S11" s="1304">
        <f t="shared" si="0"/>
        <v>100</v>
      </c>
      <c r="T11" s="1303" t="s">
        <v>5</v>
      </c>
      <c r="U11" s="1304">
        <f t="shared" si="1"/>
        <v>100</v>
      </c>
      <c r="V11" s="1303" t="s">
        <v>5</v>
      </c>
      <c r="W11" s="1304">
        <f t="shared" si="2"/>
        <v>100</v>
      </c>
      <c r="X11" s="1305"/>
      <c r="Y11" s="3560"/>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5"/>
      <c r="Q24" s="1306">
        <f t="shared" ref="Q24:Q34"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5"/>
      <c r="Q25" s="818">
        <f t="shared" si="8"/>
        <v>111</v>
      </c>
      <c r="R25" s="1303" t="s">
        <v>5</v>
      </c>
      <c r="S25" s="1304">
        <f>F25</f>
        <v>100</v>
      </c>
      <c r="T25" s="1303" t="s">
        <v>5</v>
      </c>
      <c r="U25" s="1304">
        <f>H25</f>
        <v>100</v>
      </c>
      <c r="V25" s="1303" t="s">
        <v>5</v>
      </c>
      <c r="W25" s="1304">
        <f>J25</f>
        <v>100</v>
      </c>
      <c r="X25" s="1305"/>
      <c r="Y25" s="3615"/>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16"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7"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7"/>
      <c r="Q27" s="819" t="str">
        <f t="shared" si="8"/>
        <v>成新率</v>
      </c>
      <c r="R27" s="1310" t="s">
        <v>5</v>
      </c>
      <c r="S27" s="1311" t="e">
        <f t="shared" si="9"/>
        <v>#N/A</v>
      </c>
      <c r="T27" s="1310" t="s">
        <v>5</v>
      </c>
      <c r="U27" s="1311" t="e">
        <f t="shared" si="10"/>
        <v>#N/A</v>
      </c>
      <c r="V27" s="1310" t="s">
        <v>5</v>
      </c>
      <c r="W27" s="1311" t="e">
        <f t="shared" si="11"/>
        <v>#N/A</v>
      </c>
      <c r="X27" s="1312"/>
      <c r="Y27" s="3617"/>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7"/>
      <c r="Q28" s="1306" t="str">
        <f t="shared" si="8"/>
        <v>物业等级</v>
      </c>
      <c r="R28" s="1307" t="s">
        <v>5</v>
      </c>
      <c r="S28" s="1308">
        <f t="shared" si="9"/>
        <v>100</v>
      </c>
      <c r="T28" s="1307" t="s">
        <v>5</v>
      </c>
      <c r="U28" s="1308">
        <f t="shared" si="10"/>
        <v>100</v>
      </c>
      <c r="V28" s="1307" t="s">
        <v>5</v>
      </c>
      <c r="W28" s="1308">
        <f t="shared" si="11"/>
        <v>100</v>
      </c>
      <c r="X28" s="1302"/>
      <c r="Y28" s="3617"/>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17"/>
      <c r="Q29" s="1306" t="str">
        <f t="shared" si="8"/>
        <v>有无电梯</v>
      </c>
      <c r="R29" s="1307" t="s">
        <v>5</v>
      </c>
      <c r="S29" s="1308">
        <f t="shared" si="9"/>
        <v>100</v>
      </c>
      <c r="T29" s="1307" t="s">
        <v>5</v>
      </c>
      <c r="U29" s="1308">
        <f t="shared" si="10"/>
        <v>100</v>
      </c>
      <c r="V29" s="1307" t="s">
        <v>5</v>
      </c>
      <c r="W29" s="1308">
        <f t="shared" si="11"/>
        <v>100</v>
      </c>
      <c r="X29" s="1302"/>
      <c r="Y29" s="3617"/>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7"/>
      <c r="Q30" s="1306" t="str">
        <f t="shared" si="8"/>
        <v>建筑面积</v>
      </c>
      <c r="R30" s="1307" t="s">
        <v>5</v>
      </c>
      <c r="S30" s="1308" t="e">
        <f t="shared" si="9"/>
        <v>#N/A</v>
      </c>
      <c r="T30" s="1307" t="s">
        <v>5</v>
      </c>
      <c r="U30" s="1308" t="e">
        <f t="shared" si="10"/>
        <v>#N/A</v>
      </c>
      <c r="V30" s="1307" t="s">
        <v>5</v>
      </c>
      <c r="W30" s="1308" t="e">
        <f t="shared" si="11"/>
        <v>#N/A</v>
      </c>
      <c r="X30" s="1302"/>
      <c r="Y30" s="3617"/>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17"/>
      <c r="Q31" s="818" t="str">
        <f t="shared" si="8"/>
        <v>是否封闭</v>
      </c>
      <c r="R31" s="1303" t="s">
        <v>5</v>
      </c>
      <c r="S31" s="1304">
        <f t="shared" si="9"/>
        <v>100</v>
      </c>
      <c r="T31" s="1303" t="s">
        <v>5</v>
      </c>
      <c r="U31" s="1304">
        <f t="shared" si="10"/>
        <v>100</v>
      </c>
      <c r="V31" s="1303" t="s">
        <v>5</v>
      </c>
      <c r="W31" s="1304">
        <f t="shared" si="11"/>
        <v>100</v>
      </c>
      <c r="X31" s="1305"/>
      <c r="Y31" s="361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7" t="s">
        <v>499</v>
      </c>
      <c r="Q32" s="1306">
        <f t="shared" si="8"/>
        <v>111</v>
      </c>
      <c r="R32" s="1307" t="s">
        <v>5</v>
      </c>
      <c r="S32" s="1308">
        <f t="shared" si="9"/>
        <v>100</v>
      </c>
      <c r="T32" s="1307" t="s">
        <v>5</v>
      </c>
      <c r="U32" s="1308">
        <f t="shared" si="10"/>
        <v>100</v>
      </c>
      <c r="V32" s="1307" t="s">
        <v>5</v>
      </c>
      <c r="W32" s="1308">
        <f t="shared" si="11"/>
        <v>100</v>
      </c>
      <c r="X32" s="1302"/>
      <c r="Y32" s="3617"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7"/>
      <c r="Q33" s="1306">
        <f t="shared" si="8"/>
        <v>111</v>
      </c>
      <c r="R33" s="1307" t="s">
        <v>5</v>
      </c>
      <c r="S33" s="1308">
        <f t="shared" si="9"/>
        <v>100</v>
      </c>
      <c r="T33" s="1307" t="s">
        <v>5</v>
      </c>
      <c r="U33" s="1308">
        <f t="shared" si="10"/>
        <v>100</v>
      </c>
      <c r="V33" s="1307" t="s">
        <v>5</v>
      </c>
      <c r="W33" s="1308">
        <f t="shared" si="11"/>
        <v>100</v>
      </c>
      <c r="X33" s="1302"/>
      <c r="Y33" s="3617"/>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612" t="str">
        <f>A35</f>
        <v>成交单价（元/平方米）</v>
      </c>
      <c r="Q35" s="3612"/>
      <c r="R35" s="3628">
        <f>E35</f>
        <v>0</v>
      </c>
      <c r="S35" s="3628"/>
      <c r="T35" s="3628">
        <f>G35</f>
        <v>0</v>
      </c>
      <c r="U35" s="3628"/>
      <c r="V35" s="3628">
        <f>I35</f>
        <v>0</v>
      </c>
      <c r="W35" s="3628"/>
      <c r="X35" s="799"/>
      <c r="Y35" s="1314"/>
      <c r="Z35" s="799"/>
      <c r="AA35" s="799"/>
      <c r="AB35" s="799"/>
      <c r="AC35" s="799"/>
    </row>
    <row r="36" spans="1:29" ht="15" thickBot="1">
      <c r="A36" s="564" t="s">
        <v>2042</v>
      </c>
      <c r="B36" s="813"/>
      <c r="C36" s="2082" t="e">
        <f>R37</f>
        <v>#DIV/0!</v>
      </c>
      <c r="D36" s="2550" t="s">
        <v>2251</v>
      </c>
      <c r="E36" s="2083" t="e">
        <f>R36</f>
        <v>#DIV/0!</v>
      </c>
      <c r="F36" s="2551"/>
      <c r="G36" s="2082" t="e">
        <f>T36</f>
        <v>#DIV/0!</v>
      </c>
      <c r="H36" s="2551"/>
      <c r="I36" s="2083" t="e">
        <f>V36</f>
        <v>#DIV/0!</v>
      </c>
      <c r="J36" s="2551"/>
      <c r="K36" s="2558">
        <f>F36+H36+J36</f>
        <v>0</v>
      </c>
      <c r="L36" s="1751"/>
      <c r="M36" s="1742"/>
      <c r="N36" s="1742"/>
      <c r="O36" s="1742"/>
      <c r="P36" s="3612" t="str">
        <f>A36</f>
        <v>比较价格（元/平方米）</v>
      </c>
      <c r="Q36" s="3612"/>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799"/>
      <c r="Y36" s="799"/>
      <c r="Z36" s="799"/>
      <c r="AA36" s="799"/>
      <c r="AB36" s="799"/>
      <c r="AC36" s="799"/>
    </row>
    <row r="37" spans="1:29" ht="15" thickBot="1">
      <c r="A37" s="568" t="s">
        <v>2187</v>
      </c>
      <c r="B37" s="569"/>
      <c r="C37" s="469" t="e">
        <f>R37</f>
        <v>#DIV/0!</v>
      </c>
      <c r="D37" s="469"/>
      <c r="E37" s="469"/>
      <c r="F37" s="469"/>
      <c r="G37" s="469"/>
      <c r="H37" s="469"/>
      <c r="I37" s="469"/>
      <c r="J37" s="469"/>
      <c r="K37" s="1336"/>
      <c r="L37" s="1751"/>
      <c r="M37" s="1742"/>
      <c r="N37" s="1742"/>
      <c r="O37" s="1742"/>
      <c r="P37" s="3618" t="str">
        <f>A37</f>
        <v>估价对象XX用房的比较价格（楼面单价，元/平方米）</v>
      </c>
      <c r="Q37" s="3619"/>
      <c r="R37" s="3726" t="e">
        <f>IF(F1="售价",ROUND(IF(D36="简单平均",AVERAGE(R36:W36),R36*F36+T36*H36+V36*J36),0),ROUND(IF(D36="简单平均",AVERAGE(R36:V36),R36*F36+T36*H36+V36*J36),1))</f>
        <v>#DIV/0!</v>
      </c>
      <c r="S37" s="3726"/>
      <c r="T37" s="3726"/>
      <c r="U37" s="3726"/>
      <c r="V37" s="3726"/>
      <c r="W37" s="3726"/>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2" priority="13" stopIfTrue="1">
      <formula>$F$40="超过30%"</formula>
    </cfRule>
  </conditionalFormatting>
  <conditionalFormatting sqref="E41">
    <cfRule type="expression" dxfId="21" priority="11" stopIfTrue="1">
      <formula>$F$41="超过20%"</formula>
    </cfRule>
  </conditionalFormatting>
  <conditionalFormatting sqref="E42">
    <cfRule type="expression" dxfId="20" priority="10" stopIfTrue="1">
      <formula>$F$42="超过30%"</formula>
    </cfRule>
  </conditionalFormatting>
  <conditionalFormatting sqref="F7:F34 H7:H34 J7:J34">
    <cfRule type="cellIs" dxfId="19" priority="1" operator="notEqual">
      <formula>100</formula>
    </cfRule>
  </conditionalFormatting>
  <conditionalFormatting sqref="F36">
    <cfRule type="expression" dxfId="18" priority="4">
      <formula>$D$36="简单平均"</formula>
    </cfRule>
  </conditionalFormatting>
  <conditionalFormatting sqref="F40:F42 H40:H42 J40:J42">
    <cfRule type="containsText" dxfId="17" priority="14" stopIfTrue="1" operator="containsText" text="超过">
      <formula>NOT(ISERROR(SEARCH("超过",F40)))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G42">
    <cfRule type="expression" dxfId="14" priority="12" stopIfTrue="1">
      <formula>$H$54+$H$42="超过30%"</formula>
    </cfRule>
  </conditionalFormatting>
  <conditionalFormatting sqref="H36">
    <cfRule type="expression" dxfId="13" priority="3">
      <formula>$D$36="简单平均"</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J36">
    <cfRule type="expression" dxfId="9"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851</v>
      </c>
      <c r="D1" s="2363" t="s">
        <v>877</v>
      </c>
      <c r="E1" s="1947" t="s">
        <v>1728</v>
      </c>
      <c r="F1" s="1948">
        <f ca="1">J53</f>
        <v>68.84</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3"/>
      <c r="D2" s="2762"/>
      <c r="E2" s="2764"/>
      <c r="F2" s="2764"/>
      <c r="G2" s="2759"/>
      <c r="H2" s="1670"/>
      <c r="I2" s="1670"/>
      <c r="J2" s="1670"/>
      <c r="K2" s="1671"/>
      <c r="L2" s="1670"/>
      <c r="M2" s="1670"/>
    </row>
    <row r="3" spans="1:33" ht="18" customHeight="1" thickBot="1">
      <c r="A3" s="767" t="s">
        <v>1256</v>
      </c>
      <c r="B3" s="768">
        <f ca="1">IF(ISERROR(B2*10000/F43),0,ROUND(B2*10000/F43,0))</f>
        <v>0</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8" t="s">
        <v>1807</v>
      </c>
      <c r="C6" s="718">
        <f ca="1">ROUND(F6*F8*F7*(1-F9)/10000,0)</f>
        <v>0</v>
      </c>
      <c r="D6" s="2002" t="s">
        <v>1806</v>
      </c>
      <c r="E6" s="719" t="s">
        <v>1267</v>
      </c>
      <c r="F6" s="720">
        <f ca="1">INDIRECT("'数据-取费表'!u"&amp;$G$1)</f>
        <v>0</v>
      </c>
      <c r="G6" s="1668"/>
      <c r="H6" s="2009" t="s">
        <v>1812</v>
      </c>
      <c r="I6" s="3698" t="s">
        <v>1807</v>
      </c>
      <c r="J6" s="718">
        <f ca="1">ROUND(M6*M8*M7*(1-M9)/10000,0)</f>
        <v>0</v>
      </c>
      <c r="K6" s="315" t="s">
        <v>1266</v>
      </c>
      <c r="L6" s="719" t="s">
        <v>1267</v>
      </c>
      <c r="M6" s="720">
        <f ca="1">INDIRECT("'数据-取费表'!z"&amp;$G$1)</f>
        <v>0</v>
      </c>
    </row>
    <row r="7" spans="1:33" ht="18" customHeight="1">
      <c r="A7" s="2005"/>
      <c r="B7" s="3699"/>
      <c r="C7" s="723"/>
      <c r="D7" s="724"/>
      <c r="E7" s="719" t="s">
        <v>1268</v>
      </c>
      <c r="F7" s="720">
        <f ca="1">IF(INDIRECT("'数据-取费表'!ah"&amp;$G$1)="",INDIRECT("'数据-取费表'!k"&amp;$G$1),INDIRECT("'数据-取费表'!ah"&amp;$G$1))</f>
        <v>5999.630000000001</v>
      </c>
      <c r="G7" s="1668"/>
      <c r="H7" s="1994"/>
      <c r="I7" s="3699"/>
      <c r="J7" s="723"/>
      <c r="K7" s="724"/>
      <c r="L7" s="719" t="s">
        <v>1268</v>
      </c>
      <c r="M7" s="720">
        <f ca="1">F7</f>
        <v>5999.630000000001</v>
      </c>
    </row>
    <row r="8" spans="1:33" ht="18" customHeight="1">
      <c r="A8" s="1998"/>
      <c r="B8" s="3700"/>
      <c r="C8" s="723"/>
      <c r="D8" s="724"/>
      <c r="E8" s="719" t="s">
        <v>1269</v>
      </c>
      <c r="F8" s="720">
        <f ca="1">INDIRECT("'数据-取费表'!ai"&amp;$G$1)</f>
        <v>0</v>
      </c>
      <c r="G8" s="1668"/>
      <c r="H8" s="1994"/>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8"/>
      <c r="H9" s="2010"/>
      <c r="I9" s="370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2221</v>
      </c>
      <c r="E10" s="2003" t="s">
        <v>1808</v>
      </c>
      <c r="F10" s="2076"/>
      <c r="G10" s="1668"/>
      <c r="H10" s="2037" t="s">
        <v>1813</v>
      </c>
      <c r="I10" s="2041" t="s">
        <v>1803</v>
      </c>
      <c r="J10" s="718">
        <f ca="1">ROUND(IF(M10="押一",J6/12*M11,IF(M10="押二",J6/12*2*M11,IF(M10="押三",J6/12*3*M11,J11*M11))),0)</f>
        <v>0</v>
      </c>
      <c r="K10" s="2006" t="s">
        <v>2221</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4032</v>
      </c>
      <c r="D14" s="906" t="s">
        <v>1274</v>
      </c>
      <c r="E14" s="905"/>
      <c r="F14" s="740"/>
      <c r="G14" s="1668"/>
      <c r="H14" s="1369" t="s">
        <v>1359</v>
      </c>
      <c r="I14" s="1825" t="s">
        <v>2103</v>
      </c>
      <c r="J14" s="49">
        <f ca="1">C29</f>
        <v>6508</v>
      </c>
      <c r="K14" s="22"/>
      <c r="L14" s="736"/>
      <c r="M14" s="737"/>
    </row>
    <row r="15" spans="1:33" s="1676" customFormat="1" ht="18" customHeight="1" thickBot="1">
      <c r="A15" s="1368" t="s">
        <v>1410</v>
      </c>
      <c r="B15" s="719" t="s">
        <v>595</v>
      </c>
      <c r="C15" s="49">
        <f ca="1">ROUND(C14*F15,0)</f>
        <v>282</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195</v>
      </c>
      <c r="D16" s="719" t="s">
        <v>1275</v>
      </c>
      <c r="E16" s="719" t="s">
        <v>1276</v>
      </c>
      <c r="F16" s="744">
        <f ca="1">IF(INDIRECT("'数据-取费表'!c"&amp;$G$1)="住宅",'数据-取费表'!B34,0)</f>
        <v>0.05</v>
      </c>
      <c r="G16" s="1668"/>
      <c r="H16" s="1520" t="s">
        <v>1277</v>
      </c>
      <c r="I16" s="1518" t="s">
        <v>1278</v>
      </c>
      <c r="J16" s="727">
        <f ca="1">ROUND(J17+J22+J23+J24,0)</f>
        <v>1</v>
      </c>
      <c r="K16" s="1514" t="s">
        <v>1279</v>
      </c>
      <c r="L16" s="909"/>
      <c r="M16" s="1996"/>
    </row>
    <row r="17" spans="1:33" s="1676" customFormat="1" ht="18" customHeight="1">
      <c r="A17" s="1368" t="s">
        <v>1412</v>
      </c>
      <c r="B17" s="719" t="s">
        <v>601</v>
      </c>
      <c r="C17" s="49">
        <f ca="1">ROUND(F17*(F43+INDIRECT("'数据-取费表'!S"&amp;$G$1))/10000,0)</f>
        <v>126</v>
      </c>
      <c r="D17" s="719" t="s">
        <v>1280</v>
      </c>
      <c r="E17" s="719" t="s">
        <v>1281</v>
      </c>
      <c r="F17" s="52">
        <f>'数据-取费表'!B35</f>
        <v>200</v>
      </c>
      <c r="G17" s="2760"/>
      <c r="H17" s="1369" t="s">
        <v>1359</v>
      </c>
      <c r="I17" s="719" t="s">
        <v>604</v>
      </c>
      <c r="J17" s="2555">
        <f ca="1">ROUND(IF(AND(项目基本情况!B11="自然人",项目基本情况!B10="北京市"),J6*M17/(1+'数据-取费表'!C42),J18+J19+J20),2)</f>
        <v>0.52</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81</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4716</v>
      </c>
      <c r="D19" s="241" t="s">
        <v>1286</v>
      </c>
      <c r="E19" s="915"/>
      <c r="F19" s="52"/>
      <c r="G19" s="1668"/>
      <c r="H19" s="1368"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6" customFormat="1" ht="18" customHeight="1">
      <c r="A20" s="1369" t="s">
        <v>1414</v>
      </c>
      <c r="B20" s="719" t="s">
        <v>613</v>
      </c>
      <c r="C20" s="49">
        <f ca="1">ROUND(C19*F20,0)</f>
        <v>94</v>
      </c>
      <c r="D20" s="746" t="s">
        <v>1288</v>
      </c>
      <c r="E20" s="719" t="s">
        <v>1276</v>
      </c>
      <c r="F20" s="744">
        <f>'数据-取费表'!B37</f>
        <v>0.02</v>
      </c>
      <c r="G20" s="2760"/>
      <c r="H20" s="1371" t="s">
        <v>1405</v>
      </c>
      <c r="I20" s="315" t="s">
        <v>1289</v>
      </c>
      <c r="J20" s="50">
        <f ca="1">ROUND(M20*M21/10000,2)</f>
        <v>0.52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3459.98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193</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v>
      </c>
      <c r="K25" s="2024" t="s">
        <v>1306</v>
      </c>
      <c r="L25" s="2025"/>
      <c r="M25" s="2026"/>
    </row>
    <row r="26" spans="1:33" ht="18" customHeight="1">
      <c r="A26" s="1368" t="s">
        <v>1360</v>
      </c>
      <c r="B26" s="719" t="s">
        <v>1785</v>
      </c>
      <c r="C26" s="49">
        <f ca="1">ROUND((C19+C20)*F26,0)</f>
        <v>962</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6508</v>
      </c>
      <c r="D29" s="2021"/>
      <c r="E29" s="2022"/>
      <c r="F29" s="2023"/>
      <c r="G29" s="2760"/>
      <c r="H29" s="757" t="s">
        <v>1316</v>
      </c>
      <c r="I29" s="758" t="s">
        <v>1317</v>
      </c>
      <c r="J29" s="759">
        <f ca="1">ROUND(J26/(1+F40)^F41,0)</f>
        <v>0</v>
      </c>
      <c r="K29" s="760" t="s">
        <v>1318</v>
      </c>
      <c r="L29" s="761"/>
      <c r="M29" s="762">
        <f ca="1">INDIRECT("'数据-取费表'!k"&amp;$G$1)</f>
        <v>5999.630000000001</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1</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0.52</v>
      </c>
      <c r="D31" s="906" t="s">
        <v>1321</v>
      </c>
      <c r="E31" s="907" t="s">
        <v>1322</v>
      </c>
      <c r="F31" s="2554" t="str">
        <f>IF(项目基本情况!B11="企业","——",IF(M47="住宅",IF(F6*F7*F8/12/(1+'数据-取费表'!F30)&gt;100000,4%,2.5%),IF(F6*F7*F8/12/(1+'数据-取费表'!F30)&gt;100000,12%,7%)))</f>
        <v>——</v>
      </c>
      <c r="G31" s="1668"/>
      <c r="H31" s="2757" t="s">
        <v>2269</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3232</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0.52</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3459.98</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-1</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2213</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5999.630000000001</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68.84</v>
      </c>
      <c r="M48" s="2762"/>
      <c r="O48" s="1957" t="s">
        <v>1733</v>
      </c>
      <c r="P48" s="1958" t="s">
        <v>1759</v>
      </c>
      <c r="Q48" s="1959">
        <f ca="1">C40+J29</f>
        <v>0</v>
      </c>
      <c r="R48" s="1958" t="s">
        <v>1734</v>
      </c>
    </row>
    <row r="49" spans="1:18" s="1672" customFormat="1" ht="18" customHeight="1" thickBot="1">
      <c r="A49" s="721"/>
      <c r="B49" s="722"/>
      <c r="C49" s="723"/>
      <c r="D49" s="724"/>
      <c r="E49" s="719" t="s">
        <v>1268</v>
      </c>
      <c r="F49" s="720">
        <f ca="1">F7</f>
        <v>5999.630000000001</v>
      </c>
      <c r="G49" s="1699"/>
      <c r="H49" s="1702"/>
      <c r="I49" s="2364" t="s">
        <v>1700</v>
      </c>
      <c r="J49" s="1944"/>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2"/>
      <c r="O50" s="1960" t="s">
        <v>1737</v>
      </c>
      <c r="P50" s="1958" t="s">
        <v>1761</v>
      </c>
      <c r="Q50" s="1959">
        <f ca="1">C29</f>
        <v>6508</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2222</v>
      </c>
      <c r="E52" s="2003" t="s">
        <v>1808</v>
      </c>
      <c r="F52" s="2076"/>
      <c r="I52" s="2369" t="s">
        <v>1775</v>
      </c>
      <c r="J52" s="1945"/>
      <c r="K52" s="2369" t="s">
        <v>1774</v>
      </c>
      <c r="L52" s="1945"/>
      <c r="M52" s="2762"/>
      <c r="O52" s="1960" t="s">
        <v>1740</v>
      </c>
      <c r="P52" s="1958" t="s">
        <v>1741</v>
      </c>
      <c r="Q52" s="1961">
        <f>J52</f>
        <v>0</v>
      </c>
      <c r="R52" s="1962"/>
    </row>
    <row r="53" spans="1:18" s="1672" customFormat="1" ht="39.75" customHeight="1" thickBot="1">
      <c r="A53" s="721"/>
      <c r="B53" s="2000" t="s">
        <v>1856</v>
      </c>
      <c r="C53" s="2004"/>
      <c r="D53" s="2006"/>
      <c r="E53" s="2003"/>
      <c r="F53" s="735"/>
      <c r="I53" s="2370" t="s">
        <v>2225</v>
      </c>
      <c r="J53" s="2416">
        <f ca="1">IF(M47="住宅",IF(D1="——",MAX(J51,L48),MAX(J51,L48-'数据-取费表'!B20)),IF(D1="——",MIN(J51,L48),MIN(J51,L48-'数据-取费表'!B20)))</f>
        <v>68.84</v>
      </c>
      <c r="K53" s="3732" t="s">
        <v>2215</v>
      </c>
      <c r="L53" s="3733"/>
      <c r="M53" s="2762"/>
      <c r="O53" s="1960" t="s">
        <v>1742</v>
      </c>
      <c r="P53" s="1958" t="s">
        <v>1743</v>
      </c>
      <c r="Q53" s="1959">
        <f ca="1">J53</f>
        <v>68.84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2"/>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6508</v>
      </c>
      <c r="D56" s="907"/>
      <c r="E56" s="719"/>
      <c r="F56" s="744"/>
      <c r="I56" s="2382" t="s">
        <v>1711</v>
      </c>
      <c r="J56" s="2392"/>
      <c r="K56" s="2364" t="s">
        <v>1716</v>
      </c>
      <c r="L56" s="1567">
        <f ca="1">IF(L48&lt;J51,"——",L48-J51)</f>
        <v>68.84</v>
      </c>
      <c r="M56" s="2762"/>
      <c r="O56" s="1954" t="s">
        <v>1729</v>
      </c>
      <c r="P56" s="1955" t="s">
        <v>1730</v>
      </c>
      <c r="Q56" s="1956" t="s">
        <v>1731</v>
      </c>
      <c r="R56" s="1955" t="s">
        <v>1732</v>
      </c>
    </row>
    <row r="57" spans="1:18" s="1672" customFormat="1" ht="28.5" customHeight="1" thickBot="1">
      <c r="A57" s="732" t="s">
        <v>1277</v>
      </c>
      <c r="B57" s="733" t="s">
        <v>599</v>
      </c>
      <c r="C57" s="734">
        <f ca="1">ROUND(C58+C63+C64+C65,0)</f>
        <v>1</v>
      </c>
      <c r="D57" s="22" t="s">
        <v>1279</v>
      </c>
      <c r="E57" s="915"/>
      <c r="F57" s="52"/>
      <c r="I57" s="2383" t="s">
        <v>1712</v>
      </c>
      <c r="J57" s="2384" t="str">
        <f ca="1">IF(OR(M47="住宅",J51&lt;L48,J56="是"),"——",J51-L48)</f>
        <v>——</v>
      </c>
      <c r="K57" s="2364" t="s">
        <v>1717</v>
      </c>
      <c r="L57" s="1567">
        <f ca="1">IF(L48&lt;J51,"——",IF(L55="比较法",L49,IF(L55="基准地价",L50,L51)))</f>
        <v>0</v>
      </c>
      <c r="M57" s="2762"/>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0.52</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0.52</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3459.98</v>
      </c>
      <c r="I62" s="2388" t="s">
        <v>1721</v>
      </c>
      <c r="J62" s="2389" t="s">
        <v>1722</v>
      </c>
      <c r="K62" s="2389" t="s">
        <v>1723</v>
      </c>
      <c r="L62" s="2389" t="s">
        <v>1704</v>
      </c>
      <c r="M62" s="2390" t="s">
        <v>2194</v>
      </c>
      <c r="O62" s="1960" t="s">
        <v>1742</v>
      </c>
      <c r="P62" s="1958" t="str">
        <f>K59</f>
        <v>建筑物剩余耐用年限下的土地年期修正系数Kn</v>
      </c>
      <c r="Q62" s="1959" t="e">
        <f ca="1">L59</f>
        <v>#DIV/0!</v>
      </c>
      <c r="R62" s="1962" t="s">
        <v>1751</v>
      </c>
    </row>
    <row r="63" spans="1:18" s="1672" customFormat="1" ht="16.2" thickBot="1">
      <c r="A63" s="1369" t="s">
        <v>1414</v>
      </c>
      <c r="B63" s="719" t="s">
        <v>623</v>
      </c>
      <c r="C63" s="49">
        <f ca="1">ROUND(C56*F63,2)</f>
        <v>0</v>
      </c>
      <c r="D63" s="907"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2" thickBot="1">
      <c r="A64" s="1369" t="s">
        <v>1415</v>
      </c>
      <c r="B64" s="719" t="s">
        <v>626</v>
      </c>
      <c r="C64" s="49">
        <f ca="1">ROUND(C55*F64,2)</f>
        <v>0</v>
      </c>
      <c r="D64" s="907" t="s">
        <v>627</v>
      </c>
      <c r="E64" s="719" t="s">
        <v>1276</v>
      </c>
      <c r="F64" s="752">
        <f t="shared" ca="1" si="0"/>
        <v>0</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-1</v>
      </c>
      <c r="D66" s="906" t="s">
        <v>647</v>
      </c>
      <c r="E66" s="904"/>
      <c r="F66" s="754"/>
      <c r="K66" s="1696"/>
      <c r="O66" s="1957" t="s">
        <v>1733</v>
      </c>
      <c r="P66" s="1958" t="s">
        <v>1763</v>
      </c>
      <c r="Q66" s="1959">
        <f ca="1">C40+J29</f>
        <v>0</v>
      </c>
      <c r="R66" s="1958" t="s">
        <v>1734</v>
      </c>
    </row>
    <row r="67" spans="1:18" s="1672" customFormat="1" ht="19.2"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0.399999999999999" thickBot="1">
      <c r="A68" s="721"/>
      <c r="B68" s="722"/>
      <c r="C68" s="723"/>
      <c r="D68" s="755" t="s">
        <v>1337</v>
      </c>
      <c r="E68" s="719" t="s">
        <v>1313</v>
      </c>
      <c r="F68" s="756">
        <f ca="1">F41</f>
        <v>0</v>
      </c>
      <c r="O68" s="1960" t="s">
        <v>1737</v>
      </c>
      <c r="P68" s="1958" t="s">
        <v>1767</v>
      </c>
      <c r="Q68" s="1964">
        <f ca="1">L51</f>
        <v>0</v>
      </c>
      <c r="R68" s="1965" t="s">
        <v>1770</v>
      </c>
    </row>
    <row r="69" spans="1:18" ht="19.2" thickBot="1">
      <c r="A69" s="725"/>
      <c r="B69" s="726"/>
      <c r="C69" s="727"/>
      <c r="D69" s="750"/>
      <c r="E69" s="719" t="s">
        <v>657</v>
      </c>
      <c r="F69" s="1934"/>
      <c r="O69" s="1960" t="s">
        <v>1738</v>
      </c>
      <c r="P69" s="1966" t="s">
        <v>1752</v>
      </c>
      <c r="Q69" s="1959">
        <f ca="1">ROUND(Q70-Q71*Q72,0)</f>
        <v>-1</v>
      </c>
      <c r="R69" s="1962"/>
    </row>
    <row r="70" spans="1:18" ht="16.2" thickBot="1">
      <c r="A70" s="757" t="s">
        <v>1316</v>
      </c>
      <c r="B70" s="758" t="s">
        <v>1339</v>
      </c>
      <c r="C70" s="759">
        <f ca="1">ROUND(C67*10000/F70,0)</f>
        <v>0</v>
      </c>
      <c r="D70" s="760" t="s">
        <v>1340</v>
      </c>
      <c r="E70" s="761" t="s">
        <v>1341</v>
      </c>
      <c r="F70" s="762">
        <f ca="1">F43</f>
        <v>5999.630000000001</v>
      </c>
      <c r="O70" s="1960" t="s">
        <v>1753</v>
      </c>
      <c r="P70" s="1966" t="s">
        <v>1754</v>
      </c>
      <c r="Q70" s="1959">
        <f ca="1">C39</f>
        <v>-1</v>
      </c>
      <c r="R70" s="1958" t="s">
        <v>1734</v>
      </c>
    </row>
    <row r="71" spans="1:18" ht="16.2" thickBot="1">
      <c r="O71" s="1960" t="s">
        <v>1755</v>
      </c>
      <c r="P71" s="1966" t="s">
        <v>1756</v>
      </c>
      <c r="Q71" s="1959">
        <f ca="1">C13</f>
        <v>0</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建筑物剩余耐用年限下的土地年期修正系数Kn</v>
      </c>
      <c r="Q75" s="1959" t="e">
        <f ca="1">L59</f>
        <v>#DIV/0!</v>
      </c>
      <c r="R75" s="1962" t="s">
        <v>1751</v>
      </c>
    </row>
    <row r="76" spans="1:18" ht="16.2"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 priority="4">
      <formula>$F$10="自定义"</formula>
    </cfRule>
  </conditionalFormatting>
  <conditionalFormatting sqref="C53">
    <cfRule type="expression" dxfId="7" priority="1">
      <formula>$F$52="自定义"</formula>
    </cfRule>
  </conditionalFormatting>
  <conditionalFormatting sqref="I55">
    <cfRule type="expression" dxfId="6" priority="8">
      <formula>$J$51&gt;$L$48</formula>
    </cfRule>
  </conditionalFormatting>
  <conditionalFormatting sqref="I60">
    <cfRule type="expression" dxfId="5" priority="6">
      <formula>$J$51&gt;$L$48</formula>
    </cfRule>
  </conditionalFormatting>
  <conditionalFormatting sqref="J11">
    <cfRule type="expression" dxfId="4" priority="2">
      <formula>$M$10="自定义"</formula>
    </cfRule>
  </conditionalFormatting>
  <conditionalFormatting sqref="K55">
    <cfRule type="expression" dxfId="3" priority="7">
      <formula>$L$48&gt;$J$51</formula>
    </cfRule>
  </conditionalFormatting>
  <conditionalFormatting sqref="K60">
    <cfRule type="expression" dxfId="2"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7" t="s">
        <v>1661</v>
      </c>
      <c r="D1" s="3738"/>
      <c r="E1" s="3738"/>
      <c r="F1" s="3738"/>
      <c r="G1" s="3738"/>
      <c r="H1" s="3738"/>
      <c r="I1" s="3738"/>
      <c r="J1" s="3738"/>
      <c r="K1" s="3738"/>
      <c r="L1" s="3738"/>
      <c r="M1" s="3738"/>
      <c r="N1" s="3738"/>
      <c r="O1" s="3738"/>
      <c r="P1" s="3738"/>
      <c r="Q1" s="3738"/>
      <c r="R1" s="3738"/>
      <c r="S1" s="373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7" customFormat="1" ht="24">
      <c r="A23" s="14" t="s">
        <v>770</v>
      </c>
      <c r="B23" s="2419"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2275</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8" t="s">
        <v>1556</v>
      </c>
      <c r="B1" s="3428"/>
      <c r="C1" s="3428"/>
      <c r="D1" s="3428"/>
      <c r="E1" s="3428"/>
      <c r="F1" s="3428"/>
      <c r="G1" s="3428"/>
      <c r="H1" s="3428"/>
      <c r="I1" s="3428"/>
      <c r="J1" s="3428"/>
      <c r="K1" s="3428"/>
      <c r="L1" s="3428"/>
      <c r="M1" s="3428"/>
      <c r="N1" s="3428"/>
      <c r="O1" s="3428"/>
      <c r="P1" s="3428"/>
      <c r="Q1" s="3428"/>
      <c r="R1" s="3428"/>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9" t="s">
        <v>1547</v>
      </c>
      <c r="B3" s="3429" t="s">
        <v>2013</v>
      </c>
      <c r="C3" s="3430" t="s">
        <v>1548</v>
      </c>
      <c r="D3" s="3429" t="s">
        <v>2017</v>
      </c>
      <c r="E3" s="3424" t="s">
        <v>1549</v>
      </c>
      <c r="F3" s="3424"/>
      <c r="G3" s="3424"/>
      <c r="H3" s="3424" t="s">
        <v>1550</v>
      </c>
      <c r="I3" s="3424"/>
      <c r="J3" s="3424"/>
      <c r="K3" s="3430" t="s">
        <v>1551</v>
      </c>
      <c r="L3" s="3430" t="s">
        <v>1552</v>
      </c>
      <c r="M3" s="3429" t="s">
        <v>2014</v>
      </c>
      <c r="N3" s="3429" t="str">
        <f>"（分摊）"&amp;项目基本情况!A17&amp;"国有建设用地使用权面积/㎡"</f>
        <v>（分摊）出让国有建设用地使用权面积/㎡</v>
      </c>
      <c r="O3" s="3429" t="s">
        <v>1581</v>
      </c>
      <c r="P3" s="3430" t="s">
        <v>1561</v>
      </c>
      <c r="Q3" s="3430" t="s">
        <v>1582</v>
      </c>
      <c r="R3" s="3430" t="s">
        <v>1553</v>
      </c>
    </row>
    <row r="4" spans="1:18" ht="36.75" customHeight="1">
      <c r="A4" s="3429"/>
      <c r="B4" s="3429"/>
      <c r="C4" s="3430"/>
      <c r="D4" s="3429"/>
      <c r="E4" s="1505" t="s">
        <v>1560</v>
      </c>
      <c r="F4" s="1505" t="s">
        <v>2026</v>
      </c>
      <c r="G4" s="1505" t="s">
        <v>1554</v>
      </c>
      <c r="H4" s="1505" t="s">
        <v>1555</v>
      </c>
      <c r="I4" s="1505" t="s">
        <v>2027</v>
      </c>
      <c r="J4" s="1505" t="s">
        <v>1554</v>
      </c>
      <c r="K4" s="3430"/>
      <c r="L4" s="3430"/>
      <c r="M4" s="3429"/>
      <c r="N4" s="3429"/>
      <c r="O4" s="3429"/>
      <c r="P4" s="3430"/>
      <c r="Q4" s="3430"/>
      <c r="R4" s="343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5551.97</v>
      </c>
      <c r="O5" s="1505">
        <f>项目基本情况!C21</f>
        <v>11347.150000000001</v>
      </c>
      <c r="P5" s="1505">
        <f ca="1">结果表!E42</f>
        <v>17313</v>
      </c>
      <c r="Q5" s="1505">
        <f ca="1">结果表!D42</f>
        <v>8471</v>
      </c>
      <c r="R5" s="1506">
        <f ca="1">结果表!C42</f>
        <v>9612</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7">
        <f ca="1">结果表!O39</f>
        <v>9612</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7" t="str">
        <f>结果表!O40</f>
        <v>——</v>
      </c>
    </row>
    <row r="8" spans="1:18">
      <c r="A8" s="3425">
        <f>IF(项目基本情况!B9="市场价格","——",项目基本情况!E9)</f>
        <v>0</v>
      </c>
      <c r="B8" s="3426"/>
      <c r="C8" s="3426"/>
      <c r="D8" s="3426"/>
      <c r="E8" s="3426"/>
      <c r="F8" s="3426"/>
      <c r="G8" s="3426"/>
      <c r="H8" s="3426"/>
      <c r="I8" s="3426"/>
      <c r="J8" s="3426"/>
      <c r="K8" s="3426"/>
      <c r="L8" s="3426"/>
      <c r="M8" s="3426"/>
      <c r="N8" s="3426"/>
      <c r="O8" s="3426"/>
      <c r="P8" s="3426"/>
      <c r="Q8" s="342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1" t="s">
        <v>1583</v>
      </c>
      <c r="B1" s="3431"/>
      <c r="C1" s="3431"/>
      <c r="D1" s="3431"/>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1584</v>
      </c>
      <c r="B5" s="3433"/>
      <c r="C5" s="3433"/>
      <c r="D5" s="3433"/>
    </row>
    <row r="6" spans="1:4">
      <c r="A6" s="3431" t="s">
        <v>1562</v>
      </c>
      <c r="B6" s="3431"/>
      <c r="C6" s="3431"/>
      <c r="D6" s="3431"/>
    </row>
    <row r="7" spans="1:4" ht="33" customHeight="1">
      <c r="A7" s="3431" t="s">
        <v>1857</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spans="1:4" ht="168" customHeight="1">
      <c r="A12" s="3433" t="s">
        <v>1586</v>
      </c>
      <c r="B12" s="3433"/>
      <c r="C12" s="3433"/>
      <c r="D12" s="3433"/>
    </row>
    <row r="13" spans="1:4">
      <c r="A13" s="3432" t="s">
        <v>2028</v>
      </c>
      <c r="B13" s="3432"/>
      <c r="C13" s="3432"/>
      <c r="D13" s="3432"/>
    </row>
    <row r="14" spans="1:4">
      <c r="A14" s="3431" t="str">
        <f>IF(项目基本情况!B8="抵押","综上，"&amp;结果表!K47,"——")</f>
        <v>综上，本次评估不存在估价师知悉的法定优先受偿款</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1984</v>
      </c>
      <c r="B17" s="3431"/>
      <c r="C17" s="3431"/>
      <c r="D17" s="3431"/>
    </row>
    <row r="18" spans="1:4">
      <c r="A18" s="3431" t="s">
        <v>1976</v>
      </c>
      <c r="B18" s="3431"/>
      <c r="C18" s="3431"/>
      <c r="D18" s="3431"/>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1" t="s">
        <v>1981</v>
      </c>
      <c r="B23" s="3431"/>
      <c r="C23" s="3431"/>
      <c r="D23" s="3431"/>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2" t="s">
        <v>27</v>
      </c>
      <c r="B15" s="3443" t="s">
        <v>784</v>
      </c>
      <c r="C15" s="3439"/>
    </row>
    <row r="16" spans="1:7" ht="14.4">
      <c r="A16" s="3442"/>
      <c r="B16" s="3440" t="s">
        <v>28</v>
      </c>
      <c r="C16" s="1017" t="s">
        <v>27</v>
      </c>
    </row>
    <row r="17" spans="1:3" ht="14.4">
      <c r="A17" s="3442"/>
      <c r="B17" s="3440"/>
      <c r="C17" s="1017" t="s">
        <v>29</v>
      </c>
    </row>
    <row r="18" spans="1:3" ht="14.4">
      <c r="A18" s="3442"/>
      <c r="B18" s="3440"/>
      <c r="C18" s="1017" t="s">
        <v>30</v>
      </c>
    </row>
    <row r="19" spans="1:3" ht="14.4">
      <c r="A19" s="3442"/>
      <c r="B19" s="3438" t="s">
        <v>31</v>
      </c>
      <c r="C19" s="3439"/>
    </row>
    <row r="20" spans="1:3" ht="14.4">
      <c r="A20" s="1018" t="s">
        <v>32</v>
      </c>
      <c r="B20" s="1019"/>
      <c r="C20" s="1020"/>
    </row>
    <row r="21" spans="1:3" ht="14.4">
      <c r="A21" s="3441" t="s">
        <v>33</v>
      </c>
      <c r="B21" s="3438" t="s">
        <v>34</v>
      </c>
      <c r="C21" s="3439"/>
    </row>
    <row r="22" spans="1:3" ht="14.4">
      <c r="A22" s="3441"/>
      <c r="B22" s="3438" t="s">
        <v>35</v>
      </c>
      <c r="C22" s="3439"/>
    </row>
    <row r="23" spans="1:3" ht="14.4">
      <c r="A23" s="3441"/>
      <c r="B23" s="3438" t="s">
        <v>36</v>
      </c>
      <c r="C23" s="3439"/>
    </row>
    <row r="24" spans="1:3" ht="14.4">
      <c r="A24" s="3441"/>
      <c r="B24" s="3444" t="s">
        <v>37</v>
      </c>
      <c r="C24" s="1021" t="s">
        <v>775</v>
      </c>
    </row>
    <row r="25" spans="1:3" ht="14.4">
      <c r="A25" s="3441"/>
      <c r="B25" s="3445"/>
      <c r="C25" s="1021" t="s">
        <v>776</v>
      </c>
    </row>
    <row r="26" spans="1:3" ht="14.4">
      <c r="A26" s="3441"/>
      <c r="B26" s="3445"/>
      <c r="C26" s="1021" t="s">
        <v>777</v>
      </c>
    </row>
    <row r="27" spans="1:3" ht="14.4">
      <c r="A27" s="3441"/>
      <c r="B27" s="3445"/>
      <c r="C27" s="1021" t="s">
        <v>778</v>
      </c>
    </row>
    <row r="28" spans="1:3" ht="14.4">
      <c r="A28" s="3441"/>
      <c r="B28" s="3445"/>
      <c r="C28" s="1021" t="s">
        <v>779</v>
      </c>
    </row>
    <row r="29" spans="1:3" ht="14.4">
      <c r="A29" s="3441"/>
      <c r="B29" s="3445"/>
      <c r="C29" s="1021" t="s">
        <v>780</v>
      </c>
    </row>
    <row r="30" spans="1:3" ht="14.4">
      <c r="A30" s="3441"/>
      <c r="B30" s="3445"/>
      <c r="C30" s="1021" t="s">
        <v>781</v>
      </c>
    </row>
    <row r="31" spans="1:3" ht="14.4">
      <c r="A31" s="3441"/>
      <c r="B31" s="3445"/>
      <c r="C31" s="1021" t="s">
        <v>782</v>
      </c>
    </row>
    <row r="32" spans="1:3" ht="14.4">
      <c r="A32" s="3441"/>
      <c r="B32" s="3445"/>
      <c r="C32" s="1021" t="s">
        <v>1181</v>
      </c>
    </row>
    <row r="33" spans="1:3" ht="14.4">
      <c r="A33" s="3441"/>
      <c r="B33" s="3435" t="s">
        <v>1187</v>
      </c>
      <c r="C33" s="1021" t="s">
        <v>1182</v>
      </c>
    </row>
    <row r="34" spans="1:3" ht="14.4">
      <c r="A34" s="3441"/>
      <c r="B34" s="3436"/>
      <c r="C34" s="1026" t="s">
        <v>1183</v>
      </c>
    </row>
    <row r="35" spans="1:3" ht="14.4">
      <c r="A35" s="3441"/>
      <c r="B35" s="3436"/>
      <c r="C35" s="1027" t="s">
        <v>1184</v>
      </c>
    </row>
    <row r="36" spans="1:3" ht="14.4">
      <c r="A36" s="3441"/>
      <c r="B36" s="3436"/>
      <c r="C36" s="1027" t="s">
        <v>1185</v>
      </c>
    </row>
    <row r="37" spans="1:3" ht="14.4">
      <c r="A37" s="3441"/>
      <c r="B37" s="3437"/>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45910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2228</v>
      </c>
      <c r="B12" s="2565">
        <f ca="1">IF(C12&lt;B2,"已过期",1120040230)</f>
        <v>1120040230</v>
      </c>
      <c r="C12" s="2568">
        <v>45937</v>
      </c>
      <c r="D12" s="2574" t="s">
        <v>2229</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2239</v>
      </c>
      <c r="B15" s="2565" t="str">
        <f ca="1">IF(C15&lt;B2,"已过期",1119980106)</f>
        <v>已过期</v>
      </c>
      <c r="C15" s="2568">
        <v>44969</v>
      </c>
      <c r="D15" s="2574"/>
      <c r="E15" s="2565"/>
      <c r="F15" s="2565"/>
      <c r="G15" s="2560"/>
    </row>
    <row r="16" spans="1:7" ht="20.25" customHeight="1">
      <c r="A16" s="2564" t="s">
        <v>2436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9" t="s">
        <v>1448</v>
      </c>
      <c r="B18" s="3450"/>
      <c r="C18" s="3450"/>
      <c r="D18" s="3450"/>
      <c r="E18" s="3450"/>
      <c r="F18" s="3450"/>
      <c r="G18" s="2560"/>
    </row>
    <row r="19" spans="1:7" ht="20.25" customHeight="1">
      <c r="A19" s="3446" t="s">
        <v>1449</v>
      </c>
      <c r="B19" s="3446"/>
      <c r="C19" s="3447"/>
      <c r="D19" s="3448" t="s">
        <v>1450</v>
      </c>
      <c r="E19" s="3446"/>
      <c r="F19" s="344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3" priority="50" stopIfTrue="1" operator="equal">
      <formula>"已过期"</formula>
    </cfRule>
  </conditionalFormatting>
  <conditionalFormatting sqref="C4">
    <cfRule type="expression" dxfId="172" priority="3">
      <formula>AND($C4-TODAY()&lt;30,TODAY()&lt;$C4)</formula>
    </cfRule>
    <cfRule type="cellIs" dxfId="171" priority="4" stopIfTrue="1" operator="lessThan">
      <formula>$B$2</formula>
    </cfRule>
  </conditionalFormatting>
  <conditionalFormatting sqref="C5:C10">
    <cfRule type="expression" dxfId="170" priority="7">
      <formula>AND($C5-TODAY()&lt;30,TODAY()&lt;$C5)</formula>
    </cfRule>
    <cfRule type="cellIs" dxfId="169" priority="8" stopIfTrue="1" operator="lessThan">
      <formula>$B$2</formula>
    </cfRule>
  </conditionalFormatting>
  <conditionalFormatting sqref="C7:C8">
    <cfRule type="expression" dxfId="168" priority="5">
      <formula>AND($C7-TODAY()&lt;30,TODAY()&lt;$C7)</formula>
    </cfRule>
    <cfRule type="cellIs" dxfId="167" priority="6" stopIfTrue="1" operator="lessThan">
      <formula>$B$2</formula>
    </cfRule>
  </conditionalFormatting>
  <conditionalFormatting sqref="C11">
    <cfRule type="cellIs" dxfId="166" priority="83" stopIfTrue="1" operator="lessThan">
      <formula>$B$2</formula>
    </cfRule>
  </conditionalFormatting>
  <conditionalFormatting sqref="C11:C16">
    <cfRule type="expression" dxfId="165" priority="62">
      <formula>AND($C11-TODAY()&lt;30,TODAY()&lt;$C11)</formula>
    </cfRule>
  </conditionalFormatting>
  <conditionalFormatting sqref="C12">
    <cfRule type="expression" dxfId="164" priority="53">
      <formula>AND($C12-TODAY()&lt;30,TODAY()&lt;$C12)</formula>
    </cfRule>
    <cfRule type="cellIs" dxfId="163" priority="54" stopIfTrue="1" operator="lessThan">
      <formula>$B$2</formula>
    </cfRule>
  </conditionalFormatting>
  <conditionalFormatting sqref="C13:C16">
    <cfRule type="cellIs" dxfId="162" priority="63" stopIfTrue="1" operator="lessThan">
      <formula>$B$2</formula>
    </cfRule>
  </conditionalFormatting>
  <conditionalFormatting sqref="C21">
    <cfRule type="expression" dxfId="161" priority="150">
      <formula>AND($C21-TODAY()&lt;30,TODAY()&lt;$C21)</formula>
    </cfRule>
    <cfRule type="cellIs" dxfId="160" priority="152" stopIfTrue="1" operator="lessThan">
      <formula>$B$2</formula>
    </cfRule>
  </conditionalFormatting>
  <conditionalFormatting sqref="C17:D17">
    <cfRule type="expression" dxfId="159" priority="144">
      <formula>AND($C17-TODAY()&lt;30,TODAY()&lt;$C17)</formula>
    </cfRule>
    <cfRule type="cellIs" dxfId="158" priority="145" stopIfTrue="1" operator="lessThan">
      <formula>$B$2</formula>
    </cfRule>
    <cfRule type="expression" dxfId="157" priority="151">
      <formula>AND($C17-TODAY()&lt;30,TODAY()&lt;$C17)</formula>
    </cfRule>
  </conditionalFormatting>
  <conditionalFormatting sqref="E4:E16">
    <cfRule type="cellIs" dxfId="156" priority="40" stopIfTrue="1" operator="equal">
      <formula>"已过期"</formula>
    </cfRule>
  </conditionalFormatting>
  <conditionalFormatting sqref="F4:F14">
    <cfRule type="cellIs" dxfId="155" priority="39" stopIfTrue="1" operator="lessThan">
      <formula>$B$2</formula>
    </cfRule>
  </conditionalFormatting>
  <conditionalFormatting sqref="F21:F22">
    <cfRule type="cellIs" dxfId="154" priority="1" stopIfTrue="1" operator="lessThan">
      <formula>$B$2</formula>
    </cfRule>
    <cfRule type="expression" dxfId="15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3313</v>
      </c>
      <c r="Y1" s="1293" t="s">
        <v>3314</v>
      </c>
      <c r="Z1" s="1293" t="s">
        <v>3317</v>
      </c>
      <c r="AA1" s="1293" t="s">
        <v>3315</v>
      </c>
      <c r="AB1" s="1293" t="s">
        <v>3316</v>
      </c>
    </row>
    <row r="2" spans="1:28" ht="14.4">
      <c r="A2" s="6" t="s">
        <v>47</v>
      </c>
      <c r="B2" s="6" t="s">
        <v>116</v>
      </c>
      <c r="C2" s="1294"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4"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4"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4"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5"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4" t="s">
        <v>1243</v>
      </c>
      <c r="F7" s="7" t="s">
        <v>120</v>
      </c>
      <c r="H7" s="7" t="s">
        <v>74</v>
      </c>
      <c r="I7" s="7" t="s">
        <v>2740</v>
      </c>
      <c r="X7" s="9" t="s">
        <v>2459</v>
      </c>
      <c r="Z7" s="9" t="s">
        <v>2473</v>
      </c>
      <c r="AB7" s="9" t="s">
        <v>2503</v>
      </c>
    </row>
    <row r="8" spans="1:28" ht="14.4">
      <c r="A8" s="6" t="s">
        <v>75</v>
      </c>
      <c r="B8" s="6" t="s">
        <v>76</v>
      </c>
      <c r="C8" s="1294" t="s">
        <v>1244</v>
      </c>
      <c r="F8" s="7" t="s">
        <v>121</v>
      </c>
      <c r="H8" s="3080" t="s">
        <v>2734</v>
      </c>
      <c r="I8" s="7" t="s">
        <v>2741</v>
      </c>
      <c r="X8" s="9" t="s">
        <v>3307</v>
      </c>
      <c r="Z8" s="9" t="s">
        <v>2475</v>
      </c>
      <c r="AB8" s="9" t="s">
        <v>2505</v>
      </c>
    </row>
    <row r="9" spans="1:28" ht="14.4">
      <c r="A9" s="6" t="s">
        <v>77</v>
      </c>
      <c r="B9" s="6" t="s">
        <v>122</v>
      </c>
      <c r="C9" s="1294" t="s">
        <v>1245</v>
      </c>
      <c r="F9" s="7" t="s">
        <v>78</v>
      </c>
      <c r="H9" s="7"/>
      <c r="I9" s="7" t="s">
        <v>2742</v>
      </c>
      <c r="X9" s="9" t="s">
        <v>3309</v>
      </c>
      <c r="Z9" s="9" t="s">
        <v>2477</v>
      </c>
      <c r="AB9" s="9" t="s">
        <v>2507</v>
      </c>
    </row>
    <row r="10" spans="1:28" ht="14.4">
      <c r="A10" s="6" t="s">
        <v>79</v>
      </c>
      <c r="B10" s="6" t="s">
        <v>123</v>
      </c>
      <c r="C10" s="1294" t="s">
        <v>1246</v>
      </c>
      <c r="F10" s="3080" t="s">
        <v>2733</v>
      </c>
      <c r="I10" s="7" t="s">
        <v>2743</v>
      </c>
      <c r="Z10" s="9" t="s">
        <v>2479</v>
      </c>
      <c r="AB10" s="9" t="s">
        <v>2509</v>
      </c>
    </row>
    <row r="11" spans="1:28" ht="14.4">
      <c r="A11" s="6" t="s">
        <v>80</v>
      </c>
      <c r="B11" s="6" t="s">
        <v>124</v>
      </c>
      <c r="C11" s="1294" t="s">
        <v>1247</v>
      </c>
      <c r="I11" s="7" t="s">
        <v>2744</v>
      </c>
      <c r="Z11" s="9" t="s">
        <v>2481</v>
      </c>
      <c r="AB11" s="9" t="s">
        <v>2511</v>
      </c>
    </row>
    <row r="12" spans="1:28" ht="14.4">
      <c r="A12" s="6" t="s">
        <v>81</v>
      </c>
      <c r="B12" s="6" t="s">
        <v>125</v>
      </c>
      <c r="C12" s="1294" t="s">
        <v>1248</v>
      </c>
      <c r="I12" s="7" t="s">
        <v>2745</v>
      </c>
      <c r="Z12" s="9" t="s">
        <v>2484</v>
      </c>
      <c r="AB12" s="9" t="s">
        <v>2513</v>
      </c>
    </row>
    <row r="13" spans="1:28" ht="14.4">
      <c r="A13" s="6" t="s">
        <v>82</v>
      </c>
      <c r="B13" s="6" t="s">
        <v>126</v>
      </c>
      <c r="C13" s="1294" t="s">
        <v>1249</v>
      </c>
      <c r="I13" s="7" t="s">
        <v>2746</v>
      </c>
      <c r="Z13" s="9" t="s">
        <v>2486</v>
      </c>
    </row>
    <row r="14" spans="1:28" ht="14.4">
      <c r="A14" s="6" t="s">
        <v>83</v>
      </c>
      <c r="B14" s="6" t="s">
        <v>127</v>
      </c>
      <c r="C14" s="1296" t="s">
        <v>1421</v>
      </c>
      <c r="I14" s="7" t="s">
        <v>2747</v>
      </c>
      <c r="Z14" s="9" t="s">
        <v>2488</v>
      </c>
    </row>
    <row r="15" spans="1:28" ht="14.4">
      <c r="A15" s="6" t="s">
        <v>84</v>
      </c>
      <c r="B15" s="6" t="s">
        <v>1214</v>
      </c>
      <c r="C15" s="1296"/>
      <c r="I15" s="7" t="s">
        <v>2748</v>
      </c>
    </row>
    <row r="16" spans="1:28" ht="14.4">
      <c r="A16" s="6" t="s">
        <v>85</v>
      </c>
      <c r="B16" s="6" t="s">
        <v>1215</v>
      </c>
      <c r="C16" s="1296"/>
    </row>
    <row r="17" spans="1:3" ht="14.4">
      <c r="A17" s="6" t="s">
        <v>86</v>
      </c>
      <c r="B17" s="6" t="s">
        <v>1216</v>
      </c>
      <c r="C17" s="1296"/>
    </row>
    <row r="18" spans="1:3" ht="14.4">
      <c r="A18" s="6" t="s">
        <v>87</v>
      </c>
      <c r="B18" s="2357" t="s">
        <v>2205</v>
      </c>
      <c r="C18" s="1296"/>
    </row>
    <row r="19" spans="1:3" ht="14.4">
      <c r="A19" s="6" t="s">
        <v>88</v>
      </c>
      <c r="B19" s="2357" t="s">
        <v>2212</v>
      </c>
      <c r="C19" s="1296"/>
    </row>
    <row r="20" spans="1:3" ht="14.4">
      <c r="A20" s="6" t="s">
        <v>89</v>
      </c>
      <c r="B20" s="2357" t="s">
        <v>2252</v>
      </c>
      <c r="C20" s="1296"/>
    </row>
    <row r="21" spans="1:3" ht="14.4">
      <c r="A21" s="6" t="s">
        <v>90</v>
      </c>
      <c r="B21" s="6" t="s">
        <v>2428</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2025-09-10T01:32:52Z</dcterms:modified>
</cp:coreProperties>
</file>