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389-慧谷国际中心-在建\P02\"/>
    </mc:Choice>
  </mc:AlternateContent>
  <xr:revisionPtr revIDLastSave="0" documentId="13_ncr:1_{6081A46B-A469-4C66-8BC4-F3866038E45B}" xr6:coauthVersionLast="47" xr6:coauthVersionMax="47" xr10:uidLastSave="{00000000-0000-0000-0000-000000000000}"/>
  <bookViews>
    <workbookView xWindow="210" yWindow="0" windowWidth="13155" windowHeight="1269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比较法-办公" sheetId="34" state="hidden" r:id="rId19"/>
    <sheet name="结果表" sheetId="9" r:id="rId20"/>
    <sheet name="土地比较法-住宅、综合" sheetId="39" r:id="rId21"/>
    <sheet name="土地案例" sheetId="84" r:id="rId22"/>
    <sheet name="成本法" sheetId="68" r:id="rId23"/>
    <sheet name="基准地价（汇总）" sheetId="76" state="hidden" r:id="rId24"/>
    <sheet name="基准地价修正" sheetId="43" state="hidden" r:id="rId25"/>
    <sheet name="基准地价修正办" sheetId="81" state="hidden" r:id="rId26"/>
    <sheet name="成本法 (元)" sheetId="69" state="hidden" r:id="rId27"/>
    <sheet name="假设开发法" sheetId="12" r:id="rId28"/>
    <sheet name="收益法（汇总）" sheetId="70" state="hidden" r:id="rId29"/>
    <sheet name="收益法" sheetId="15" r:id="rId30"/>
    <sheet name="收益法 (元)" sheetId="67" state="hidden" r:id="rId31"/>
    <sheet name="收益法-酒店模型" sheetId="77" state="hidden" r:id="rId32"/>
    <sheet name="比较法-住宅" sheetId="21" state="hidden" r:id="rId33"/>
    <sheet name="比较法-商业" sheetId="33" state="hidden" r:id="rId34"/>
    <sheet name="收益法办" sheetId="82" r:id="rId35"/>
    <sheet name="收益法车" sheetId="83"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 r:id="rId55"/>
  </externalReference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7">假设开发法!$A$1:$K$32</definedName>
    <definedName name="_xlnm.Print_Area" localSheetId="19">结果表!$A$1:$I$127</definedName>
    <definedName name="_xlnm.Print_Area" localSheetId="44">区片价!$A$3:$H$36</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28">'收益法（汇总）'!$A$1:$F$13</definedName>
    <definedName name="_xlnm.Print_Area" localSheetId="34">收益法办!$A$1:$F$43,收益法办!$H$3:$M$29,收益法办!$A$46:$F$71,收益法办!$I$46:$N$65</definedName>
    <definedName name="_xlnm.Print_Area" localSheetId="35">收益法车!$A$1:$F$43,收益法车!$H$3:$M$29,收益法车!$A$46:$F$71,收益法车!$I$46:$N$65</definedName>
    <definedName name="_xlnm.Print_Area" localSheetId="14">'数据-汇总表'!$A$1:$P$32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1">'[2]比较法-办公'!$B$119:$M$119</definedName>
    <definedName name="办公层高">'比较法-办公'!$B$119:$M$119</definedName>
    <definedName name="办公朝向" localSheetId="12">'[1]比较法-办公'!$B$91:$M$91</definedName>
    <definedName name="办公朝向" localSheetId="21">'[2]比较法-办公'!$B$91:$M$91</definedName>
    <definedName name="办公朝向">'比较法-办公'!$B$91:$M$91</definedName>
    <definedName name="办公道路级别" localSheetId="12">'[1]比较法-办公'!$B$87:$M$87</definedName>
    <definedName name="办公道路级别" localSheetId="21">'[2]比较法-办公'!$B$87:$M$87</definedName>
    <definedName name="办公道路级别">'比较法-办公'!$B$87:$M$87</definedName>
    <definedName name="办公公共部分装修" localSheetId="12">'[1]比较法-办公'!$B$108:$M$108</definedName>
    <definedName name="办公公共部分装修" localSheetId="21">'[2]比较法-办公'!$B$108:$M$108</definedName>
    <definedName name="办公公共部分装修">'比较法-办公'!$B$108:$M$108</definedName>
    <definedName name="办公基础设施水平" localSheetId="12">'[1]比较法-办公'!$B$117:$M$117</definedName>
    <definedName name="办公基础设施水平" localSheetId="21">'[2]比较法-办公'!$B$117:$M$117</definedName>
    <definedName name="办公基础设施水平">'比较法-办公'!$B$117:$M$117</definedName>
    <definedName name="办公集聚程度" localSheetId="12">[1]定义!$M$1:$M$6</definedName>
    <definedName name="办公集聚程度" localSheetId="21">[2]定义!$M$1:$M$6</definedName>
    <definedName name="办公集聚程度">定义!$M$1:$M$6</definedName>
    <definedName name="办公建筑结构" localSheetId="12">'[1]比较法-办公'!$B$106:$M$106</definedName>
    <definedName name="办公建筑结构" localSheetId="21">'[2]比较法-办公'!$B$106:$M$106</definedName>
    <definedName name="办公建筑结构">'比较法-办公'!$B$106:$M$106</definedName>
    <definedName name="办公建筑类型" localSheetId="12">'[1]比较法-办公'!$B$101:$M$101</definedName>
    <definedName name="办公建筑类型" localSheetId="21">'[2]比较法-办公'!$B$101:$M$101</definedName>
    <definedName name="办公建筑类型">'比较法-办公'!$B$101:$M$101</definedName>
    <definedName name="办公交易情况" localSheetId="12">'[1]比较法-办公'!$A$62:$M$62</definedName>
    <definedName name="办公交易情况" localSheetId="21">'[2]比较法-办公'!$A$62:$M$62</definedName>
    <definedName name="办公交易情况">'比较法-办公'!$A$62:$M$62</definedName>
    <definedName name="办公楼层" localSheetId="12">'[1]比较法-办公'!$B$89:$M$89</definedName>
    <definedName name="办公楼层" localSheetId="21">'[2]比较法-办公'!$B$89:$M$89</definedName>
    <definedName name="办公楼层">'比较法-办公'!$B$89:$M$89</definedName>
    <definedName name="办公内部装修" localSheetId="12">'[1]比较法-办公'!$B$123:$M$123</definedName>
    <definedName name="办公内部装修" localSheetId="21">'[2]比较法-办公'!$B$123:$M$123</definedName>
    <definedName name="办公内部装修">'比较法-办公'!$B$123:$M$123</definedName>
    <definedName name="办公物业管理" localSheetId="12">'[1]比较法-办公'!$B$115:$M$115</definedName>
    <definedName name="办公物业管理" localSheetId="21">'[2]比较法-办公'!$B$115:$M$115</definedName>
    <definedName name="办公物业管理">'比较法-办公'!$B$115:$M$115</definedName>
    <definedName name="办公用途" localSheetId="12">'[1]比较法-办公'!$B$64:$M$64</definedName>
    <definedName name="办公用途" localSheetId="21">'[2]比较法-办公'!$B$64:$M$64</definedName>
    <definedName name="办公用途">'比较法-办公'!$B$64:$M$64</definedName>
    <definedName name="仓储公共部分装修" localSheetId="12">'[1]比较法-仓储'!$B$77:$M$77</definedName>
    <definedName name="仓储公共部分装修" localSheetId="21">'[2]比较法-仓储'!$B$77:$M$77</definedName>
    <definedName name="仓储公共部分装修">'比较法-仓储'!$B$77:$M$77</definedName>
    <definedName name="仓储交易情况" localSheetId="12">'[1]比较法-仓储'!$A$49:$M$49</definedName>
    <definedName name="仓储交易情况" localSheetId="21">'[2]比较法-仓储'!$A$49:$M$49</definedName>
    <definedName name="仓储交易情况">'比较法-仓储'!$A$49:$M$49</definedName>
    <definedName name="仓储楼层" localSheetId="12">'[1]比较法-仓储'!$B$69:$M$69</definedName>
    <definedName name="仓储楼层" localSheetId="21">'[2]比较法-仓储'!$B$69:$M$69</definedName>
    <definedName name="仓储楼层">'比较法-仓储'!$B$69:$M$69</definedName>
    <definedName name="仓储物业等级" localSheetId="12">'[1]比较法-仓储'!$B$82:$M$82</definedName>
    <definedName name="仓储物业等级" localSheetId="21">'[2]比较法-仓储'!$B$82:$M$82</definedName>
    <definedName name="仓储物业等级">'比较法-仓储'!$B$82:$M$82</definedName>
    <definedName name="仓储用途" localSheetId="12">'[1]比较法-仓储'!$B$51:$M$51</definedName>
    <definedName name="仓储用途" localSheetId="21">'[2]比较法-仓储'!$B$51:$M$51</definedName>
    <definedName name="仓储用途">'比较法-仓储'!$B$51:$M$51</definedName>
    <definedName name="产业集聚程度" localSheetId="12">[1]定义!$N$1:$N$6</definedName>
    <definedName name="产业集聚程度" localSheetId="21">[2]定义!$N$1:$N$6</definedName>
    <definedName name="产业集聚程度">定义!$N$1:$N$6</definedName>
    <definedName name="车位公共部分装修" localSheetId="12">'[1]比较法-车位'!$B$83:$M$83</definedName>
    <definedName name="车位公共部分装修" localSheetId="21">'[2]比较法-车位'!$B$83:$M$83</definedName>
    <definedName name="车位公共部分装修">'比较法-车位'!$B$83:$M$83</definedName>
    <definedName name="车位交易情况" localSheetId="12">'[1]比较法-车位'!$A$51:$M$51</definedName>
    <definedName name="车位交易情况" localSheetId="21">'[2]比较法-车位'!$A$51:$M$51</definedName>
    <definedName name="车位交易情况">'比较法-车位'!$A$51:$M$51</definedName>
    <definedName name="车位类型" localSheetId="12">'[1]比较法-车位'!$B$93:$M$93</definedName>
    <definedName name="车位类型" localSheetId="21">'[2]比较法-车位'!$B$93:$M$93</definedName>
    <definedName name="车位类型">'比较法-车位'!$B$93:$M$93</definedName>
    <definedName name="车位楼层" localSheetId="12">'[1]比较法-车位'!$B$71:$M$71</definedName>
    <definedName name="车位楼层" localSheetId="21">'[2]比较法-车位'!$B$71:$M$71</definedName>
    <definedName name="车位楼层">'比较法-车位'!$B$71:$M$71</definedName>
    <definedName name="车位配套类型" localSheetId="12">'[1]比较法-车位'!$B$79:$M$79</definedName>
    <definedName name="车位配套类型" localSheetId="21">'[2]比较法-车位'!$B$79:$M$79</definedName>
    <definedName name="车位配套类型">'比较法-车位'!$B$79:$M$79</definedName>
    <definedName name="车位物业等级" localSheetId="12">'[1]比较法-车位'!$B$88:$M$88</definedName>
    <definedName name="车位物业等级" localSheetId="21">'[2]比较法-车位'!$B$88:$M$88</definedName>
    <definedName name="车位物业等级">'比较法-车位'!$B$88:$M$88</definedName>
    <definedName name="车位用途" localSheetId="12">'[1]比较法-车位'!$B$53:$M$53</definedName>
    <definedName name="车位用途" localSheetId="21">'[2]比较法-车位'!$B$53:$M$53</definedName>
    <definedName name="车位用途">'比较法-车位'!$B$53:$M$53</definedName>
    <definedName name="城镇土地纳税等级分级范围" localSheetId="12">'[1]数据-取费表'!$A$53:$A$63</definedName>
    <definedName name="城镇土地纳税等级分级范围" localSheetId="21">'[2]数据-取费表'!$A$53:$A$63</definedName>
    <definedName name="城镇土地纳税等级分级范围">'数据-取费表'!$A$53:$A$63</definedName>
    <definedName name="单价内涵" localSheetId="12">[1]定义!$V$1:$V$3</definedName>
    <definedName name="单价内涵" localSheetId="21">[2]定义!$V$1:$V$3</definedName>
    <definedName name="单价内涵">定义!$V$1:$V$3</definedName>
    <definedName name="地类判定" localSheetId="12">[1]定义!$H$1:$H$9</definedName>
    <definedName name="地类判定" localSheetId="21">[2]定义!$H$1:$H$9</definedName>
    <definedName name="地类判定">定义!$H$1:$H$9</definedName>
    <definedName name="二级">区片价!$J$1:$J$21</definedName>
    <definedName name="二级分类" localSheetId="12">[1]修正!$C$19:$C$51</definedName>
    <definedName name="二级分类" localSheetId="21">[2]修正!$C$19:$C$51</definedName>
    <definedName name="二级分类">修正!$C$19:$C$51</definedName>
    <definedName name="法定最高年限" localSheetId="12">[1]定义!$G$1:$G$6</definedName>
    <definedName name="法定最高年限" localSheetId="21">[2]定义!$G$1:$G$6</definedName>
    <definedName name="法定最高年限">定义!$G$1:$G$6</definedName>
    <definedName name="工业公共部分装修" localSheetId="12">'[1]比较法-工业'!$B$95:$M$95</definedName>
    <definedName name="工业公共部分装修" localSheetId="21">'[2]比较法-工业'!$B$95:$M$95</definedName>
    <definedName name="工业公共部分装修">'比较法-工业'!$B$95:$M$95</definedName>
    <definedName name="工业基础设施水平" localSheetId="12">'[1]比较法-工业'!$B$102:$M$102</definedName>
    <definedName name="工业基础设施水平" localSheetId="21">'[2]比较法-工业'!$B$102:$M$102</definedName>
    <definedName name="工业基础设施水平">'比较法-工业'!$B$102:$M$102</definedName>
    <definedName name="工业建筑结构" localSheetId="12">'[1]比较法-工业'!$B$93:$M$93</definedName>
    <definedName name="工业建筑结构" localSheetId="21">'[2]比较法-工业'!$B$93:$M$93</definedName>
    <definedName name="工业建筑结构">'比较法-工业'!$B$93:$M$93</definedName>
    <definedName name="工业建筑类型" localSheetId="12">'[1]比较法-工业'!$B$88:$M$88</definedName>
    <definedName name="工业建筑类型" localSheetId="21">'[2]比较法-工业'!$B$88:$M$88</definedName>
    <definedName name="工业建筑类型">'比较法-工业'!$B$88:$M$88</definedName>
    <definedName name="工业交易情况" localSheetId="12">'[1]比较法-工业'!$A$55:$M$55</definedName>
    <definedName name="工业交易情况" localSheetId="21">'[2]比较法-工业'!$A$55:$M$55</definedName>
    <definedName name="工业交易情况">'比较法-工业'!$A$55:$M$55</definedName>
    <definedName name="工业内部装修" localSheetId="12">'[1]比较法-工业'!$B$104:$M$104</definedName>
    <definedName name="工业内部装修" localSheetId="21">'[2]比较法-工业'!$B$104:$M$104</definedName>
    <definedName name="工业内部装修">'比较法-工业'!$B$104:$M$104</definedName>
    <definedName name="工业物业管理" localSheetId="12">'[1]比较法-工业'!$B$100:$M$100</definedName>
    <definedName name="工业物业管理" localSheetId="21">'[2]比较法-工业'!$B$100:$M$100</definedName>
    <definedName name="工业物业管理">'比较法-工业'!$B$100:$M$100</definedName>
    <definedName name="工业用途" localSheetId="12">'[1]比较法-工业'!$B$57:$M$57</definedName>
    <definedName name="工业用途" localSheetId="21">'[2]比较法-工业'!$B$57:$M$57</definedName>
    <definedName name="工业用途">'比较法-工业'!$B$57:$M$57</definedName>
    <definedName name="公共配套设施" localSheetId="12">[1]定义!$Q$1:$Q$6</definedName>
    <definedName name="公共配套设施" localSheetId="21">[2]定义!$Q$1:$Q$6</definedName>
    <definedName name="公共配套设施">定义!$Q$1:$Q$6</definedName>
    <definedName name="估价范围判定" localSheetId="12">[1]定义!$D$1:$D$4</definedName>
    <definedName name="估价范围判定" localSheetId="21">[2]定义!$D$1:$D$4</definedName>
    <definedName name="估价范围判定">定义!$D$1:$D$4</definedName>
    <definedName name="估价方法" localSheetId="12">[1]定义!$B$1:$B$50</definedName>
    <definedName name="估价方法" localSheetId="21">[2]定义!$B$1:$B$50</definedName>
    <definedName name="估价方法">定义!$B$1:$B$50</definedName>
    <definedName name="环境" localSheetId="12">[1]定义!$S$1:$S$6</definedName>
    <definedName name="环境" localSheetId="21">[2]定义!$S$1:$S$6</definedName>
    <definedName name="环境">定义!$S$1:$S$6</definedName>
    <definedName name="基础设施水平" localSheetId="12">[1]定义!$R$1:$R$6</definedName>
    <definedName name="基础设施水平" localSheetId="21">[2]定义!$R$1:$R$6</definedName>
    <definedName name="基础设施水平">定义!$R$1:$R$6</definedName>
    <definedName name="季度" localSheetId="25">基准地价修正办!$Q$19:$AD$19</definedName>
    <definedName name="季度">基准地价修正!$Q$19:$AD$19</definedName>
    <definedName name="价值类型2" localSheetId="12">[1]定义!$B$54:$B$56</definedName>
    <definedName name="价值类型2" localSheetId="21">[2]定义!$B$54:$B$56</definedName>
    <definedName name="价值类型2">定义!$B$54:$B$56</definedName>
    <definedName name="交通便捷度" localSheetId="12">[1]定义!$O$1:$O$6</definedName>
    <definedName name="交通便捷度" localSheetId="21">[2]定义!$O$1:$O$6</definedName>
    <definedName name="交通便捷度">定义!$O$1:$O$6</definedName>
    <definedName name="九级">区片价!$Q$1:$Q$51</definedName>
    <definedName name="居住社区成熟度" localSheetId="12">[1]定义!$K$1:$K$6</definedName>
    <definedName name="居住社区成熟度" localSheetId="21">[2]定义!$K$1:$K$6</definedName>
    <definedName name="居住社区成熟度">定义!$K$1:$K$6</definedName>
    <definedName name="可用科目">[3]隐藏数据!$B$1:$B$300</definedName>
    <definedName name="类别" localSheetId="12">[1]定义!$J$1:$J$3</definedName>
    <definedName name="类别" localSheetId="21">[2]定义!$J$1:$J$3</definedName>
    <definedName name="类别">定义!$J$1:$J$3</definedName>
    <definedName name="临街状况" localSheetId="12">[1]定义!$T$1:$T$5</definedName>
    <definedName name="临街状况" localSheetId="21">[2]定义!$T$1:$T$5</definedName>
    <definedName name="临街状况">定义!$T$1:$T$5</definedName>
    <definedName name="六级">区片价!$N$1:$N$64</definedName>
    <definedName name="内部装修维护情况" localSheetId="12">[1]定义!$U$1:$U$6</definedName>
    <definedName name="内部装修维护情况" localSheetId="21">[2]定义!$U$1:$U$6</definedName>
    <definedName name="内部装修维护情况">定义!$U$1:$U$6</definedName>
    <definedName name="判定">[4]定义!$D$1:$D$4</definedName>
    <definedName name="七级">区片价!$O$1:$O$45</definedName>
    <definedName name="七通一平" localSheetId="12">[1]修正!$A$8:$A$16</definedName>
    <definedName name="七通一平" localSheetId="21">[2]修正!$A$8:$A$16</definedName>
    <definedName name="七通一平">修正!$A$8:$A$16</definedName>
    <definedName name="区域土地利用方向" localSheetId="12">[1]定义!$P$1:$P$6</definedName>
    <definedName name="区域土地利用方向" localSheetId="21">[2]定义!$P$1:$P$6</definedName>
    <definedName name="区域土地利用方向">定义!$P$1:$P$6</definedName>
    <definedName name="三级">区片价!$K$1:$K$26</definedName>
    <definedName name="商业层高" localSheetId="12">'[1]比较法-商业'!$B$116:$M$116</definedName>
    <definedName name="商业层高" localSheetId="21">'[2]比较法-商业'!$B$116:$M$116</definedName>
    <definedName name="商业层高">'比较法-商业'!$B$116:$M$116</definedName>
    <definedName name="商业成新度">'比较法-商业'!$B$109:$M$109</definedName>
    <definedName name="商业繁华度" localSheetId="12">[1]定义!$L$1:$L$6</definedName>
    <definedName name="商业繁华度" localSheetId="21">[2]定义!$L$1:$L$6</definedName>
    <definedName name="商业繁华度">定义!$L$1:$L$6</definedName>
    <definedName name="商业公共部分装修" localSheetId="12">'[1]比较法-商业'!$B$107:$M$107</definedName>
    <definedName name="商业公共部分装修" localSheetId="21">'[2]比较法-商业'!$B$107:$M$107</definedName>
    <definedName name="商业公共部分装修">'比较法-商业'!$B$107:$M$107</definedName>
    <definedName name="商业基础设施水平" localSheetId="12">'[1]比较法-商业'!$B$112:$M$112</definedName>
    <definedName name="商业基础设施水平" localSheetId="21">'[2]比较法-商业'!$B$112:$M$112</definedName>
    <definedName name="商业基础设施水平">'比较法-商业'!$B$112:$M$112</definedName>
    <definedName name="商业建筑结构" localSheetId="12">'[1]比较法-商业'!$B$105:$M$105</definedName>
    <definedName name="商业建筑结构" localSheetId="21">'[2]比较法-商业'!$B$105:$M$105</definedName>
    <definedName name="商业建筑结构">'比较法-商业'!$B$105:$M$105</definedName>
    <definedName name="商业交易情况" localSheetId="12">'[1]比较法-商业'!$A$61:$M$61</definedName>
    <definedName name="商业交易情况" localSheetId="21">'[2]比较法-商业'!$A$61:$M$61</definedName>
    <definedName name="商业交易情况">'比较法-商业'!$A$61:$M$61</definedName>
    <definedName name="商业街名称" localSheetId="12">[1]修正!$C$71:$C$138</definedName>
    <definedName name="商业街名称" localSheetId="21">[2]修正!$C$71:$C$138</definedName>
    <definedName name="商业街名称">修正!$C$71:$C$138</definedName>
    <definedName name="商业进深比" localSheetId="12">'[1]比较法-商业'!$B$120:$M$120</definedName>
    <definedName name="商业进深比" localSheetId="21">'[2]比较法-商业'!$B$120:$M$120</definedName>
    <definedName name="商业进深比">'比较法-商业'!$B$120:$M$120</definedName>
    <definedName name="商业类型" localSheetId="12">'[1]比较法-商业'!$B$100:$M$100</definedName>
    <definedName name="商业类型" localSheetId="21">'[2]比较法-商业'!$B$100:$M$100</definedName>
    <definedName name="商业类型">'比较法-商业'!$B$100:$M$100</definedName>
    <definedName name="商业临街状况" localSheetId="12">'[1]比较法-商业'!$B$86:$M$86</definedName>
    <definedName name="商业临街状况" localSheetId="21">'[2]比较法-商业'!$B$86:$M$86</definedName>
    <definedName name="商业临街状况">'比较法-商业'!$B$86:$M$86</definedName>
    <definedName name="商业楼层" localSheetId="12">'[1]比较法-商业'!$B$92:$M$92</definedName>
    <definedName name="商业楼层" localSheetId="21">'[2]比较法-商业'!$B$92:$M$92</definedName>
    <definedName name="商业楼层">'比较法-商业'!$B$92:$M$92</definedName>
    <definedName name="商业内部装修" localSheetId="12">'[1]比较法-商业'!$B$122:$M$122</definedName>
    <definedName name="商业内部装修" localSheetId="21">'[2]比较法-商业'!$B$122:$M$122</definedName>
    <definedName name="商业内部装修">'比较法-商业'!$B$122:$M$122</definedName>
    <definedName name="商业人流量" localSheetId="12">'[1]比较法-商业'!$B$90:$M$90</definedName>
    <definedName name="商业人流量" localSheetId="21">'[2]比较法-商业'!$B$90:$M$90</definedName>
    <definedName name="商业人流量">'比较法-商业'!$B$90:$M$90</definedName>
    <definedName name="商业业态" localSheetId="12">'[1]比较法-商业'!$B$114:$M$114</definedName>
    <definedName name="商业业态" localSheetId="21">'[2]比较法-商业'!$B$114:$M$114</definedName>
    <definedName name="商业业态">'比较法-商业'!$B$114:$M$114</definedName>
    <definedName name="商业用途" localSheetId="12">'[1]比较法-商业'!$B$63:$M$63</definedName>
    <definedName name="商业用途" localSheetId="2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1">'[2]比较法-仓储'!$B$89:$M$89</definedName>
    <definedName name="是否封闭">'比较法-仓储'!$B$89:$M$89</definedName>
    <definedName name="是否直接入户" localSheetId="12">'[1]比较法-车位'!$B$95:$M$95</definedName>
    <definedName name="是否直接入户" localSheetId="21">'[2]比较法-车位'!$B$95:$M$95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1">'[2]土地比较法-工业'!$B$97:$M$97</definedName>
    <definedName name="套工道路等级">'土地比较法-工业'!$B$97:$M$97</definedName>
    <definedName name="套工地质条件" localSheetId="12">'[1]土地比较法-工业'!$B$114:$M$114</definedName>
    <definedName name="套工地质条件" localSheetId="21">'[2]土地比较法-工业'!$B$114:$M$114</definedName>
    <definedName name="套工地质条件">'土地比较法-工业'!$B$114:$M$114</definedName>
    <definedName name="套工交易情况" localSheetId="12">'[1]土地比较法-住宅、综合'!$A$72:$M$72</definedName>
    <definedName name="套工交易情况" localSheetId="21">'[2]土地比较法-住宅、综合'!$A$72:$M$72</definedName>
    <definedName name="套工交易情况">'土地比较法-住宅、综合'!$A$72:$M$72</definedName>
    <definedName name="套工土地级别" localSheetId="12">'[1]土地比较法-工业'!$B$99:$M$99</definedName>
    <definedName name="套工土地级别" localSheetId="21">'[2]土地比较法-工业'!$B$99:$M$99</definedName>
    <definedName name="套工土地级别">'土地比较法-工业'!$B$99:$M$99</definedName>
    <definedName name="套工用途" localSheetId="12">'[1]土地比较法-工业'!$B$70:$M$70</definedName>
    <definedName name="套工用途" localSheetId="21">'[2]土地比较法-工业'!$B$70:$M$70</definedName>
    <definedName name="套工用途">'土地比较法-工业'!$B$70:$M$70</definedName>
    <definedName name="套工宗地开发程度" localSheetId="12">'[1]土地比较法-工业'!$B$112:$M$112</definedName>
    <definedName name="套工宗地开发程度" localSheetId="21">'[2]土地比较法-工业'!$B$112:$M$112</definedName>
    <definedName name="套工宗地开发程度">'土地比较法-工业'!$B$112:$M$112</definedName>
    <definedName name="套工宗地形状" localSheetId="12">'[1]土地比较法-工业'!$B$110:$M$110</definedName>
    <definedName name="套工宗地形状" localSheetId="21">'[2]土地比较法-工业'!$B$110:$M$110</definedName>
    <definedName name="套工宗地形状">'土地比较法-工业'!$B$110:$M$110</definedName>
    <definedName name="套综道路等级" localSheetId="12">'[1]土地比较法-住宅、综合'!$B$105:$M$105</definedName>
    <definedName name="套综道路等级" localSheetId="21">'[2]土地比较法-住宅、综合'!$B$105:$M$105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1">'[2]土地比较法-住宅、综合'!$B$124:$M$124</definedName>
    <definedName name="套综工程地质条件">'土地比较法-住宅、综合'!$B$124:$M$124</definedName>
    <definedName name="套综交易情况" localSheetId="12">'[1]土地比较法-住宅、综合'!$A$72:$M$72</definedName>
    <definedName name="套综交易情况" localSheetId="21">'[2]土地比较法-住宅、综合'!$A$72:$M$72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1">'[2]土地比较法-住宅、综合'!$B$120:$M$120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1">'[2]土地比较法-住宅、综合'!$B$107:$M$107</definedName>
    <definedName name="套综土地级别">'土地比较法-住宅、综合'!$B$107:$M$107</definedName>
    <definedName name="套综用途" localSheetId="12">'[1]土地比较法-住宅、综合'!$B$74:$M$74</definedName>
    <definedName name="套综用途" localSheetId="21">'[2]土地比较法-住宅、综合'!$B$74:$M$74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1">'[2]土地比较法-住宅、综合'!$B$122:$M$122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1">'[2]土地比较法-住宅、综合'!$B$118:$M$118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 localSheetId="21">[2]定义!$C$1:$C$14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[2]定义!$E$2:$E$4</definedName>
    <definedName name="位置">定义!$E$2:$E$4</definedName>
    <definedName name="五等判定" localSheetId="12">[1]定义!$W$1:$W$6</definedName>
    <definedName name="五等判定" localSheetId="21">[2]定义!$W$1:$W$6</definedName>
    <definedName name="五等判定">定义!$W$1:$W$6</definedName>
    <definedName name="五级">区片价!$M$1:$M$41</definedName>
    <definedName name="项目类型" localSheetId="12">'[1]数据-汇总表'!$C$17:$C$26</definedName>
    <definedName name="项目类型" localSheetId="31">'[5]数据-汇总表'!$C$17:$C$26</definedName>
    <definedName name="项目类型" localSheetId="21">'[2]数据-汇总表'!$C$17:$C$26</definedName>
    <definedName name="项目类型">'数据-汇总表'!$C$17:$C$26</definedName>
    <definedName name="写字楼等级" localSheetId="12">'[1]比较法-办公'!$B$113:$M$113</definedName>
    <definedName name="写字楼等级" localSheetId="21">'[2]比较法-办公'!$B$113:$M$113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1">[2]典型户型修正!$5:$5</definedName>
    <definedName name="一修多修正项2">典型户型修正!$5:$5</definedName>
    <definedName name="一修多修正项3" localSheetId="12">[1]典型户型修正!$7:$7</definedName>
    <definedName name="一修多修正项3" localSheetId="21">[2]典型户型修正!$7:$7</definedName>
    <definedName name="一修多修正项3">典型户型修正!$7:$7</definedName>
    <definedName name="一修多修正项4" localSheetId="12">[1]典型户型修正!$9:$9</definedName>
    <definedName name="一修多修正项4" localSheetId="21">[2]典型户型修正!$9:$9</definedName>
    <definedName name="一修多修正项4">典型户型修正!$9:$9</definedName>
    <definedName name="一修多修正项5" localSheetId="12">[1]典型户型修正!$11:$11</definedName>
    <definedName name="一修多修正项5" localSheetId="21">[2]典型户型修正!$11:$11</definedName>
    <definedName name="一修多修正项5">典型户型修正!$11:$11</definedName>
    <definedName name="一修多修正项6" localSheetId="12">[1]典型户型修正!$13:$13</definedName>
    <definedName name="一修多修正项6" localSheetId="21">[2]典型户型修正!$13:$13</definedName>
    <definedName name="一修多修正项6">典型户型修正!$13:$13</definedName>
    <definedName name="一修多修正项7" localSheetId="12">[1]典型户型修正!$15:$15</definedName>
    <definedName name="一修多修正项7" localSheetId="21">[2]典型户型修正!$15:$15</definedName>
    <definedName name="一修多修正项7">典型户型修正!$15:$15</definedName>
    <definedName name="一修多修正项8" localSheetId="12">[1]典型户型修正!$17:$17</definedName>
    <definedName name="一修多修正项8" localSheetId="21">[2]典型户型修正!$17:$17</definedName>
    <definedName name="一修多修正项8">典型户型修正!$17:$17</definedName>
    <definedName name="用途明细" localSheetId="12">[1]定义!$A$1:$A$50</definedName>
    <definedName name="用途明细" localSheetId="21">[2]定义!$A$1:$A$50</definedName>
    <definedName name="用途明细">定义!$A$1:$A$50</definedName>
    <definedName name="有无电梯" localSheetId="12">'[1]比较法-仓储'!$B$84:$M$84</definedName>
    <definedName name="有无电梯" localSheetId="21">'[2]比较法-仓储'!$B$84:$M$84</definedName>
    <definedName name="有无电梯">'比较法-仓储'!$B$84:$M$84</definedName>
    <definedName name="主用途" localSheetId="12">[1]定义!$F$1:$F$12</definedName>
    <definedName name="主用途" localSheetId="21">[2]定义!$F$1:$F$12</definedName>
    <definedName name="主用途">定义!$F$1:$F$12</definedName>
    <definedName name="住宅朝向" localSheetId="12">'[1]比较法-住宅'!$B$88:$M$88</definedName>
    <definedName name="住宅朝向" localSheetId="21">'[2]比较法-住宅'!$B$88:$M$88</definedName>
    <definedName name="住宅朝向">'比较法-住宅'!$B$88:$M$88</definedName>
    <definedName name="住宅房型" localSheetId="12">'[1]比较法-住宅'!$B$118:$M$118</definedName>
    <definedName name="住宅房型" localSheetId="21">'[2]比较法-住宅'!$B$118:$M$118</definedName>
    <definedName name="住宅房型">'比较法-住宅'!$B$118:$M$118</definedName>
    <definedName name="住宅公共部分装修" localSheetId="12">'[1]比较法-住宅'!$B$109:$M$109</definedName>
    <definedName name="住宅公共部分装修" localSheetId="21">'[2]比较法-住宅'!$B$109:$M$109</definedName>
    <definedName name="住宅公共部分装修">'比较法-住宅'!$B$109:$M$109</definedName>
    <definedName name="住宅基础设施水平" localSheetId="12">'[1]比较法-住宅'!$B$116:$M$116</definedName>
    <definedName name="住宅基础设施水平" localSheetId="21">'[2]比较法-住宅'!$B$116:$M$116</definedName>
    <definedName name="住宅基础设施水平">'比较法-住宅'!$B$116:$M$116</definedName>
    <definedName name="住宅建筑结构" localSheetId="12">'[1]比较法-住宅'!$B$105:$M$105</definedName>
    <definedName name="住宅建筑结构" localSheetId="21">'[2]比较法-住宅'!$B$105:$M$105</definedName>
    <definedName name="住宅建筑结构">'比较法-住宅'!$B$105:$M$105</definedName>
    <definedName name="住宅建筑类型" localSheetId="12">'[1]比较法-住宅'!$B$100:$M$100</definedName>
    <definedName name="住宅建筑类型" localSheetId="21">'[2]比较法-住宅'!$B$100:$M$100</definedName>
    <definedName name="住宅建筑类型">'比较法-住宅'!$B$100:$M$100</definedName>
    <definedName name="住宅建筑品质" localSheetId="12">'[1]比较法-住宅'!$B$107:$M$107</definedName>
    <definedName name="住宅建筑品质" localSheetId="21">'[2]比较法-住宅'!$B$107:$M$107</definedName>
    <definedName name="住宅建筑品质">'比较法-住宅'!$B$107:$M$107</definedName>
    <definedName name="住宅交易情况" localSheetId="12">'[1]比较法-住宅'!$A$61:$M$61</definedName>
    <definedName name="住宅交易情况" localSheetId="21">'[2]比较法-住宅'!$A$61:$M$61</definedName>
    <definedName name="住宅交易情况">'比较法-住宅'!$A$61:$M$61</definedName>
    <definedName name="住宅楼层" localSheetId="12">'[1]比较法-住宅'!$B$86:$M$86</definedName>
    <definedName name="住宅楼层" localSheetId="21">'[2]比较法-住宅'!$B$86:$M$86</definedName>
    <definedName name="住宅楼层">'比较法-住宅'!$B$86:$M$86</definedName>
    <definedName name="住宅内部装修" localSheetId="12">'[1]比较法-住宅'!$B$122:$M$122</definedName>
    <definedName name="住宅内部装修" localSheetId="21">'[2]比较法-住宅'!$B$122:$M$122</definedName>
    <definedName name="住宅内部装修">'比较法-住宅'!$B$122:$M$122</definedName>
    <definedName name="住宅物业管理" localSheetId="12">'[1]比较法-住宅'!$B$114:$M$114</definedName>
    <definedName name="住宅物业管理" localSheetId="21">'[2]比较法-住宅'!$B$114:$M$114</definedName>
    <definedName name="住宅物业管理">'比较法-住宅'!$B$114:$M$114</definedName>
    <definedName name="住宅用途" localSheetId="12">'[1]比较法-住宅'!$B$63:$M$63</definedName>
    <definedName name="住宅用途" localSheetId="21">'[2]比较法-住宅'!$B$63:$M$63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1">[2]估价师及机构信息!$A$3:$A$16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55" i="80" l="1"/>
  <c r="AK8" i="1" l="1"/>
  <c r="AK7" i="1"/>
  <c r="L34" i="80"/>
  <c r="L33" i="80"/>
  <c r="L32" i="80"/>
  <c r="K19" i="3" l="1"/>
  <c r="I19" i="3"/>
  <c r="B38" i="80"/>
  <c r="C36" i="80"/>
  <c r="D36" i="80" s="1"/>
  <c r="K18" i="3" s="1"/>
  <c r="C35" i="80"/>
  <c r="D35" i="80" s="1"/>
  <c r="K17" i="3" s="1"/>
  <c r="I17" i="3" l="1"/>
  <c r="I18" i="3"/>
  <c r="I38" i="39"/>
  <c r="G38" i="39"/>
  <c r="E38" i="39"/>
  <c r="C38" i="39"/>
  <c r="I46" i="39"/>
  <c r="G46" i="39"/>
  <c r="E46" i="39"/>
  <c r="D117" i="39"/>
  <c r="E117" i="39" s="1"/>
  <c r="F117" i="39" s="1"/>
  <c r="G117" i="39" s="1"/>
  <c r="H117" i="39" s="1"/>
  <c r="I117" i="39" s="1"/>
  <c r="J117" i="39" s="1"/>
  <c r="F116" i="39"/>
  <c r="G116" i="39" s="1"/>
  <c r="H116" i="39" s="1"/>
  <c r="I116" i="39" s="1"/>
  <c r="J116" i="39" s="1"/>
  <c r="I7" i="39"/>
  <c r="G7" i="39"/>
  <c r="E7" i="39"/>
  <c r="I5" i="39"/>
  <c r="G5" i="39"/>
  <c r="E5" i="39"/>
  <c r="L14" i="1" l="1"/>
  <c r="L7" i="1"/>
  <c r="C19" i="3"/>
  <c r="C18" i="3"/>
  <c r="C17" i="3"/>
  <c r="C16" i="3"/>
  <c r="C15" i="3"/>
  <c r="C14" i="3"/>
  <c r="C13" i="3"/>
  <c r="F24" i="80" l="1"/>
  <c r="E24" i="80"/>
  <c r="D24" i="80"/>
  <c r="C24" i="80"/>
  <c r="N22" i="80"/>
  <c r="J22" i="80"/>
  <c r="H22" i="80"/>
  <c r="F22" i="80"/>
  <c r="E22" i="80"/>
  <c r="D22" i="80"/>
  <c r="C22" i="80"/>
  <c r="R21" i="80"/>
  <c r="I21" i="80"/>
  <c r="B21" i="80"/>
  <c r="P20" i="80"/>
  <c r="O20" i="80"/>
  <c r="R20" i="80" s="1"/>
  <c r="G20" i="80"/>
  <c r="B20" i="80"/>
  <c r="K20" i="80" s="1"/>
  <c r="P19" i="80"/>
  <c r="O19" i="80"/>
  <c r="G19" i="80"/>
  <c r="B19" i="80"/>
  <c r="K19" i="80" s="1"/>
  <c r="O18" i="80"/>
  <c r="R18" i="80" s="1"/>
  <c r="G18" i="80"/>
  <c r="B18" i="80"/>
  <c r="Q17" i="80"/>
  <c r="P17" i="80"/>
  <c r="G17" i="80"/>
  <c r="B17" i="80"/>
  <c r="Q16" i="80"/>
  <c r="P16" i="80"/>
  <c r="G16" i="80"/>
  <c r="B16" i="80"/>
  <c r="O15" i="80"/>
  <c r="R15" i="80" s="1"/>
  <c r="K15" i="80"/>
  <c r="G15" i="80"/>
  <c r="B15" i="80"/>
  <c r="C31" i="80" s="1"/>
  <c r="I13" i="3" s="1"/>
  <c r="E10" i="80"/>
  <c r="D10" i="80"/>
  <c r="C10" i="80"/>
  <c r="J9" i="80"/>
  <c r="J10" i="80" s="1"/>
  <c r="I9" i="80"/>
  <c r="I10" i="80" s="1"/>
  <c r="H9" i="80"/>
  <c r="F9" i="80"/>
  <c r="F10" i="80" s="1"/>
  <c r="G8" i="80"/>
  <c r="B8" i="80"/>
  <c r="G7" i="80"/>
  <c r="B7" i="80"/>
  <c r="G6" i="80"/>
  <c r="B6" i="80"/>
  <c r="G5" i="80"/>
  <c r="B5" i="80"/>
  <c r="G4" i="80"/>
  <c r="B4" i="80"/>
  <c r="G3" i="80"/>
  <c r="B3" i="80"/>
  <c r="K3" i="80" s="1"/>
  <c r="C25" i="80" l="1"/>
  <c r="D25" i="80"/>
  <c r="E25" i="80"/>
  <c r="K8" i="80"/>
  <c r="F25" i="80"/>
  <c r="F27" i="80" s="1"/>
  <c r="B9" i="80"/>
  <c r="K4" i="80"/>
  <c r="K6" i="80"/>
  <c r="K7" i="80"/>
  <c r="D31" i="80"/>
  <c r="K13" i="3" s="1"/>
  <c r="K16" i="80"/>
  <c r="C32" i="80"/>
  <c r="K17" i="80"/>
  <c r="C33" i="80"/>
  <c r="K18" i="80"/>
  <c r="C34" i="80"/>
  <c r="K21" i="80"/>
  <c r="E37" i="80"/>
  <c r="E27" i="80"/>
  <c r="P22" i="80"/>
  <c r="B10" i="80"/>
  <c r="Q22" i="80"/>
  <c r="C27" i="80"/>
  <c r="O22" i="80"/>
  <c r="K5" i="80"/>
  <c r="G9" i="80"/>
  <c r="K9" i="80" s="1"/>
  <c r="R16" i="80"/>
  <c r="R17" i="80"/>
  <c r="R19" i="80"/>
  <c r="G21" i="80"/>
  <c r="D27" i="80"/>
  <c r="I22" i="80"/>
  <c r="G22" i="80" s="1"/>
  <c r="H10" i="80"/>
  <c r="G10" i="80" s="1"/>
  <c r="B22" i="80"/>
  <c r="E105" i="34"/>
  <c r="F105" i="34" s="1"/>
  <c r="G105" i="34" s="1"/>
  <c r="D32" i="80" l="1"/>
  <c r="K14" i="3" s="1"/>
  <c r="I14" i="3"/>
  <c r="D34" i="80"/>
  <c r="K16" i="3" s="1"/>
  <c r="I16" i="3"/>
  <c r="R22" i="80"/>
  <c r="D33" i="80"/>
  <c r="K15" i="3" s="1"/>
  <c r="I15" i="3"/>
  <c r="M19" i="3"/>
  <c r="G19" i="6" s="1"/>
  <c r="E57" i="39" s="1"/>
  <c r="J34" i="80"/>
  <c r="F37" i="80"/>
  <c r="E38" i="80"/>
  <c r="D41" i="80" s="1"/>
  <c r="D43" i="80" s="1"/>
  <c r="G27" i="80"/>
  <c r="C38" i="80"/>
  <c r="C41" i="80" s="1"/>
  <c r="K22" i="80"/>
  <c r="K23" i="80"/>
  <c r="G25" i="80"/>
  <c r="K10" i="80"/>
  <c r="K11" i="80" s="1"/>
  <c r="F123" i="34"/>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M85" i="81"/>
  <c r="N85" i="81" s="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s="1"/>
  <c r="D55" i="81"/>
  <c r="M54" i="81"/>
  <c r="N54" i="81" s="1"/>
  <c r="K54" i="81"/>
  <c r="J54" i="81" s="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N7" i="1"/>
  <c r="N8" i="1" s="1"/>
  <c r="N14" i="1" s="1"/>
  <c r="F17" i="82"/>
  <c r="D3" i="4"/>
  <c r="G14" i="73"/>
  <c r="F14" i="73"/>
  <c r="E14" i="73"/>
  <c r="C43" i="80" l="1"/>
  <c r="J32" i="80"/>
  <c r="J31" i="80"/>
  <c r="D38" i="80"/>
  <c r="E41" i="80" s="1"/>
  <c r="E43" i="80" s="1"/>
  <c r="F38" i="80"/>
  <c r="F41" i="80" s="1"/>
  <c r="F43" i="80" s="1"/>
  <c r="O19" i="3"/>
  <c r="G21" i="6" s="1"/>
  <c r="D62" i="81"/>
  <c r="E61" i="81" s="1"/>
  <c r="B59" i="81" s="1"/>
  <c r="N65" i="81"/>
  <c r="D63" i="81"/>
  <c r="D64" i="81"/>
  <c r="N1" i="81"/>
  <c r="F17" i="83"/>
  <c r="E50" i="81"/>
  <c r="B48" i="81" s="1"/>
  <c r="E72" i="81"/>
  <c r="B70" i="81" s="1"/>
  <c r="E83" i="81"/>
  <c r="B81" i="81" s="1"/>
  <c r="D22" i="83"/>
  <c r="D23" i="83"/>
  <c r="P61" i="83"/>
  <c r="D22" i="82"/>
  <c r="D23" i="82"/>
  <c r="P61" i="82"/>
  <c r="L21" i="81"/>
  <c r="M3" i="81"/>
  <c r="H83" i="81"/>
  <c r="H90" i="81"/>
  <c r="S5" i="81"/>
  <c r="G18" i="81"/>
  <c r="M1" i="81"/>
  <c r="M2" i="81"/>
  <c r="M7" i="81"/>
  <c r="I18" i="81"/>
  <c r="H72" i="81"/>
  <c r="H79" i="81"/>
  <c r="H87" i="81"/>
  <c r="S4" i="81"/>
  <c r="S6" i="81"/>
  <c r="X7" i="81"/>
  <c r="H76" i="81"/>
  <c r="E10" i="81"/>
  <c r="E11" i="81"/>
  <c r="E8" i="81"/>
  <c r="E9" i="81"/>
  <c r="H101" i="81"/>
  <c r="H95" i="81"/>
  <c r="H98" i="81"/>
  <c r="H99" i="81"/>
  <c r="H96" i="81"/>
  <c r="H93" i="81"/>
  <c r="H97" i="81"/>
  <c r="N2" i="8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41" i="80" l="1"/>
  <c r="G43" i="80"/>
  <c r="C38" i="9" s="1"/>
  <c r="J33" i="80"/>
  <c r="F61" i="81"/>
  <c r="H64" i="81" s="1"/>
  <c r="C6" i="81"/>
  <c r="C28" i="81"/>
  <c r="H67" i="81"/>
  <c r="H63" i="81"/>
  <c r="H62" i="81"/>
  <c r="E17" i="81"/>
  <c r="H57" i="81"/>
  <c r="H54" i="81"/>
  <c r="H51" i="81"/>
  <c r="H58" i="81"/>
  <c r="H52" i="81"/>
  <c r="H55" i="81"/>
  <c r="H53" i="81"/>
  <c r="H50" i="81"/>
  <c r="H56" i="81"/>
  <c r="G21" i="81"/>
  <c r="G15" i="73"/>
  <c r="F15" i="73"/>
  <c r="E15" i="73"/>
  <c r="G16" i="73"/>
  <c r="F16" i="73"/>
  <c r="E16" i="73"/>
  <c r="H66" i="81" l="1"/>
  <c r="H68" i="81"/>
  <c r="H65" i="81"/>
  <c r="H61" i="81"/>
  <c r="J35" i="80"/>
  <c r="L35" i="80" s="1"/>
  <c r="H69" i="8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C20" i="81" s="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1" l="1"/>
  <c r="D5" i="81"/>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28" i="71" s="1"/>
  <c r="B27" i="71" s="1"/>
  <c r="B30" i="71"/>
  <c r="B31" i="71" s="1"/>
  <c r="B32" i="71" s="1"/>
  <c r="S32"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A24" i="51" s="1"/>
  <c r="B18" i="72" s="1"/>
  <c r="B17" i="72"/>
  <c r="B15" i="72"/>
  <c r="A3" i="51"/>
  <c r="C8" i="11"/>
  <c r="B40" i="48"/>
  <c r="B3" i="72" s="1"/>
  <c r="F35" i="4"/>
  <c r="J55" i="39"/>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N5"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L505" i="3" s="1"/>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W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B126" i="39"/>
  <c r="J43" i="39" s="1"/>
  <c r="D125" i="39"/>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D90" i="39"/>
  <c r="E90" i="39" s="1"/>
  <c r="F90" i="39" s="1"/>
  <c r="G90" i="39" s="1"/>
  <c r="D88" i="39"/>
  <c r="E88" i="39" s="1"/>
  <c r="F88" i="39" s="1"/>
  <c r="G88" i="39" s="1"/>
  <c r="B85" i="39"/>
  <c r="J14" i="39" s="1"/>
  <c r="AC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AB26" i="37" s="1"/>
  <c r="D79" i="37"/>
  <c r="E79" i="37" s="1"/>
  <c r="D75" i="37"/>
  <c r="E75" i="37" s="1"/>
  <c r="F75" i="37" s="1"/>
  <c r="G75" i="37" s="1"/>
  <c r="D73" i="37"/>
  <c r="E73" i="37" s="1"/>
  <c r="F73" i="37" s="1"/>
  <c r="D71" i="37"/>
  <c r="H15" i="37"/>
  <c r="AB15" i="37" s="1"/>
  <c r="B68" i="37"/>
  <c r="J14" i="37" s="1"/>
  <c r="B66" i="37"/>
  <c r="B64" i="37"/>
  <c r="H12" i="37" s="1"/>
  <c r="AB12" i="37" s="1"/>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s="1"/>
  <c r="G64" i="36" s="1"/>
  <c r="J16" i="36"/>
  <c r="W16" i="36" s="1"/>
  <c r="D62" i="36"/>
  <c r="E62" i="36" s="1"/>
  <c r="F62" i="36" s="1"/>
  <c r="G62" i="36" s="1"/>
  <c r="B59" i="36"/>
  <c r="J13" i="36" s="1"/>
  <c r="B57" i="36"/>
  <c r="J12" i="36"/>
  <c r="B55" i="36"/>
  <c r="F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J25" i="35" s="1"/>
  <c r="W25" i="35" s="1"/>
  <c r="B75" i="35"/>
  <c r="B73" i="35"/>
  <c r="B57" i="35"/>
  <c r="H11" i="35" s="1"/>
  <c r="AB11" i="35" s="1"/>
  <c r="B61" i="35"/>
  <c r="J13" i="35" s="1"/>
  <c r="AC13" i="35" s="1"/>
  <c r="B59" i="35"/>
  <c r="F12" i="35" s="1"/>
  <c r="B131" i="34"/>
  <c r="J47" i="34" s="1"/>
  <c r="AC47" i="34" s="1"/>
  <c r="B129" i="34"/>
  <c r="J46" i="34" s="1"/>
  <c r="W46" i="34" s="1"/>
  <c r="B127" i="34"/>
  <c r="B99" i="34"/>
  <c r="B97" i="34"/>
  <c r="J31" i="34" s="1"/>
  <c r="B95" i="34"/>
  <c r="J30" i="34" s="1"/>
  <c r="B93" i="34"/>
  <c r="H29" i="34" s="1"/>
  <c r="AB29" i="34" s="1"/>
  <c r="B75" i="34"/>
  <c r="H14" i="34" s="1"/>
  <c r="B73" i="34"/>
  <c r="F13" i="34" s="1"/>
  <c r="AA13" i="34" s="1"/>
  <c r="B71" i="34"/>
  <c r="H12" i="34" s="1"/>
  <c r="B130" i="33"/>
  <c r="B128" i="33"/>
  <c r="J45" i="33" s="1"/>
  <c r="W45" i="33" s="1"/>
  <c r="B126" i="33"/>
  <c r="H44" i="33" s="1"/>
  <c r="B98" i="33"/>
  <c r="J31" i="33" s="1"/>
  <c r="W31" i="33" s="1"/>
  <c r="B96" i="33"/>
  <c r="J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Q41" i="33"/>
  <c r="Z41" i="33" s="1"/>
  <c r="Q40" i="33"/>
  <c r="Z40" i="33"/>
  <c r="J40" i="33"/>
  <c r="AC40" i="33" s="1"/>
  <c r="H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C23" i="40" s="1"/>
  <c r="G16" i="20"/>
  <c r="G15" i="20"/>
  <c r="C15" i="40" s="1"/>
  <c r="C24" i="20"/>
  <c r="B75" i="43" s="1"/>
  <c r="C21" i="20"/>
  <c r="B56" i="43" s="1"/>
  <c r="C20" i="20"/>
  <c r="B69" i="43" s="1"/>
  <c r="C18" i="20"/>
  <c r="C17" i="20"/>
  <c r="C16" i="20"/>
  <c r="C17" i="39" s="1"/>
  <c r="C15" i="20"/>
  <c r="B72" i="81"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F31" i="21" s="1"/>
  <c r="S31" i="21" s="1"/>
  <c r="H31" i="21"/>
  <c r="B96" i="21"/>
  <c r="J30" i="21" s="1"/>
  <c r="AC30" i="21" s="1"/>
  <c r="B94" i="21"/>
  <c r="B92" i="21"/>
  <c r="B90" i="21"/>
  <c r="J27" i="21" s="1"/>
  <c r="W27" i="21" s="1"/>
  <c r="B74" i="21"/>
  <c r="B72"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F20" i="6" s="1"/>
  <c r="D33" i="8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D42" i="81" s="1"/>
  <c r="H42" i="81" s="1"/>
  <c r="N5" i="3"/>
  <c r="O5" i="3"/>
  <c r="G27" i="6" s="1"/>
  <c r="P5" i="3"/>
  <c r="Q5" i="3"/>
  <c r="R5" i="3"/>
  <c r="S5" i="3"/>
  <c r="T5" i="3"/>
  <c r="U5" i="3"/>
  <c r="V5" i="3"/>
  <c r="W5" i="3"/>
  <c r="X5" i="3"/>
  <c r="Y5" i="3"/>
  <c r="Z5" i="3"/>
  <c r="AA5" i="3"/>
  <c r="AB5" i="3"/>
  <c r="H585" i="3"/>
  <c r="H586" i="3"/>
  <c r="H587" i="3"/>
  <c r="F5" i="3"/>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F103" i="37"/>
  <c r="G103" i="37" s="1"/>
  <c r="H103" i="37" s="1"/>
  <c r="I103" i="37" s="1"/>
  <c r="J103" i="37" s="1"/>
  <c r="K103" i="37" s="1"/>
  <c r="L103" i="37" s="1"/>
  <c r="M103" i="37" s="1"/>
  <c r="F29" i="36"/>
  <c r="AA29" i="36" s="1"/>
  <c r="F16" i="36"/>
  <c r="AA16" i="36" s="1"/>
  <c r="H22" i="35"/>
  <c r="AB22" i="35" s="1"/>
  <c r="F36" i="34"/>
  <c r="S36" i="34" s="1"/>
  <c r="J35" i="34"/>
  <c r="AC35" i="34" s="1"/>
  <c r="H39" i="33"/>
  <c r="AB39" i="33" s="1"/>
  <c r="S40" i="33"/>
  <c r="F11" i="40"/>
  <c r="AA11" i="40" s="1"/>
  <c r="H11" i="40"/>
  <c r="AB11" i="40" s="1"/>
  <c r="F42" i="39"/>
  <c r="AA42" i="39" s="1"/>
  <c r="H40" i="39"/>
  <c r="AB40" i="39" s="1"/>
  <c r="H39" i="39"/>
  <c r="U39" i="39" s="1"/>
  <c r="H34" i="39"/>
  <c r="H17" i="39"/>
  <c r="AB17" i="39" s="1"/>
  <c r="F17" i="39"/>
  <c r="J23" i="40"/>
  <c r="AC23" i="40" s="1"/>
  <c r="F21" i="40"/>
  <c r="AA21" i="40" s="1"/>
  <c r="J21" i="40"/>
  <c r="W21" i="40"/>
  <c r="J34" i="39"/>
  <c r="AC34" i="39" s="1"/>
  <c r="F108" i="39"/>
  <c r="G108" i="39" s="1"/>
  <c r="H108" i="39" s="1"/>
  <c r="I108" i="39" s="1"/>
  <c r="J108" i="39" s="1"/>
  <c r="K108" i="39" s="1"/>
  <c r="L108" i="39" s="1"/>
  <c r="M108" i="39" s="1"/>
  <c r="J17" i="39"/>
  <c r="W17" i="39" s="1"/>
  <c r="J27" i="39"/>
  <c r="AC27" i="39" s="1"/>
  <c r="F11" i="21"/>
  <c r="S11" i="21" s="1"/>
  <c r="S40" i="21"/>
  <c r="H32" i="33"/>
  <c r="AB32" i="33"/>
  <c r="H11" i="21"/>
  <c r="U11" i="21" s="1"/>
  <c r="J11" i="21"/>
  <c r="W11" i="21" s="1"/>
  <c r="H37" i="40"/>
  <c r="U37" i="40"/>
  <c r="H36" i="40"/>
  <c r="F35" i="40"/>
  <c r="AA35" i="40" s="1"/>
  <c r="H23" i="40"/>
  <c r="AB23" i="40" s="1"/>
  <c r="H17" i="40"/>
  <c r="U17" i="40" s="1"/>
  <c r="J15" i="40"/>
  <c r="J11" i="40"/>
  <c r="F37" i="39"/>
  <c r="AA37" i="39" s="1"/>
  <c r="J30" i="35"/>
  <c r="W30" i="35" s="1"/>
  <c r="H30" i="35"/>
  <c r="AB30" i="35" s="1"/>
  <c r="F22" i="35"/>
  <c r="AA22" i="35" s="1"/>
  <c r="H10" i="35"/>
  <c r="U10" i="35" s="1"/>
  <c r="H16" i="36"/>
  <c r="AB16" i="36" s="1"/>
  <c r="J29" i="36"/>
  <c r="AC29" i="36" s="1"/>
  <c r="F12" i="36"/>
  <c r="S12" i="36" s="1"/>
  <c r="F14" i="35"/>
  <c r="AA14" i="35" s="1"/>
  <c r="J32" i="35"/>
  <c r="AC32" i="35" s="1"/>
  <c r="J16" i="35"/>
  <c r="AC16" i="35" s="1"/>
  <c r="H16" i="35"/>
  <c r="U16" i="35"/>
  <c r="F16" i="35"/>
  <c r="S16" i="35" s="1"/>
  <c r="H14" i="35"/>
  <c r="AB14" i="35" s="1"/>
  <c r="J29" i="35"/>
  <c r="H33" i="35"/>
  <c r="J20" i="35"/>
  <c r="F35" i="37"/>
  <c r="S35" i="37" s="1"/>
  <c r="J34" i="37"/>
  <c r="W34" i="37" s="1"/>
  <c r="AB34" i="37"/>
  <c r="J33" i="37"/>
  <c r="AC33" i="37" s="1"/>
  <c r="H40" i="34"/>
  <c r="U40" i="34" s="1"/>
  <c r="H36" i="34"/>
  <c r="U36" i="34" s="1"/>
  <c r="F25" i="34"/>
  <c r="S25" i="34" s="1"/>
  <c r="J28" i="34"/>
  <c r="F41" i="33"/>
  <c r="AA41" i="33" s="1"/>
  <c r="F32" i="33"/>
  <c r="AA32" i="33" s="1"/>
  <c r="J19" i="33"/>
  <c r="AC19" i="33" s="1"/>
  <c r="J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S41" i="33"/>
  <c r="H37" i="33"/>
  <c r="H15" i="33"/>
  <c r="AB15" i="33" s="1"/>
  <c r="H11" i="33"/>
  <c r="AB11" i="33" s="1"/>
  <c r="F28" i="40"/>
  <c r="AA28" i="40" s="1"/>
  <c r="J37" i="34"/>
  <c r="AC37" i="34" s="1"/>
  <c r="J11" i="33"/>
  <c r="I123" i="21"/>
  <c r="J123" i="21" s="1"/>
  <c r="K123" i="21" s="1"/>
  <c r="L123" i="21" s="1"/>
  <c r="M123" i="21" s="1"/>
  <c r="J42" i="21"/>
  <c r="AC42" i="21" s="1"/>
  <c r="H42" i="21"/>
  <c r="AB42" i="21" s="1"/>
  <c r="U42" i="21"/>
  <c r="J10" i="35"/>
  <c r="AC10" i="35" s="1"/>
  <c r="J14" i="21"/>
  <c r="W14" i="21" s="1"/>
  <c r="F14" i="21"/>
  <c r="S14" i="21" s="1"/>
  <c r="H14" i="21"/>
  <c r="U14" i="21" s="1"/>
  <c r="F28" i="21"/>
  <c r="AA28" i="21" s="1"/>
  <c r="J44" i="21"/>
  <c r="AC44" i="21" s="1"/>
  <c r="H44" i="21"/>
  <c r="U44" i="21" s="1"/>
  <c r="F44" i="21"/>
  <c r="AA44" i="21" s="1"/>
  <c r="E119" i="21"/>
  <c r="F119" i="21" s="1"/>
  <c r="G119" i="21" s="1"/>
  <c r="H119" i="21" s="1"/>
  <c r="I119" i="21" s="1"/>
  <c r="J119" i="21" s="1"/>
  <c r="K119" i="21" s="1"/>
  <c r="L119" i="21" s="1"/>
  <c r="M119" i="21" s="1"/>
  <c r="F33" i="35"/>
  <c r="S33" i="35" s="1"/>
  <c r="J33" i="35"/>
  <c r="AC33" i="35" s="1"/>
  <c r="F30" i="35"/>
  <c r="S30" i="35" s="1"/>
  <c r="H10" i="36"/>
  <c r="AB10" i="36" s="1"/>
  <c r="J14" i="36"/>
  <c r="AC14" i="36"/>
  <c r="H14" i="36"/>
  <c r="F28" i="36"/>
  <c r="AA28" i="36" s="1"/>
  <c r="H27" i="21"/>
  <c r="J31" i="21"/>
  <c r="AC31" i="21" s="1"/>
  <c r="F45" i="21"/>
  <c r="AA45" i="21" s="1"/>
  <c r="H29" i="33"/>
  <c r="U29" i="33" s="1"/>
  <c r="H31" i="33"/>
  <c r="J14" i="34"/>
  <c r="W14" i="34" s="1"/>
  <c r="F14" i="34"/>
  <c r="F30" i="34"/>
  <c r="S30" i="34" s="1"/>
  <c r="F32" i="34"/>
  <c r="AA32" i="34" s="1"/>
  <c r="J11" i="35"/>
  <c r="W11" i="35" s="1"/>
  <c r="F11" i="35"/>
  <c r="S11" i="35" s="1"/>
  <c r="J26" i="36"/>
  <c r="W26" i="36" s="1"/>
  <c r="H28" i="36"/>
  <c r="U28" i="36" s="1"/>
  <c r="J11" i="36"/>
  <c r="AC11" i="36" s="1"/>
  <c r="H11" i="36"/>
  <c r="U11" i="36" s="1"/>
  <c r="J29" i="37"/>
  <c r="W29" i="37" s="1"/>
  <c r="F29" i="37"/>
  <c r="S29" i="37" s="1"/>
  <c r="H36" i="37"/>
  <c r="AB36" i="37" s="1"/>
  <c r="J37" i="37"/>
  <c r="H37" i="37"/>
  <c r="U37" i="37" s="1"/>
  <c r="H40" i="37"/>
  <c r="U40" i="37" s="1"/>
  <c r="J40" i="37"/>
  <c r="AC40" i="37" s="1"/>
  <c r="F40" i="37"/>
  <c r="AC12" i="40"/>
  <c r="H30" i="33"/>
  <c r="AB30" i="33" s="1"/>
  <c r="F30" i="33"/>
  <c r="S30" i="33" s="1"/>
  <c r="F44" i="33"/>
  <c r="S44" i="33" s="1"/>
  <c r="H46" i="33"/>
  <c r="J13" i="34"/>
  <c r="W13" i="34" s="1"/>
  <c r="J29" i="34"/>
  <c r="W29" i="34" s="1"/>
  <c r="F29" i="34"/>
  <c r="S29" i="34" s="1"/>
  <c r="H31" i="34"/>
  <c r="F31" i="34"/>
  <c r="S31" i="34" s="1"/>
  <c r="H45" i="34"/>
  <c r="H47" i="34"/>
  <c r="U47" i="34" s="1"/>
  <c r="F47" i="34"/>
  <c r="H13" i="35"/>
  <c r="F25" i="35"/>
  <c r="S25" i="35" s="1"/>
  <c r="H25" i="35"/>
  <c r="AB25" i="35" s="1"/>
  <c r="H13" i="37"/>
  <c r="AB13" i="37" s="1"/>
  <c r="F13" i="37"/>
  <c r="S13" i="37" s="1"/>
  <c r="J13" i="37"/>
  <c r="F12" i="40"/>
  <c r="S12" i="40" s="1"/>
  <c r="H12" i="40"/>
  <c r="AB12" i="40" s="1"/>
  <c r="H30" i="40"/>
  <c r="AB30" i="40" s="1"/>
  <c r="F33" i="40"/>
  <c r="AA33" i="40" s="1"/>
  <c r="H33" i="40"/>
  <c r="J35" i="40"/>
  <c r="AC35" i="40" s="1"/>
  <c r="J37" i="40"/>
  <c r="AC37" i="40" s="1"/>
  <c r="H13" i="40"/>
  <c r="U13" i="40" s="1"/>
  <c r="J13" i="40"/>
  <c r="W13" i="40" s="1"/>
  <c r="F13" i="40"/>
  <c r="AA13" i="40" s="1"/>
  <c r="F27" i="37"/>
  <c r="AA27" i="37" s="1"/>
  <c r="H13" i="39"/>
  <c r="U13" i="39" s="1"/>
  <c r="J14" i="40"/>
  <c r="W14" i="40" s="1"/>
  <c r="F14" i="40"/>
  <c r="J27" i="37"/>
  <c r="J36" i="37"/>
  <c r="AC36" i="37" s="1"/>
  <c r="J10" i="36"/>
  <c r="AC10" i="36" s="1"/>
  <c r="F17" i="21"/>
  <c r="AA17" i="21" s="1"/>
  <c r="H17" i="21"/>
  <c r="AB17" i="21" s="1"/>
  <c r="F15" i="21"/>
  <c r="S15" i="21" s="1"/>
  <c r="J41" i="39"/>
  <c r="W41" i="39" s="1"/>
  <c r="G523" i="3"/>
  <c r="G584" i="3"/>
  <c r="BL560" i="3"/>
  <c r="BL574" i="3"/>
  <c r="BA572" i="3"/>
  <c r="BA552" i="3"/>
  <c r="BA567" i="3"/>
  <c r="BA499" i="3"/>
  <c r="G577" i="3"/>
  <c r="G569" i="3"/>
  <c r="G563" i="3"/>
  <c r="AC557" i="3"/>
  <c r="BQ557" i="3"/>
  <c r="BQ583" i="3"/>
  <c r="BQ581" i="3"/>
  <c r="BQ579" i="3"/>
  <c r="BQ577" i="3"/>
  <c r="BL577" i="3" s="1"/>
  <c r="BQ575" i="3"/>
  <c r="BQ573" i="3"/>
  <c r="BQ571" i="3"/>
  <c r="BQ569" i="3"/>
  <c r="BL569" i="3" s="1"/>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E125" i="33"/>
  <c r="F125" i="33" s="1"/>
  <c r="G125" i="33" s="1"/>
  <c r="H43" i="33"/>
  <c r="H17" i="37"/>
  <c r="U17" i="37" s="1"/>
  <c r="AB27" i="37"/>
  <c r="U32" i="33"/>
  <c r="F39" i="33"/>
  <c r="AA39" i="33" s="1"/>
  <c r="F42" i="33"/>
  <c r="AA42" i="33" s="1"/>
  <c r="H28" i="34"/>
  <c r="F14" i="36"/>
  <c r="F22" i="36"/>
  <c r="S22" i="36" s="1"/>
  <c r="F26" i="36"/>
  <c r="H27" i="34"/>
  <c r="AB27" i="34" s="1"/>
  <c r="H35" i="34"/>
  <c r="U35" i="34" s="1"/>
  <c r="F41" i="34"/>
  <c r="H41" i="34"/>
  <c r="U41" i="34" s="1"/>
  <c r="J41" i="34"/>
  <c r="AC41" i="34" s="1"/>
  <c r="F10" i="35"/>
  <c r="S10" i="35" s="1"/>
  <c r="H24" i="35"/>
  <c r="AB24" i="35" s="1"/>
  <c r="H23" i="37"/>
  <c r="AB23" i="37" s="1"/>
  <c r="J32" i="37"/>
  <c r="AC32" i="37" s="1"/>
  <c r="F36" i="37"/>
  <c r="AA36" i="37" s="1"/>
  <c r="F37" i="37"/>
  <c r="F31" i="40"/>
  <c r="AA31" i="40" s="1"/>
  <c r="H31" i="40"/>
  <c r="H32" i="40"/>
  <c r="AB32" i="40" s="1"/>
  <c r="J36" i="40"/>
  <c r="W36" i="40" s="1"/>
  <c r="H19" i="37"/>
  <c r="H42" i="33"/>
  <c r="AB42" i="33" s="1"/>
  <c r="J43" i="33"/>
  <c r="AC43" i="33" s="1"/>
  <c r="S28" i="31"/>
  <c r="S27" i="31"/>
  <c r="S26" i="31"/>
  <c r="U14" i="40"/>
  <c r="AC36" i="34"/>
  <c r="U19" i="21"/>
  <c r="AB38" i="21"/>
  <c r="F43" i="33"/>
  <c r="W16" i="35"/>
  <c r="H37" i="21"/>
  <c r="U37" i="21" s="1"/>
  <c r="S42" i="21"/>
  <c r="H19" i="34"/>
  <c r="AB19" i="34" s="1"/>
  <c r="H9" i="37"/>
  <c r="U9" i="37" s="1"/>
  <c r="F9" i="37"/>
  <c r="S9" i="37" s="1"/>
  <c r="J12" i="37"/>
  <c r="W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C12" i="37"/>
  <c r="H31" i="37"/>
  <c r="U31" i="37" s="1"/>
  <c r="J15" i="37"/>
  <c r="W15" i="37" s="1"/>
  <c r="H19" i="40"/>
  <c r="U19" i="40" s="1"/>
  <c r="F88" i="40"/>
  <c r="G88" i="40" s="1"/>
  <c r="F19" i="40"/>
  <c r="S19" i="40" s="1"/>
  <c r="AC43" i="39"/>
  <c r="W43" i="39"/>
  <c r="U45" i="39"/>
  <c r="H37" i="39"/>
  <c r="AB37" i="39" s="1"/>
  <c r="AC37" i="39"/>
  <c r="F15" i="39"/>
  <c r="AA15" i="39" s="1"/>
  <c r="H15" i="39"/>
  <c r="U15" i="39" s="1"/>
  <c r="J15" i="39"/>
  <c r="W15" i="39" s="1"/>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BA379" i="3"/>
  <c r="BL380" i="3"/>
  <c r="G381" i="3"/>
  <c r="BA383" i="3"/>
  <c r="BL384" i="3"/>
  <c r="G385" i="3"/>
  <c r="BA387" i="3"/>
  <c r="BL388" i="3"/>
  <c r="G389" i="3"/>
  <c r="BA391" i="3"/>
  <c r="AZ391" i="3" s="1"/>
  <c r="BL392" i="3"/>
  <c r="G393" i="3"/>
  <c r="G509" i="3"/>
  <c r="F83" i="43"/>
  <c r="H85" i="43" s="1"/>
  <c r="F50" i="43"/>
  <c r="H54" i="43" s="1"/>
  <c r="F72" i="43"/>
  <c r="H75" i="43" s="1"/>
  <c r="U43" i="21"/>
  <c r="U35" i="21"/>
  <c r="G10" i="1"/>
  <c r="U12" i="40"/>
  <c r="AA12" i="40"/>
  <c r="J37" i="33"/>
  <c r="W37" i="33" s="1"/>
  <c r="F106" i="33"/>
  <c r="G106" i="33" s="1"/>
  <c r="H106" i="33" s="1"/>
  <c r="I106" i="33" s="1"/>
  <c r="J106" i="33" s="1"/>
  <c r="K106" i="33" s="1"/>
  <c r="L106" i="33" s="1"/>
  <c r="M106" i="33" s="1"/>
  <c r="J34" i="33"/>
  <c r="F33" i="34"/>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F39" i="39"/>
  <c r="S39" i="39" s="1"/>
  <c r="J39" i="39"/>
  <c r="AC39" i="39" s="1"/>
  <c r="F23" i="39"/>
  <c r="AA23" i="39" s="1"/>
  <c r="H27" i="36"/>
  <c r="U27" i="36" s="1"/>
  <c r="F27" i="36"/>
  <c r="AA27" i="36" s="1"/>
  <c r="H33" i="34"/>
  <c r="U33" i="34" s="1"/>
  <c r="F32" i="37"/>
  <c r="AA32" i="37" s="1"/>
  <c r="F20" i="36"/>
  <c r="J33" i="34"/>
  <c r="AC33" i="34" s="1"/>
  <c r="H23" i="39"/>
  <c r="U23" i="39" s="1"/>
  <c r="D48" i="9"/>
  <c r="M52" i="9" s="1"/>
  <c r="K9" i="1"/>
  <c r="M9" i="1" s="1"/>
  <c r="D93" i="9"/>
  <c r="W27" i="34"/>
  <c r="AA32" i="36"/>
  <c r="S32" i="36"/>
  <c r="U30" i="33"/>
  <c r="F12" i="33"/>
  <c r="AA12" i="33" s="1"/>
  <c r="F39" i="40"/>
  <c r="AA39" i="40" s="1"/>
  <c r="BA14" i="3"/>
  <c r="B12" i="1"/>
  <c r="E12" i="1" s="1"/>
  <c r="B10" i="1"/>
  <c r="E10" i="1" s="1"/>
  <c r="K12" i="1"/>
  <c r="M12" i="1" s="1"/>
  <c r="S13" i="1"/>
  <c r="AR13" i="1" s="1"/>
  <c r="R13" i="1"/>
  <c r="J51" i="67"/>
  <c r="B41" i="1"/>
  <c r="AB37" i="40"/>
  <c r="S35" i="40"/>
  <c r="U35" i="40"/>
  <c r="S17" i="40"/>
  <c r="AC17" i="40"/>
  <c r="AB27" i="40"/>
  <c r="AA19" i="40"/>
  <c r="AB19" i="40"/>
  <c r="F32" i="39"/>
  <c r="AA32" i="39" s="1"/>
  <c r="F106" i="39"/>
  <c r="G106" i="39" s="1"/>
  <c r="H106" i="39" s="1"/>
  <c r="I106" i="39" s="1"/>
  <c r="J106" i="39" s="1"/>
  <c r="K106" i="39" s="1"/>
  <c r="L106" i="39" s="1"/>
  <c r="M106" i="39" s="1"/>
  <c r="J21" i="39"/>
  <c r="W21" i="39" s="1"/>
  <c r="F21" i="39"/>
  <c r="S21" i="39" s="1"/>
  <c r="G94" i="39"/>
  <c r="H21" i="39"/>
  <c r="U21" i="39" s="1"/>
  <c r="S15" i="39"/>
  <c r="S23" i="36"/>
  <c r="U26" i="36"/>
  <c r="AC26" i="36"/>
  <c r="AA22" i="36"/>
  <c r="W14" i="36"/>
  <c r="U22" i="36"/>
  <c r="S16" i="36"/>
  <c r="U16" i="36"/>
  <c r="AA25" i="35"/>
  <c r="U29" i="35"/>
  <c r="U28" i="35"/>
  <c r="AB27" i="35"/>
  <c r="AA33" i="35"/>
  <c r="AC30" i="35"/>
  <c r="S32" i="35"/>
  <c r="S28" i="35"/>
  <c r="AB16" i="35"/>
  <c r="U22" i="35"/>
  <c r="U14" i="35"/>
  <c r="AA11" i="35"/>
  <c r="AC9" i="35"/>
  <c r="W9" i="35"/>
  <c r="F9" i="35"/>
  <c r="S9" i="35" s="1"/>
  <c r="H9" i="35"/>
  <c r="U9" i="35" s="1"/>
  <c r="AB40" i="37"/>
  <c r="AC29" i="37"/>
  <c r="U29" i="37"/>
  <c r="AB31" i="37"/>
  <c r="W30" i="37"/>
  <c r="S36" i="37"/>
  <c r="AC35" i="37"/>
  <c r="S30" i="37"/>
  <c r="AC15" i="37"/>
  <c r="J17" i="37"/>
  <c r="W17" i="37" s="1"/>
  <c r="G73" i="37"/>
  <c r="F17" i="37"/>
  <c r="AA17" i="37" s="1"/>
  <c r="AB17" i="37"/>
  <c r="F19" i="37"/>
  <c r="S19" i="37" s="1"/>
  <c r="F79" i="37"/>
  <c r="F23" i="37"/>
  <c r="S23" i="37" s="1"/>
  <c r="U23" i="37"/>
  <c r="U15" i="37"/>
  <c r="H10" i="37"/>
  <c r="AB10" i="37" s="1"/>
  <c r="F63" i="37"/>
  <c r="G63" i="37" s="1"/>
  <c r="H63" i="37" s="1"/>
  <c r="I63" i="37" s="1"/>
  <c r="J63" i="37" s="1"/>
  <c r="K63" i="37" s="1"/>
  <c r="L63" i="37" s="1"/>
  <c r="M63" i="37" s="1"/>
  <c r="F11" i="37"/>
  <c r="S11" i="37" s="1"/>
  <c r="AB8" i="34"/>
  <c r="AC42" i="34"/>
  <c r="U27" i="34"/>
  <c r="S13" i="34"/>
  <c r="H10" i="34"/>
  <c r="AB10" i="34" s="1"/>
  <c r="F11" i="34"/>
  <c r="S11" i="34" s="1"/>
  <c r="F70" i="34"/>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U9" i="33"/>
  <c r="J10" i="33"/>
  <c r="W10" i="33" s="1"/>
  <c r="H10" i="33"/>
  <c r="U10" i="33" s="1"/>
  <c r="W43" i="21"/>
  <c r="W36" i="21"/>
  <c r="W41" i="21"/>
  <c r="AA43" i="21"/>
  <c r="S39" i="21"/>
  <c r="AA38" i="21"/>
  <c r="AA36" i="21"/>
  <c r="AC40" i="21"/>
  <c r="J15" i="21"/>
  <c r="F77" i="21"/>
  <c r="G77" i="21" s="1"/>
  <c r="F23" i="21"/>
  <c r="S23" i="21" s="1"/>
  <c r="E85" i="21"/>
  <c r="F85" i="21" s="1"/>
  <c r="G85" i="21" s="1"/>
  <c r="AA14" i="21"/>
  <c r="F34" i="15"/>
  <c r="F62" i="15" s="1"/>
  <c r="J56" i="9"/>
  <c r="J57" i="9" s="1"/>
  <c r="J59" i="9" s="1"/>
  <c r="J61" i="9" s="1"/>
  <c r="E32" i="6"/>
  <c r="K1" i="12"/>
  <c r="E19" i="69"/>
  <c r="E19" i="68"/>
  <c r="E19" i="11"/>
  <c r="G26" i="12"/>
  <c r="C6" i="43"/>
  <c r="B19" i="53"/>
  <c r="B37" i="72" s="1"/>
  <c r="C7" i="39"/>
  <c r="C67" i="39" s="1"/>
  <c r="C7" i="33"/>
  <c r="G23" i="43"/>
  <c r="C23" i="43" s="1"/>
  <c r="A4" i="51"/>
  <c r="B6" i="72" s="1"/>
  <c r="L20" i="6"/>
  <c r="B6" i="1"/>
  <c r="E6" i="1" s="1"/>
  <c r="K11" i="1"/>
  <c r="M11" i="1" s="1"/>
  <c r="O11" i="1" s="1"/>
  <c r="B9" i="1"/>
  <c r="E9" i="1" s="1"/>
  <c r="W23" i="40"/>
  <c r="S37" i="40"/>
  <c r="AB28" i="40"/>
  <c r="W34" i="40"/>
  <c r="W27" i="40"/>
  <c r="S36" i="40"/>
  <c r="W37" i="40"/>
  <c r="AC14" i="40"/>
  <c r="S13" i="40"/>
  <c r="S33" i="40"/>
  <c r="AA15" i="40"/>
  <c r="U11" i="40"/>
  <c r="S31" i="40"/>
  <c r="AB13" i="40"/>
  <c r="AB17" i="40"/>
  <c r="U8" i="40"/>
  <c r="S8" i="40"/>
  <c r="AA45" i="39"/>
  <c r="AB39" i="39"/>
  <c r="W34" i="39"/>
  <c r="S8" i="39"/>
  <c r="W29" i="36"/>
  <c r="AB28" i="36"/>
  <c r="W22" i="36"/>
  <c r="AC25" i="35"/>
  <c r="S35" i="35"/>
  <c r="AA16" i="35"/>
  <c r="AA35" i="37"/>
  <c r="W36" i="37"/>
  <c r="S27" i="37"/>
  <c r="W32" i="37"/>
  <c r="AC34" i="37"/>
  <c r="AB35" i="37"/>
  <c r="AA31" i="37"/>
  <c r="U8" i="37"/>
  <c r="AB40" i="34"/>
  <c r="AA30" i="34"/>
  <c r="AB47" i="34"/>
  <c r="U25" i="34"/>
  <c r="U38" i="34"/>
  <c r="AA36" i="34"/>
  <c r="AA8" i="34"/>
  <c r="S8" i="34"/>
  <c r="U14" i="34"/>
  <c r="AB14" i="34"/>
  <c r="AC43" i="34"/>
  <c r="W43" i="34"/>
  <c r="AC37" i="33"/>
  <c r="U39" i="33"/>
  <c r="U38" i="33"/>
  <c r="S33" i="33"/>
  <c r="AB34" i="33"/>
  <c r="U44" i="33"/>
  <c r="AB44" i="33"/>
  <c r="U15" i="33"/>
  <c r="S11" i="33"/>
  <c r="W9" i="33"/>
  <c r="S44" i="21"/>
  <c r="S45" i="21"/>
  <c r="F33" i="21"/>
  <c r="AA33" i="21" s="1"/>
  <c r="J33" i="21"/>
  <c r="AC33" i="21" s="1"/>
  <c r="H33" i="21"/>
  <c r="AB33" i="21" s="1"/>
  <c r="F37" i="21"/>
  <c r="AA37" i="21" s="1"/>
  <c r="AA26" i="21"/>
  <c r="U40" i="21"/>
  <c r="AB31" i="21"/>
  <c r="U31"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S32" i="21" s="1"/>
  <c r="AA31" i="21"/>
  <c r="U17" i="21"/>
  <c r="S19" i="21"/>
  <c r="K141" i="21"/>
  <c r="K144" i="21"/>
  <c r="K143" i="21"/>
  <c r="AB25" i="21"/>
  <c r="AB44" i="21"/>
  <c r="W42" i="21"/>
  <c r="AC45" i="21"/>
  <c r="F10" i="21"/>
  <c r="AA10" i="21" s="1"/>
  <c r="K145" i="21"/>
  <c r="W31" i="21"/>
  <c r="S17" i="21"/>
  <c r="AA15" i="21"/>
  <c r="AC27" i="21"/>
  <c r="AC26" i="21"/>
  <c r="S28" i="21"/>
  <c r="AC34" i="21"/>
  <c r="AB36" i="21"/>
  <c r="C19" i="39"/>
  <c r="C17" i="40"/>
  <c r="C21" i="40"/>
  <c r="U30" i="40"/>
  <c r="B51" i="43"/>
  <c r="B54" i="43"/>
  <c r="B58" i="43"/>
  <c r="B62" i="43"/>
  <c r="B65" i="43"/>
  <c r="E4" i="4"/>
  <c r="B5" i="62" s="1"/>
  <c r="B73" i="72" s="1"/>
  <c r="C4" i="4"/>
  <c r="F28" i="15"/>
  <c r="S39" i="40"/>
  <c r="S12" i="33"/>
  <c r="S17" i="37"/>
  <c r="J19" i="37"/>
  <c r="W19" i="37" s="1"/>
  <c r="J23" i="37"/>
  <c r="W23" i="37" s="1"/>
  <c r="G79" i="37"/>
  <c r="J10" i="37"/>
  <c r="W10" i="37" s="1"/>
  <c r="H11" i="37"/>
  <c r="AB11" i="37" s="1"/>
  <c r="G70" i="34"/>
  <c r="H70" i="34" s="1"/>
  <c r="I70" i="34" s="1"/>
  <c r="J70" i="34" s="1"/>
  <c r="K70" i="34" s="1"/>
  <c r="L70" i="34" s="1"/>
  <c r="M70" i="34" s="1"/>
  <c r="H11" i="34"/>
  <c r="U11" i="34" s="1"/>
  <c r="J10" i="34"/>
  <c r="AC10" i="34" s="1"/>
  <c r="J36" i="33"/>
  <c r="W36" i="33" s="1"/>
  <c r="H36" i="33"/>
  <c r="W32" i="33"/>
  <c r="U27" i="33"/>
  <c r="AB27" i="33"/>
  <c r="AA25" i="33"/>
  <c r="J25" i="33"/>
  <c r="W25" i="33" s="1"/>
  <c r="F23" i="33"/>
  <c r="AA19" i="33"/>
  <c r="H19" i="33"/>
  <c r="AB19" i="33" s="1"/>
  <c r="H17" i="33"/>
  <c r="U17" i="33" s="1"/>
  <c r="F17" i="33"/>
  <c r="S17" i="33" s="1"/>
  <c r="AA23" i="21"/>
  <c r="AB15" i="21"/>
  <c r="J23" i="21"/>
  <c r="AC23" i="21" s="1"/>
  <c r="H23" i="21"/>
  <c r="AB23" i="21" s="1"/>
  <c r="AP7" i="1"/>
  <c r="AA32" i="21"/>
  <c r="AC23" i="37"/>
  <c r="J11" i="37"/>
  <c r="AC11" i="37"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20" i="31"/>
  <c r="B11" i="76"/>
  <c r="E2" i="69"/>
  <c r="F6" i="73"/>
  <c r="B9" i="76"/>
  <c r="F3" i="73"/>
  <c r="B10" i="76"/>
  <c r="F4" i="73"/>
  <c r="B12" i="76"/>
  <c r="E13" i="76"/>
  <c r="F7" i="73"/>
  <c r="B8" i="76"/>
  <c r="E12" i="76"/>
  <c r="E8" i="76"/>
  <c r="D6" i="73"/>
  <c r="AO13" i="1"/>
  <c r="E9" i="76"/>
  <c r="E2" i="68"/>
  <c r="F5" i="73"/>
  <c r="E10" i="76"/>
  <c r="B13" i="76"/>
  <c r="AC30" i="33" l="1"/>
  <c r="W30" i="33"/>
  <c r="U46" i="21"/>
  <c r="AB46" i="21"/>
  <c r="E92" i="39"/>
  <c r="F92" i="39" s="1"/>
  <c r="G92" i="39" s="1"/>
  <c r="H19" i="39"/>
  <c r="AB19" i="39" s="1"/>
  <c r="F19" i="39"/>
  <c r="AA19" i="39" s="1"/>
  <c r="H31" i="39"/>
  <c r="J31" i="39"/>
  <c r="W31" i="39" s="1"/>
  <c r="H44" i="39"/>
  <c r="J44" i="39"/>
  <c r="H123" i="39"/>
  <c r="I123" i="39" s="1"/>
  <c r="J123" i="39" s="1"/>
  <c r="K123" i="39" s="1"/>
  <c r="L123" i="39" s="1"/>
  <c r="M123" i="39" s="1"/>
  <c r="F41" i="39"/>
  <c r="U36" i="33"/>
  <c r="AB36" i="33"/>
  <c r="F30" i="11"/>
  <c r="C48" i="11" s="1"/>
  <c r="F32" i="67"/>
  <c r="F60" i="67" s="1"/>
  <c r="W34" i="33"/>
  <c r="AC34" i="33"/>
  <c r="H41" i="39"/>
  <c r="AB41" i="39" s="1"/>
  <c r="F25" i="39"/>
  <c r="AA25" i="39" s="1"/>
  <c r="BL497" i="3"/>
  <c r="J13" i="39"/>
  <c r="AB27" i="21"/>
  <c r="U27" i="21"/>
  <c r="W11" i="33"/>
  <c r="AC11" i="33"/>
  <c r="J19" i="39"/>
  <c r="AC19" i="39" s="1"/>
  <c r="F27" i="33"/>
  <c r="J27" i="33"/>
  <c r="W27" i="33" s="1"/>
  <c r="J23" i="34"/>
  <c r="AC23" i="34" s="1"/>
  <c r="F23" i="34"/>
  <c r="AA23" i="34" s="1"/>
  <c r="J12" i="33"/>
  <c r="H12" i="33"/>
  <c r="U12" i="33" s="1"/>
  <c r="J46" i="33"/>
  <c r="F46" i="33"/>
  <c r="J45" i="34"/>
  <c r="W45" i="34" s="1"/>
  <c r="F45" i="34"/>
  <c r="H33" i="36"/>
  <c r="F33" i="36"/>
  <c r="J33" i="36"/>
  <c r="AC33" i="36" s="1"/>
  <c r="AB31" i="36"/>
  <c r="U31" i="36"/>
  <c r="H80" i="39"/>
  <c r="H11" i="39"/>
  <c r="U31" i="35"/>
  <c r="AB31" i="35"/>
  <c r="J36" i="35"/>
  <c r="AC36" i="35" s="1"/>
  <c r="H36" i="35"/>
  <c r="BA498" i="3"/>
  <c r="BL496" i="3"/>
  <c r="AB23" i="33"/>
  <c r="J32" i="39"/>
  <c r="AC32" i="39" s="1"/>
  <c r="F28" i="67"/>
  <c r="B67" i="43"/>
  <c r="W8" i="33"/>
  <c r="AC14" i="34"/>
  <c r="U25" i="35"/>
  <c r="S37" i="39"/>
  <c r="S15" i="37"/>
  <c r="J25" i="39"/>
  <c r="W25" i="39" s="1"/>
  <c r="AC13" i="40"/>
  <c r="AC25" i="21"/>
  <c r="W25" i="21"/>
  <c r="BL519" i="3"/>
  <c r="U13" i="35"/>
  <c r="AB13" i="35"/>
  <c r="U45" i="34"/>
  <c r="AB45" i="34"/>
  <c r="AC42" i="33"/>
  <c r="W42" i="33"/>
  <c r="AC28" i="40"/>
  <c r="W28" i="40"/>
  <c r="J32" i="40"/>
  <c r="F32" i="40"/>
  <c r="S33" i="34"/>
  <c r="AA33" i="34"/>
  <c r="AC27" i="37"/>
  <c r="W27" i="37"/>
  <c r="AB46" i="33"/>
  <c r="U46" i="33"/>
  <c r="H32" i="39"/>
  <c r="AB32" i="39" s="1"/>
  <c r="AA30" i="33"/>
  <c r="AB45" i="21"/>
  <c r="U41" i="33"/>
  <c r="U36" i="37"/>
  <c r="AC20" i="36"/>
  <c r="AB13" i="39"/>
  <c r="W15" i="21"/>
  <c r="AC15" i="21"/>
  <c r="AA20" i="36"/>
  <c r="S20" i="36"/>
  <c r="S14" i="35"/>
  <c r="H25" i="39"/>
  <c r="AB25" i="39" s="1"/>
  <c r="F36" i="35"/>
  <c r="U11" i="33"/>
  <c r="AB19" i="37"/>
  <c r="U19" i="37"/>
  <c r="BL557" i="3"/>
  <c r="F13" i="35"/>
  <c r="AA40" i="37"/>
  <c r="S40" i="37"/>
  <c r="AC37" i="37"/>
  <c r="W37" i="37"/>
  <c r="U14" i="36"/>
  <c r="AB14" i="36"/>
  <c r="AA38" i="34"/>
  <c r="AB37" i="33"/>
  <c r="U37" i="33"/>
  <c r="AC15" i="33"/>
  <c r="W15" i="33"/>
  <c r="S34" i="39"/>
  <c r="J38" i="40"/>
  <c r="U33" i="40"/>
  <c r="AB33" i="40"/>
  <c r="U12" i="36"/>
  <c r="AB12" i="36"/>
  <c r="J38" i="37"/>
  <c r="F38" i="37"/>
  <c r="BA586" i="3"/>
  <c r="E100" i="39"/>
  <c r="F100" i="39" s="1"/>
  <c r="G100" i="39" s="1"/>
  <c r="H27" i="39"/>
  <c r="AB27" i="39" s="1"/>
  <c r="F27" i="39"/>
  <c r="G571" i="3"/>
  <c r="G555" i="3"/>
  <c r="G503" i="3"/>
  <c r="E80" i="34"/>
  <c r="F80" i="34" s="1"/>
  <c r="G80" i="34" s="1"/>
  <c r="F17" i="34"/>
  <c r="AA17" i="34" s="1"/>
  <c r="J14" i="33"/>
  <c r="F14" i="33"/>
  <c r="AA11" i="36"/>
  <c r="S11" i="36"/>
  <c r="J24" i="36"/>
  <c r="F24" i="36"/>
  <c r="E125" i="39"/>
  <c r="F125" i="39" s="1"/>
  <c r="G125" i="39" s="1"/>
  <c r="H125" i="39" s="1"/>
  <c r="I125" i="39" s="1"/>
  <c r="J125" i="39" s="1"/>
  <c r="K125" i="39" s="1"/>
  <c r="L125" i="39" s="1"/>
  <c r="M125" i="39" s="1"/>
  <c r="H42" i="39"/>
  <c r="AB42" i="39" s="1"/>
  <c r="BL584" i="3"/>
  <c r="BA583" i="3"/>
  <c r="BA582" i="3"/>
  <c r="BA581" i="3"/>
  <c r="BA580" i="3"/>
  <c r="BL578" i="3"/>
  <c r="BA578" i="3"/>
  <c r="BL576" i="3"/>
  <c r="BA575" i="3"/>
  <c r="BA574" i="3"/>
  <c r="AZ574" i="3" s="1"/>
  <c r="BL572" i="3"/>
  <c r="BL567" i="3"/>
  <c r="BA566" i="3"/>
  <c r="BA563" i="3"/>
  <c r="BA559" i="3"/>
  <c r="BA558" i="3"/>
  <c r="BA557" i="3"/>
  <c r="BL556" i="3"/>
  <c r="BA556" i="3"/>
  <c r="BA555" i="3"/>
  <c r="BL554" i="3"/>
  <c r="BA554" i="3"/>
  <c r="AZ554" i="3" s="1"/>
  <c r="BL552" i="3"/>
  <c r="BL549" i="3"/>
  <c r="BA548" i="3"/>
  <c r="BA547" i="3"/>
  <c r="BL546" i="3"/>
  <c r="BA546" i="3"/>
  <c r="AZ546" i="3" s="1"/>
  <c r="BA542" i="3"/>
  <c r="BL540" i="3"/>
  <c r="BA540" i="3"/>
  <c r="BA539" i="3"/>
  <c r="BL538" i="3"/>
  <c r="BL536" i="3"/>
  <c r="AZ536" i="3" s="1"/>
  <c r="BA536" i="3"/>
  <c r="BA535" i="3"/>
  <c r="BL533" i="3"/>
  <c r="BA532" i="3"/>
  <c r="BA531" i="3"/>
  <c r="BL530" i="3"/>
  <c r="BA529" i="3"/>
  <c r="BA528" i="3"/>
  <c r="BA522" i="3"/>
  <c r="BA521" i="3"/>
  <c r="BL518" i="3"/>
  <c r="BA518" i="3"/>
  <c r="AZ518" i="3" s="1"/>
  <c r="BA516" i="3"/>
  <c r="BA515" i="3"/>
  <c r="BL514" i="3"/>
  <c r="BA514" i="3"/>
  <c r="AZ514" i="3" s="1"/>
  <c r="BL512" i="3"/>
  <c r="BA511" i="3"/>
  <c r="BL510" i="3"/>
  <c r="BA509" i="3"/>
  <c r="BA508" i="3"/>
  <c r="BA507" i="3"/>
  <c r="BL506" i="3"/>
  <c r="BA504" i="3"/>
  <c r="AZ504" i="3" s="1"/>
  <c r="BA502" i="3"/>
  <c r="BL500" i="3"/>
  <c r="BA500" i="3"/>
  <c r="AZ500" i="3" s="1"/>
  <c r="BI5" i="3"/>
  <c r="BE5" i="3"/>
  <c r="BA497" i="3"/>
  <c r="BM5" i="3"/>
  <c r="BA495" i="3"/>
  <c r="BL494" i="3"/>
  <c r="BK5" i="3"/>
  <c r="BA494" i="3"/>
  <c r="BO5" i="3"/>
  <c r="BF5" i="3"/>
  <c r="BA493" i="3"/>
  <c r="AZ493" i="3" s="1"/>
  <c r="U15" i="40"/>
  <c r="S22" i="35"/>
  <c r="S23" i="40"/>
  <c r="AZ338" i="3"/>
  <c r="AZ327" i="3"/>
  <c r="AZ322" i="3"/>
  <c r="AZ341" i="3"/>
  <c r="H13" i="34"/>
  <c r="U13" i="34" s="1"/>
  <c r="J44" i="33"/>
  <c r="W44" i="33" s="1"/>
  <c r="H14" i="33"/>
  <c r="U14" i="33" s="1"/>
  <c r="F27" i="21"/>
  <c r="AA27" i="21" s="1"/>
  <c r="H17" i="34"/>
  <c r="AB17" i="34" s="1"/>
  <c r="AC11" i="40"/>
  <c r="W11" i="40"/>
  <c r="W39" i="33"/>
  <c r="H13" i="21"/>
  <c r="J13" i="21"/>
  <c r="H28" i="21"/>
  <c r="J28" i="21"/>
  <c r="J32" i="34"/>
  <c r="W32" i="34" s="1"/>
  <c r="H32" i="34"/>
  <c r="AB32" i="34" s="1"/>
  <c r="J24" i="35"/>
  <c r="F24" i="35"/>
  <c r="H24" i="36"/>
  <c r="AB24" i="36" s="1"/>
  <c r="H25" i="36"/>
  <c r="F25" i="36"/>
  <c r="BL17" i="3"/>
  <c r="BL14" i="3"/>
  <c r="G456" i="3"/>
  <c r="G481" i="3"/>
  <c r="G209" i="3"/>
  <c r="G229" i="3"/>
  <c r="G268" i="3"/>
  <c r="BL56" i="3"/>
  <c r="D88" i="71"/>
  <c r="G410" i="3"/>
  <c r="G431" i="3"/>
  <c r="G449" i="3"/>
  <c r="G454" i="3"/>
  <c r="G471" i="3"/>
  <c r="G349" i="3"/>
  <c r="G397" i="3"/>
  <c r="G220" i="3"/>
  <c r="G266" i="3"/>
  <c r="G271" i="3"/>
  <c r="G279" i="3"/>
  <c r="G283" i="3"/>
  <c r="G292" i="3"/>
  <c r="G195" i="3"/>
  <c r="BL25" i="3"/>
  <c r="G26" i="3"/>
  <c r="G51" i="3"/>
  <c r="G79" i="3"/>
  <c r="G87" i="3"/>
  <c r="J51" i="15"/>
  <c r="P27" i="6"/>
  <c r="BL563" i="3"/>
  <c r="BA587" i="3"/>
  <c r="BA585" i="3"/>
  <c r="G417" i="3"/>
  <c r="BL427" i="3"/>
  <c r="G470" i="3"/>
  <c r="G474" i="3"/>
  <c r="G482" i="3"/>
  <c r="G380" i="3"/>
  <c r="G384" i="3"/>
  <c r="G218" i="3"/>
  <c r="G226" i="3"/>
  <c r="G253" i="3"/>
  <c r="G265" i="3"/>
  <c r="G269" i="3"/>
  <c r="BL298" i="3"/>
  <c r="G29" i="3"/>
  <c r="G54" i="3"/>
  <c r="U25" i="40"/>
  <c r="G22" i="68"/>
  <c r="G22" i="69"/>
  <c r="G22" i="11"/>
  <c r="E1" i="73"/>
  <c r="C40" i="11"/>
  <c r="C18" i="9"/>
  <c r="D18" i="9" s="1"/>
  <c r="G17" i="3"/>
  <c r="BS5" i="3"/>
  <c r="BT5" i="3"/>
  <c r="BA13" i="3"/>
  <c r="S42" i="39"/>
  <c r="S19" i="39"/>
  <c r="U17" i="39"/>
  <c r="U38" i="39"/>
  <c r="W23" i="39"/>
  <c r="AA21" i="39"/>
  <c r="W19" i="39"/>
  <c r="W9" i="39"/>
  <c r="S9" i="39"/>
  <c r="W32" i="39"/>
  <c r="AC38" i="39"/>
  <c r="U42" i="39"/>
  <c r="W29" i="39"/>
  <c r="AB21" i="39"/>
  <c r="U25" i="39"/>
  <c r="U37" i="39"/>
  <c r="U19" i="39"/>
  <c r="AC17" i="39"/>
  <c r="U41" i="39"/>
  <c r="AC41" i="39"/>
  <c r="U40" i="39"/>
  <c r="W12" i="39"/>
  <c r="G15" i="3"/>
  <c r="G19" i="3"/>
  <c r="G126" i="3"/>
  <c r="BA17" i="3"/>
  <c r="AZ17" i="3" s="1"/>
  <c r="BA15" i="3"/>
  <c r="G127" i="3"/>
  <c r="BA55" i="3"/>
  <c r="BA61" i="3"/>
  <c r="BA82" i="3"/>
  <c r="BA94" i="3"/>
  <c r="G102" i="3"/>
  <c r="BA105" i="3"/>
  <c r="BC5" i="3"/>
  <c r="BL3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BB5" i="3"/>
  <c r="W27" i="39"/>
  <c r="W40" i="37"/>
  <c r="W44" i="21"/>
  <c r="U26" i="37"/>
  <c r="AB28" i="34"/>
  <c r="U28" i="34"/>
  <c r="BL495" i="3"/>
  <c r="BL503" i="3"/>
  <c r="BL511" i="3"/>
  <c r="BL517" i="3"/>
  <c r="BL529" i="3"/>
  <c r="BL535" i="3"/>
  <c r="W13" i="39"/>
  <c r="AC13" i="39"/>
  <c r="W13" i="37"/>
  <c r="AC13" i="37"/>
  <c r="S47" i="34"/>
  <c r="AA47" i="34"/>
  <c r="AB14" i="33"/>
  <c r="S29" i="35"/>
  <c r="AA29" i="35"/>
  <c r="S40" i="39"/>
  <c r="U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AA37" i="37"/>
  <c r="S37" i="37"/>
  <c r="AZ497" i="3"/>
  <c r="AZ563" i="3"/>
  <c r="W15" i="40"/>
  <c r="AC15" i="40"/>
  <c r="AB36" i="40"/>
  <c r="U36" i="40"/>
  <c r="BA579" i="3"/>
  <c r="BA573" i="3"/>
  <c r="BA570" i="3"/>
  <c r="BA565" i="3"/>
  <c r="BL534" i="3"/>
  <c r="BA505" i="3"/>
  <c r="AZ505" i="3" s="1"/>
  <c r="BL502" i="3"/>
  <c r="BR5" i="3"/>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G6" i="1" s="1"/>
  <c r="BL419" i="3"/>
  <c r="G421" i="3"/>
  <c r="BL423" i="3"/>
  <c r="G447" i="3"/>
  <c r="BA458" i="3"/>
  <c r="G464" i="3"/>
  <c r="G582" i="3"/>
  <c r="G575" i="3"/>
  <c r="BA451" i="3"/>
  <c r="G492" i="3"/>
  <c r="W28" i="35"/>
  <c r="U9" i="39"/>
  <c r="H37" i="81"/>
  <c r="D37" i="43"/>
  <c r="F44" i="39"/>
  <c r="G552" i="3"/>
  <c r="BL528" i="3"/>
  <c r="E19" i="6"/>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Z511" i="3"/>
  <c r="F46" i="34"/>
  <c r="B90" i="81"/>
  <c r="B90" i="43"/>
  <c r="F28" i="33"/>
  <c r="H28" i="33"/>
  <c r="J28" i="33"/>
  <c r="W27" i="35"/>
  <c r="AC27" i="35"/>
  <c r="G574" i="3"/>
  <c r="BA571" i="3"/>
  <c r="BL570" i="3"/>
  <c r="AC25" i="33"/>
  <c r="S23" i="39"/>
  <c r="AC5" i="3"/>
  <c r="AZ380" i="3"/>
  <c r="AZ356" i="3"/>
  <c r="AZ347" i="3"/>
  <c r="AZ378" i="3"/>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BL52" i="3"/>
  <c r="BL91" i="3"/>
  <c r="BA98" i="3"/>
  <c r="C43" i="71"/>
  <c r="C44" i="71" s="1"/>
  <c r="S68" i="71"/>
  <c r="B67" i="71"/>
  <c r="N68" i="71"/>
  <c r="E21" i="6"/>
  <c r="BL406" i="3"/>
  <c r="BA419" i="3"/>
  <c r="AZ419" i="3" s="1"/>
  <c r="BA431" i="3"/>
  <c r="BA433" i="3"/>
  <c r="AZ433" i="3" s="1"/>
  <c r="BA435" i="3"/>
  <c r="BA444" i="3"/>
  <c r="AZ444" i="3" s="1"/>
  <c r="BL444" i="3"/>
  <c r="BL308" i="3"/>
  <c r="AZ308" i="3" s="1"/>
  <c r="BL316" i="3"/>
  <c r="BL340" i="3"/>
  <c r="AZ340" i="3" s="1"/>
  <c r="BA260" i="3"/>
  <c r="BA133" i="3"/>
  <c r="BA157" i="3"/>
  <c r="BA88" i="3"/>
  <c r="BL100" i="3"/>
  <c r="E20" i="6"/>
  <c r="BA402" i="3"/>
  <c r="BL430" i="3"/>
  <c r="BA456" i="3"/>
  <c r="BA457" i="3"/>
  <c r="G460" i="3"/>
  <c r="BA480" i="3"/>
  <c r="BL480" i="3"/>
  <c r="BL483" i="3"/>
  <c r="BA315" i="3"/>
  <c r="AZ315" i="3" s="1"/>
  <c r="BA331" i="3"/>
  <c r="BL208" i="3"/>
  <c r="G221" i="3"/>
  <c r="BA228" i="3"/>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BA288" i="3"/>
  <c r="BA114" i="3"/>
  <c r="BL175" i="3"/>
  <c r="AZ175" i="3" s="1"/>
  <c r="BA207" i="3"/>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BL289" i="3"/>
  <c r="G290" i="3"/>
  <c r="G291" i="3"/>
  <c r="BA301" i="3"/>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BL72" i="3"/>
  <c r="G74" i="3"/>
  <c r="BA91" i="3"/>
  <c r="AZ91" i="3" s="1"/>
  <c r="BL93" i="3"/>
  <c r="G95" i="3"/>
  <c r="C40" i="68"/>
  <c r="AA18" i="35"/>
  <c r="G485" i="3"/>
  <c r="BA319" i="3"/>
  <c r="AZ319" i="3" s="1"/>
  <c r="BL386" i="3"/>
  <c r="BL216" i="3"/>
  <c r="G232" i="3"/>
  <c r="BL232" i="3"/>
  <c r="BA236" i="3"/>
  <c r="BA248" i="3"/>
  <c r="BL248" i="3"/>
  <c r="BL271" i="3"/>
  <c r="BA275" i="3"/>
  <c r="BA283" i="3"/>
  <c r="BA286" i="3"/>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U35" i="35" s="1"/>
  <c r="J35" i="35"/>
  <c r="H9" i="36"/>
  <c r="AB9" i="36" s="1"/>
  <c r="J9" i="36"/>
  <c r="F13" i="36"/>
  <c r="H13" i="36"/>
  <c r="H23" i="36"/>
  <c r="J23" i="36"/>
  <c r="AZ313" i="3"/>
  <c r="AZ394" i="3"/>
  <c r="AZ527" i="3"/>
  <c r="AZ540" i="3"/>
  <c r="J46" i="21"/>
  <c r="AC46" i="21" s="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451" i="3"/>
  <c r="AZ469" i="3"/>
  <c r="AZ483" i="3"/>
  <c r="BL16" i="3"/>
  <c r="AZ16" i="3" s="1"/>
  <c r="BA401" i="3"/>
  <c r="AZ401" i="3" s="1"/>
  <c r="BA403" i="3"/>
  <c r="BA404" i="3"/>
  <c r="AZ404" i="3" s="1"/>
  <c r="BA405" i="3"/>
  <c r="AZ405" i="3" s="1"/>
  <c r="G409" i="3"/>
  <c r="BL410" i="3"/>
  <c r="AZ410" i="3" s="1"/>
  <c r="G419" i="3"/>
  <c r="BA422" i="3"/>
  <c r="G430" i="3"/>
  <c r="BL431" i="3"/>
  <c r="BL434" i="3"/>
  <c r="AZ434" i="3" s="1"/>
  <c r="G437" i="3"/>
  <c r="BL438" i="3"/>
  <c r="BL439" i="3"/>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AZ442" i="3" s="1"/>
  <c r="BA445" i="3"/>
  <c r="BA447" i="3"/>
  <c r="AZ447" i="3" s="1"/>
  <c r="BA449" i="3"/>
  <c r="BL453" i="3"/>
  <c r="BL454" i="3"/>
  <c r="G458" i="3"/>
  <c r="BL459" i="3"/>
  <c r="AZ459" i="3" s="1"/>
  <c r="G462" i="3"/>
  <c r="BA465" i="3"/>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BL353" i="3"/>
  <c r="G551" i="3"/>
  <c r="BL550" i="3"/>
  <c r="G542" i="3"/>
  <c r="BL398" i="3"/>
  <c r="AZ398" i="3" s="1"/>
  <c r="G402" i="3"/>
  <c r="BL403" i="3"/>
  <c r="G405" i="3"/>
  <c r="G406" i="3"/>
  <c r="BA408" i="3"/>
  <c r="BA409" i="3"/>
  <c r="AZ409" i="3" s="1"/>
  <c r="BA411" i="3"/>
  <c r="BL414" i="3"/>
  <c r="AZ414" i="3" s="1"/>
  <c r="BL415" i="3"/>
  <c r="BA417" i="3"/>
  <c r="BL421" i="3"/>
  <c r="AZ421" i="3" s="1"/>
  <c r="BL422" i="3"/>
  <c r="BL425" i="3"/>
  <c r="AZ425" i="3" s="1"/>
  <c r="BL426" i="3"/>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BL218" i="3"/>
  <c r="BL220" i="3"/>
  <c r="AZ220" i="3" s="1"/>
  <c r="BL221" i="3"/>
  <c r="AZ221" i="3" s="1"/>
  <c r="BL223" i="3"/>
  <c r="BA227" i="3"/>
  <c r="AZ227" i="3" s="1"/>
  <c r="BA229" i="3"/>
  <c r="BL229" i="3"/>
  <c r="BL231" i="3"/>
  <c r="AZ231" i="3" s="1"/>
  <c r="BL233" i="3"/>
  <c r="AZ233" i="3" s="1"/>
  <c r="BL235" i="3"/>
  <c r="AZ235" i="3" s="1"/>
  <c r="BL236" i="3"/>
  <c r="BL238" i="3"/>
  <c r="AZ238"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BL126" i="3"/>
  <c r="BA146" i="3"/>
  <c r="AZ146" i="3" s="1"/>
  <c r="BA150" i="3"/>
  <c r="BL158" i="3"/>
  <c r="G159" i="3"/>
  <c r="BL163" i="3"/>
  <c r="AZ163" i="3" s="1"/>
  <c r="G164" i="3"/>
  <c r="BA348" i="3"/>
  <c r="BA350" i="3"/>
  <c r="BA354" i="3"/>
  <c r="BA366" i="3"/>
  <c r="AZ366" i="3" s="1"/>
  <c r="BL375" i="3"/>
  <c r="AZ375"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G295" i="3"/>
  <c r="BA296" i="3"/>
  <c r="BA116" i="3"/>
  <c r="AZ116" i="3" s="1"/>
  <c r="BA121" i="3"/>
  <c r="BL121" i="3"/>
  <c r="G128" i="3"/>
  <c r="G134" i="3"/>
  <c r="BL134" i="3"/>
  <c r="AZ134" i="3" s="1"/>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BA25" i="3"/>
  <c r="AZ25" i="3" s="1"/>
  <c r="BA26" i="3"/>
  <c r="G28" i="3"/>
  <c r="BL28" i="3"/>
  <c r="BA29" i="3"/>
  <c r="BA36" i="3"/>
  <c r="BL38" i="3"/>
  <c r="AZ38" i="3" s="1"/>
  <c r="BA39" i="3"/>
  <c r="BL47" i="3"/>
  <c r="AZ47" i="3" s="1"/>
  <c r="G49" i="3"/>
  <c r="BL54" i="3"/>
  <c r="BL55" i="3"/>
  <c r="AZ55" i="3" s="1"/>
  <c r="G57" i="3"/>
  <c r="G58" i="3"/>
  <c r="BA59" i="3"/>
  <c r="AZ59" i="3" s="1"/>
  <c r="G61" i="3"/>
  <c r="BL61" i="3"/>
  <c r="AZ61" i="3" s="1"/>
  <c r="G64" i="3"/>
  <c r="BA64" i="3"/>
  <c r="AZ64" i="3" s="1"/>
  <c r="BA68" i="3"/>
  <c r="AZ68" i="3" s="1"/>
  <c r="BL74" i="3"/>
  <c r="G75" i="3"/>
  <c r="BL75" i="3"/>
  <c r="BA80" i="3"/>
  <c r="BL84" i="3"/>
  <c r="G89" i="3"/>
  <c r="BA90" i="3"/>
  <c r="BA92" i="3"/>
  <c r="BL96" i="3"/>
  <c r="BL97" i="3"/>
  <c r="AZ97" i="3" s="1"/>
  <c r="W21" i="21"/>
  <c r="U21" i="33"/>
  <c r="AB21" i="33"/>
  <c r="E39" i="71"/>
  <c r="E40" i="71" s="1"/>
  <c r="U40" i="71" s="1"/>
  <c r="Y37" i="71"/>
  <c r="Z37" i="71" s="1"/>
  <c r="F66" i="71"/>
  <c r="Q66" i="71" s="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D19" i="53"/>
  <c r="B38" i="72" s="1"/>
  <c r="D16" i="53"/>
  <c r="B34" i="72" s="1"/>
  <c r="BL507" i="3"/>
  <c r="AZ507" i="3" s="1"/>
  <c r="BQ5" i="3"/>
  <c r="F28" i="6" s="1"/>
  <c r="AB35" i="35"/>
  <c r="S13" i="35"/>
  <c r="AA13" i="35"/>
  <c r="AB31" i="34"/>
  <c r="U31" i="34"/>
  <c r="S12" i="21"/>
  <c r="AA12" i="21"/>
  <c r="S12" i="35"/>
  <c r="AA12" i="35"/>
  <c r="AC45" i="39"/>
  <c r="S34" i="21"/>
  <c r="J34" i="35"/>
  <c r="F34" i="35"/>
  <c r="J26" i="37"/>
  <c r="F26" i="37"/>
  <c r="F40" i="40"/>
  <c r="G578" i="3"/>
  <c r="AZ431" i="3"/>
  <c r="AZ445" i="3"/>
  <c r="AZ449" i="3"/>
  <c r="AZ467" i="3"/>
  <c r="AZ468" i="3"/>
  <c r="W35" i="39"/>
  <c r="F27" i="34"/>
  <c r="C21" i="39"/>
  <c r="U9" i="36"/>
  <c r="U14" i="37"/>
  <c r="H12" i="21"/>
  <c r="G526" i="3"/>
  <c r="AZ420" i="3"/>
  <c r="AZ424" i="3"/>
  <c r="AZ436" i="3"/>
  <c r="AZ450" i="3"/>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BA300" i="3"/>
  <c r="BA113" i="3"/>
  <c r="AZ113" i="3" s="1"/>
  <c r="G119" i="3"/>
  <c r="G122" i="3"/>
  <c r="G131" i="3"/>
  <c r="BA136" i="3"/>
  <c r="AZ136" i="3" s="1"/>
  <c r="BA138" i="3"/>
  <c r="BA141" i="3"/>
  <c r="AZ141" i="3" s="1"/>
  <c r="BL145" i="3"/>
  <c r="AZ145" i="3" s="1"/>
  <c r="BL147" i="3"/>
  <c r="AZ147" i="3" s="1"/>
  <c r="G148" i="3"/>
  <c r="BL151" i="3"/>
  <c r="AZ151" i="3" s="1"/>
  <c r="BA165" i="3"/>
  <c r="G168" i="3"/>
  <c r="BA170" i="3"/>
  <c r="BL174" i="3"/>
  <c r="BL202" i="3"/>
  <c r="AZ202" i="3" s="1"/>
  <c r="BL36" i="3"/>
  <c r="AZ40" i="3"/>
  <c r="AZ106" i="3"/>
  <c r="G200" i="3"/>
  <c r="G207" i="3"/>
  <c r="BA23" i="3"/>
  <c r="AZ23" i="3" s="1"/>
  <c r="BA24" i="3"/>
  <c r="AZ24" i="3" s="1"/>
  <c r="BL26" i="3"/>
  <c r="BL32" i="3"/>
  <c r="BA34" i="3"/>
  <c r="AZ34" i="3" s="1"/>
  <c r="BA35" i="3"/>
  <c r="AZ35" i="3" s="1"/>
  <c r="BL37" i="3"/>
  <c r="BL42" i="3"/>
  <c r="AZ42" i="3" s="1"/>
  <c r="BA44" i="3"/>
  <c r="AZ44" i="3" s="1"/>
  <c r="AZ60" i="3"/>
  <c r="BA206" i="3"/>
  <c r="BL22" i="3"/>
  <c r="BL33" i="3"/>
  <c r="BL43" i="3"/>
  <c r="AZ43" i="3" s="1"/>
  <c r="BL46" i="3"/>
  <c r="AZ54" i="3"/>
  <c r="BL78" i="3"/>
  <c r="BA83" i="3"/>
  <c r="AZ83" i="3" s="1"/>
  <c r="G91" i="3"/>
  <c r="BL95" i="3"/>
  <c r="AZ95" i="3" s="1"/>
  <c r="BL98" i="3"/>
  <c r="AZ98" i="3" s="1"/>
  <c r="BL109" i="3"/>
  <c r="AZ109" i="3" s="1"/>
  <c r="AB21" i="21"/>
  <c r="T36" i="71"/>
  <c r="G77" i="3"/>
  <c r="BA81" i="3"/>
  <c r="BA85" i="3"/>
  <c r="AZ85" i="3" s="1"/>
  <c r="BL89" i="3"/>
  <c r="G94" i="3"/>
  <c r="G97" i="3"/>
  <c r="G100" i="3"/>
  <c r="BA107" i="3"/>
  <c r="BA112" i="3"/>
  <c r="AC21" i="34"/>
  <c r="E27" i="71"/>
  <c r="E26" i="71" s="1"/>
  <c r="V28" i="71"/>
  <c r="BA76" i="3"/>
  <c r="AZ76" i="3" s="1"/>
  <c r="BL80" i="3"/>
  <c r="BL87" i="3"/>
  <c r="AZ87" i="3" s="1"/>
  <c r="BA93" i="3"/>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I4" i="6"/>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F40" i="67"/>
  <c r="C76" i="67"/>
  <c r="D7" i="73"/>
  <c r="L47" i="15"/>
  <c r="M8" i="67"/>
  <c r="F42" i="15"/>
  <c r="M6" i="15"/>
  <c r="M22" i="67"/>
  <c r="F36" i="15"/>
  <c r="J15" i="15"/>
  <c r="D4" i="73"/>
  <c r="F13" i="15"/>
  <c r="F42" i="67"/>
  <c r="F8" i="67"/>
  <c r="D3" i="73"/>
  <c r="M9" i="67"/>
  <c r="M29" i="67"/>
  <c r="F37" i="67"/>
  <c r="F40" i="15"/>
  <c r="F43" i="67"/>
  <c r="C76" i="15"/>
  <c r="F9" i="67"/>
  <c r="L48" i="15"/>
  <c r="F26" i="15"/>
  <c r="M23" i="15"/>
  <c r="F9" i="15"/>
  <c r="F37" i="15"/>
  <c r="F8" i="15"/>
  <c r="M23" i="67"/>
  <c r="F36" i="67"/>
  <c r="F6" i="67"/>
  <c r="M6" i="67"/>
  <c r="F7" i="67"/>
  <c r="L48" i="67"/>
  <c r="F16" i="15"/>
  <c r="M8" i="15"/>
  <c r="M9" i="15"/>
  <c r="L47" i="67"/>
  <c r="M24" i="15"/>
  <c r="F13" i="67"/>
  <c r="M28" i="67"/>
  <c r="F26" i="67"/>
  <c r="M28" i="15"/>
  <c r="J15" i="67"/>
  <c r="M24" i="67"/>
  <c r="F38" i="15"/>
  <c r="M26" i="15"/>
  <c r="M26" i="67"/>
  <c r="M22" i="15"/>
  <c r="F16" i="67"/>
  <c r="D5" i="73"/>
  <c r="F6" i="15"/>
  <c r="F38" i="67"/>
  <c r="B20" i="31" l="1"/>
  <c r="B21" i="31" s="1"/>
  <c r="AZ104" i="3"/>
  <c r="AZ206" i="3"/>
  <c r="AZ165" i="3"/>
  <c r="AZ300" i="3"/>
  <c r="AZ158" i="3"/>
  <c r="AZ296" i="3"/>
  <c r="AZ354" i="3"/>
  <c r="AZ258" i="3"/>
  <c r="AZ350" i="3"/>
  <c r="AZ249" i="3"/>
  <c r="AZ223" i="3"/>
  <c r="AZ218" i="3"/>
  <c r="AZ438" i="3"/>
  <c r="AZ465" i="3"/>
  <c r="AZ454" i="3"/>
  <c r="AZ437" i="3"/>
  <c r="AZ228" i="3"/>
  <c r="AZ406" i="3"/>
  <c r="U9" i="21"/>
  <c r="AZ217" i="3"/>
  <c r="AZ528" i="3"/>
  <c r="G28" i="6"/>
  <c r="U24" i="36"/>
  <c r="AC25" i="39"/>
  <c r="AA24" i="35"/>
  <c r="S24" i="35"/>
  <c r="W28" i="21"/>
  <c r="AC28" i="21"/>
  <c r="S27" i="39"/>
  <c r="AA27" i="39"/>
  <c r="S36" i="35"/>
  <c r="AA36" i="35"/>
  <c r="S32" i="40"/>
  <c r="AA32" i="40"/>
  <c r="AB33" i="36"/>
  <c r="U33" i="36"/>
  <c r="W46" i="33"/>
  <c r="AC46" i="33"/>
  <c r="AC44" i="39"/>
  <c r="W44" i="39"/>
  <c r="E50" i="43"/>
  <c r="B48" i="43" s="1"/>
  <c r="S25" i="36"/>
  <c r="AA25" i="36"/>
  <c r="AC24" i="35"/>
  <c r="W24" i="35"/>
  <c r="AB28" i="21"/>
  <c r="U28" i="21"/>
  <c r="AA24" i="36"/>
  <c r="S24" i="36"/>
  <c r="S14" i="33"/>
  <c r="AA14" i="33"/>
  <c r="AC38" i="37"/>
  <c r="W38" i="37"/>
  <c r="AC32" i="40"/>
  <c r="W32" i="40"/>
  <c r="S45" i="34"/>
  <c r="AA45" i="34"/>
  <c r="U44" i="39"/>
  <c r="AB44" i="39"/>
  <c r="AZ112" i="3"/>
  <c r="AZ170" i="3"/>
  <c r="AZ348" i="3"/>
  <c r="AZ317" i="3"/>
  <c r="V20" i="71"/>
  <c r="AZ185" i="3"/>
  <c r="AZ277" i="3"/>
  <c r="AZ256" i="3"/>
  <c r="AZ397" i="3"/>
  <c r="AZ411" i="3"/>
  <c r="AZ353" i="3"/>
  <c r="AZ332" i="3"/>
  <c r="AZ439" i="3"/>
  <c r="AZ286" i="3"/>
  <c r="AZ72" i="3"/>
  <c r="AZ301" i="3"/>
  <c r="AZ269" i="3"/>
  <c r="AZ487" i="3"/>
  <c r="AZ207" i="3"/>
  <c r="AZ368" i="3"/>
  <c r="AZ561" i="3"/>
  <c r="AB25" i="36"/>
  <c r="U25" i="36"/>
  <c r="AC13" i="21"/>
  <c r="W13" i="21"/>
  <c r="F29" i="6"/>
  <c r="F30" i="6" s="1"/>
  <c r="F31" i="6" s="1"/>
  <c r="AC24" i="36"/>
  <c r="W24" i="36"/>
  <c r="AC14" i="33"/>
  <c r="W14" i="33"/>
  <c r="AC38" i="40"/>
  <c r="W38" i="40"/>
  <c r="AB36" i="35"/>
  <c r="U36" i="35"/>
  <c r="AB11" i="39"/>
  <c r="U11" i="39"/>
  <c r="W12" i="33"/>
  <c r="AC12" i="33"/>
  <c r="AA27" i="33"/>
  <c r="S27" i="33"/>
  <c r="AB13" i="21"/>
  <c r="U13" i="21"/>
  <c r="I80" i="39"/>
  <c r="J80" i="39" s="1"/>
  <c r="K80" i="39" s="1"/>
  <c r="L80" i="39" s="1"/>
  <c r="M80" i="39" s="1"/>
  <c r="J11" i="39"/>
  <c r="F11" i="39"/>
  <c r="AA33" i="36"/>
  <c r="S33" i="36"/>
  <c r="AA46" i="33"/>
  <c r="S46" i="33"/>
  <c r="AB31" i="39"/>
  <c r="U31" i="39"/>
  <c r="E12" i="6"/>
  <c r="E57" i="40" s="1"/>
  <c r="E11" i="6"/>
  <c r="E60" i="39" s="1"/>
  <c r="E15" i="6"/>
  <c r="E64" i="39" s="1"/>
  <c r="E14" i="6"/>
  <c r="E63" i="39" s="1"/>
  <c r="E13" i="6"/>
  <c r="E58" i="40" s="1"/>
  <c r="K6" i="1"/>
  <c r="C7" i="12"/>
  <c r="K7" i="1"/>
  <c r="M7" i="1" s="1"/>
  <c r="O7" i="1" s="1"/>
  <c r="P7" i="1" s="1"/>
  <c r="D7" i="12"/>
  <c r="K8" i="1"/>
  <c r="M8" i="1" s="1"/>
  <c r="O8" i="1" s="1"/>
  <c r="P8" i="1" s="1"/>
  <c r="E7" i="12"/>
  <c r="AZ18" i="3"/>
  <c r="AB12" i="39"/>
  <c r="M6" i="1"/>
  <c r="O6" i="1" s="1"/>
  <c r="AZ19" i="3"/>
  <c r="AZ89" i="3"/>
  <c r="AZ125" i="3"/>
  <c r="AZ75" i="3"/>
  <c r="AZ78" i="3"/>
  <c r="AZ92" i="3"/>
  <c r="AZ33" i="3"/>
  <c r="AZ46" i="3"/>
  <c r="AZ30" i="3"/>
  <c r="AZ28" i="3"/>
  <c r="AZ20" i="3"/>
  <c r="AZ32" i="3"/>
  <c r="I24" i="43"/>
  <c r="C24" i="43" s="1"/>
  <c r="G30" i="6"/>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28" i="15"/>
  <c r="C77" i="9"/>
  <c r="C74" i="9" s="1"/>
  <c r="C48" i="69"/>
  <c r="C30" i="68"/>
  <c r="C30" i="69"/>
  <c r="F66" i="67"/>
  <c r="L58" i="67"/>
  <c r="Q60" i="67" s="1"/>
  <c r="L59" i="67"/>
  <c r="Q74" i="67" s="1"/>
  <c r="N59" i="67"/>
  <c r="F50" i="67"/>
  <c r="M7" i="67"/>
  <c r="J6" i="67" s="1"/>
  <c r="J18" i="67" s="1"/>
  <c r="L56" i="67"/>
  <c r="J57" i="67"/>
  <c r="J55" i="67" s="1"/>
  <c r="J58" i="67" s="1"/>
  <c r="Q50" i="67" s="1"/>
  <c r="I54" i="67"/>
  <c r="J53" i="67"/>
  <c r="F1" i="67" s="1"/>
  <c r="C27" i="67"/>
  <c r="F65" i="67"/>
  <c r="F71" i="67"/>
  <c r="C6" i="67"/>
  <c r="C32" i="67" s="1"/>
  <c r="F51" i="67"/>
  <c r="F68" i="67"/>
  <c r="Q71" i="67"/>
  <c r="F64" i="67"/>
  <c r="F51" i="15"/>
  <c r="F68" i="15"/>
  <c r="F65" i="15"/>
  <c r="F64" i="15"/>
  <c r="Q71" i="15"/>
  <c r="C27" i="15"/>
  <c r="L59" i="15"/>
  <c r="Q61" i="15" s="1"/>
  <c r="N59" i="15"/>
  <c r="L58" i="15"/>
  <c r="Q60" i="15" s="1"/>
  <c r="F66" i="15"/>
  <c r="J57" i="15"/>
  <c r="J55" i="15" s="1"/>
  <c r="J58" i="15" s="1"/>
  <c r="Q50" i="15" s="1"/>
  <c r="J53" i="15"/>
  <c r="L56" i="15" s="1"/>
  <c r="I54" i="15"/>
  <c r="AZ41" i="3"/>
  <c r="E59" i="40"/>
  <c r="AZ31" i="3"/>
  <c r="AZ37" i="3"/>
  <c r="AZ26" i="3"/>
  <c r="H16" i="1"/>
  <c r="P6" i="1"/>
  <c r="C13" i="12" s="1"/>
  <c r="E28" i="6"/>
  <c r="K14" i="1" s="1"/>
  <c r="M14" i="1" s="1"/>
  <c r="E26" i="43"/>
  <c r="H26" i="43"/>
  <c r="G26" i="43"/>
  <c r="N370" i="46"/>
  <c r="F26" i="43"/>
  <c r="N94" i="46"/>
  <c r="J7" i="36"/>
  <c r="W7" i="36" s="1"/>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51" i="40"/>
  <c r="E16" i="6"/>
  <c r="D5" i="43"/>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F7" i="37"/>
  <c r="M17" i="67"/>
  <c r="M17" i="15"/>
  <c r="F59" i="15"/>
  <c r="P28" i="43"/>
  <c r="B66" i="40" s="1"/>
  <c r="P25" i="43"/>
  <c r="P29" i="43"/>
  <c r="P27" i="43"/>
  <c r="B70" i="39" s="1"/>
  <c r="M11" i="67"/>
  <c r="J10" i="67" s="1"/>
  <c r="F11" i="15"/>
  <c r="M11" i="15"/>
  <c r="J10" i="15" s="1"/>
  <c r="F11" i="67"/>
  <c r="AE11" i="1"/>
  <c r="AE9" i="1"/>
  <c r="AE12" i="1"/>
  <c r="AE10" i="1"/>
  <c r="J15" i="83"/>
  <c r="F42" i="82"/>
  <c r="F16" i="83"/>
  <c r="C76" i="82"/>
  <c r="F43" i="83"/>
  <c r="F42" i="83"/>
  <c r="F43" i="82"/>
  <c r="M24" i="82"/>
  <c r="F38" i="82"/>
  <c r="M26" i="82"/>
  <c r="F9" i="82"/>
  <c r="F36" i="82"/>
  <c r="M29" i="15"/>
  <c r="F6" i="83"/>
  <c r="M22" i="82"/>
  <c r="L47" i="82"/>
  <c r="F13" i="82"/>
  <c r="M28" i="82"/>
  <c r="F16" i="82"/>
  <c r="M23" i="82"/>
  <c r="J15" i="82"/>
  <c r="F13" i="83"/>
  <c r="M9" i="82"/>
  <c r="L48" i="82"/>
  <c r="L47" i="83"/>
  <c r="F40" i="83"/>
  <c r="C16" i="67"/>
  <c r="C76" i="83"/>
  <c r="F38" i="83"/>
  <c r="M22" i="83"/>
  <c r="C16" i="15"/>
  <c r="F43" i="15"/>
  <c r="M9" i="83"/>
  <c r="M29" i="83"/>
  <c r="F7" i="15"/>
  <c r="M8" i="83"/>
  <c r="M23" i="83"/>
  <c r="F8" i="82"/>
  <c r="F6" i="82"/>
  <c r="F8" i="83"/>
  <c r="G1" i="73"/>
  <c r="F26" i="82"/>
  <c r="F37" i="82"/>
  <c r="M24" i="83"/>
  <c r="F7" i="82"/>
  <c r="F7" i="83"/>
  <c r="M29" i="82"/>
  <c r="M28" i="83"/>
  <c r="F40" i="82"/>
  <c r="F41" i="67"/>
  <c r="M6" i="82"/>
  <c r="F9" i="83"/>
  <c r="M26" i="83"/>
  <c r="F36" i="83"/>
  <c r="L48" i="83"/>
  <c r="M8" i="82"/>
  <c r="F26" i="83"/>
  <c r="F37" i="83"/>
  <c r="M6" i="83"/>
  <c r="E29" i="6" l="1"/>
  <c r="E69" i="39"/>
  <c r="S11" i="39"/>
  <c r="AA11" i="39"/>
  <c r="W11" i="39"/>
  <c r="AC11" i="39"/>
  <c r="Q16" i="1"/>
  <c r="F27" i="69" s="1"/>
  <c r="C47" i="69" s="1"/>
  <c r="D45" i="69" s="1"/>
  <c r="G16" i="1"/>
  <c r="F10" i="39" s="1"/>
  <c r="S10" i="39" s="1"/>
  <c r="E62" i="39"/>
  <c r="E65" i="39" s="1"/>
  <c r="C6" i="15"/>
  <c r="F50" i="15"/>
  <c r="M7" i="15"/>
  <c r="J6" i="15" s="1"/>
  <c r="J18" i="15" s="1"/>
  <c r="F71" i="15"/>
  <c r="AP6" i="1"/>
  <c r="C36" i="69" s="1"/>
  <c r="E363" i="3"/>
  <c r="AT6" i="3"/>
  <c r="AZ5" i="3"/>
  <c r="AY6" i="3" s="1"/>
  <c r="AY260" i="3" s="1"/>
  <c r="W7" i="37"/>
  <c r="F64" i="83"/>
  <c r="F51" i="83"/>
  <c r="F51" i="82"/>
  <c r="F66" i="82"/>
  <c r="F68" i="83"/>
  <c r="F65" i="83"/>
  <c r="F71" i="82"/>
  <c r="C27" i="82"/>
  <c r="L59" i="82"/>
  <c r="N59" i="82"/>
  <c r="L58"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C49" i="15"/>
  <c r="C49" i="67"/>
  <c r="Q61" i="67"/>
  <c r="J10" i="39"/>
  <c r="W10" i="39" s="1"/>
  <c r="F10" i="40"/>
  <c r="S10" i="40" s="1"/>
  <c r="Q73" i="15"/>
  <c r="H10" i="40"/>
  <c r="AB10" i="40" s="1"/>
  <c r="J10" i="40"/>
  <c r="AC10" i="40" s="1"/>
  <c r="F27" i="68"/>
  <c r="C47" i="68" s="1"/>
  <c r="D45" i="68" s="1"/>
  <c r="F27" i="11"/>
  <c r="C47" i="11" s="1"/>
  <c r="D45"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M27" i="82"/>
  <c r="M27" i="15"/>
  <c r="C16" i="82"/>
  <c r="C17" i="83"/>
  <c r="AE6" i="1"/>
  <c r="C16" i="83"/>
  <c r="M27" i="83"/>
  <c r="M27" i="67"/>
  <c r="F28" i="12" l="1"/>
  <c r="K15" i="1"/>
  <c r="K16" i="1" s="1"/>
  <c r="E30" i="6"/>
  <c r="E31" i="6" s="1"/>
  <c r="F45" i="69"/>
  <c r="C29" i="69"/>
  <c r="D27" i="69" s="1"/>
  <c r="C32" i="15"/>
  <c r="E3" i="6"/>
  <c r="H10" i="39"/>
  <c r="U10" i="39" s="1"/>
  <c r="AA10" i="39"/>
  <c r="C10" i="15"/>
  <c r="C5" i="15" s="1"/>
  <c r="C38" i="15" s="1"/>
  <c r="J5" i="15"/>
  <c r="J24" i="15" s="1"/>
  <c r="AY306" i="3"/>
  <c r="AY564" i="3"/>
  <c r="AY359" i="3"/>
  <c r="AY308" i="3"/>
  <c r="AY538" i="3"/>
  <c r="AY360" i="3"/>
  <c r="D14" i="12"/>
  <c r="D17" i="12" s="1"/>
  <c r="C17" i="12" s="1"/>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C49" i="34" s="1"/>
  <c r="F24" i="82"/>
  <c r="F24" i="83"/>
  <c r="C38" i="83"/>
  <c r="C38" i="82"/>
  <c r="L36" i="43"/>
  <c r="L37" i="43" s="1"/>
  <c r="O37" i="43" s="1"/>
  <c r="L36" i="81"/>
  <c r="C48" i="15"/>
  <c r="C66" i="15" s="1"/>
  <c r="C48" i="67"/>
  <c r="C66" i="67" s="1"/>
  <c r="F22" i="69"/>
  <c r="F41" i="69" s="1"/>
  <c r="F24" i="15"/>
  <c r="C24" i="15" s="1"/>
  <c r="AA10" i="40"/>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D3" i="33"/>
  <c r="D3" i="34"/>
  <c r="E6" i="6"/>
  <c r="D20" i="12" s="1"/>
  <c r="C20" i="12" s="1"/>
  <c r="H6" i="3"/>
  <c r="C17" i="4"/>
  <c r="B4" i="52" s="1"/>
  <c r="B43" i="72" s="1"/>
  <c r="M18" i="9"/>
  <c r="B118" i="9" s="1"/>
  <c r="B1" i="74" s="1"/>
  <c r="D3" i="21"/>
  <c r="AC6" i="3"/>
  <c r="L18" i="9"/>
  <c r="D116" i="43"/>
  <c r="F22" i="68"/>
  <c r="F22" i="11"/>
  <c r="F24" i="67"/>
  <c r="C24" i="67" s="1"/>
  <c r="F25" i="12"/>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P14" i="1"/>
  <c r="P16" i="1" s="1"/>
  <c r="C11" i="12" s="1"/>
  <c r="N16" i="1"/>
  <c r="B21" i="1" s="1"/>
  <c r="C29" i="68" s="1"/>
  <c r="D27"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34" i="69"/>
  <c r="F41" i="15"/>
  <c r="AE8" i="1"/>
  <c r="C17" i="67"/>
  <c r="C17" i="15"/>
  <c r="C17" i="82"/>
  <c r="C14" i="83"/>
  <c r="C14" i="67"/>
  <c r="AE7" i="1"/>
  <c r="C18" i="4" l="1"/>
  <c r="D9" i="6"/>
  <c r="M19" i="9"/>
  <c r="C118" i="9" s="1"/>
  <c r="D13" i="6"/>
  <c r="D15" i="6"/>
  <c r="C24" i="11"/>
  <c r="C28" i="11"/>
  <c r="C27" i="11" s="1"/>
  <c r="B23" i="1"/>
  <c r="C26" i="68" s="1"/>
  <c r="D22" i="68" s="1"/>
  <c r="B24" i="1"/>
  <c r="C26" i="12" s="1"/>
  <c r="D25" i="12" s="1"/>
  <c r="C29" i="11"/>
  <c r="D27" i="11" s="1"/>
  <c r="D10" i="69"/>
  <c r="C10" i="69" s="1"/>
  <c r="C8" i="69" s="1"/>
  <c r="C5" i="69" s="1"/>
  <c r="D10" i="11"/>
  <c r="C10" i="11" s="1"/>
  <c r="C50" i="34"/>
  <c r="F69" i="15"/>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B29" i="1" s="1"/>
  <c r="C44" i="68"/>
  <c r="D41" i="68" s="1"/>
  <c r="F41" i="68"/>
  <c r="D28" i="6"/>
  <c r="D30" i="6" s="1"/>
  <c r="D5" i="6"/>
  <c r="H21" i="6"/>
  <c r="D10" i="6"/>
  <c r="D8" i="6"/>
  <c r="D24" i="6"/>
  <c r="H22" i="6"/>
  <c r="R22" i="6" s="1"/>
  <c r="R9" i="1" s="1"/>
  <c r="C23" i="11"/>
  <c r="H24" i="6"/>
  <c r="C44" i="11"/>
  <c r="D41" i="11" s="1"/>
  <c r="H25" i="6"/>
  <c r="C26" i="11"/>
  <c r="D22" i="11" s="1"/>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F50"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F41" i="82"/>
  <c r="C14" i="82"/>
  <c r="E6" i="76"/>
  <c r="C14" i="15"/>
  <c r="B6" i="76"/>
  <c r="F41" i="83"/>
  <c r="F50" i="68" l="1"/>
  <c r="F50" i="11"/>
  <c r="R25" i="6"/>
  <c r="R12" i="1" s="1"/>
  <c r="D19" i="69"/>
  <c r="C19" i="69" s="1"/>
  <c r="C24" i="69" s="1"/>
  <c r="F34" i="68"/>
  <c r="M59" i="67"/>
  <c r="M59" i="15"/>
  <c r="M59" i="82"/>
  <c r="M59" i="83"/>
  <c r="C29" i="12"/>
  <c r="D28" i="12" s="1"/>
  <c r="C60" i="83"/>
  <c r="D7" i="74"/>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I5" i="6" s="1"/>
  <c r="C18" i="71"/>
  <c r="D19" i="71"/>
  <c r="C19" i="67"/>
  <c r="C20" i="67" s="1"/>
  <c r="C26" i="67" s="1"/>
  <c r="T16" i="1"/>
  <c r="C18" i="15"/>
  <c r="C15" i="15"/>
  <c r="C36" i="11"/>
  <c r="C37" i="11"/>
  <c r="C34" i="11"/>
  <c r="C14" i="12"/>
  <c r="C16" i="12" s="1"/>
  <c r="H19" i="6"/>
  <c r="S19" i="6"/>
  <c r="S27" i="6" s="1"/>
  <c r="I27" i="6"/>
  <c r="C23" i="69"/>
  <c r="I69" i="39"/>
  <c r="J67" i="39"/>
  <c r="I63" i="40"/>
  <c r="H65" i="40"/>
  <c r="I58" i="21"/>
  <c r="J58" i="21" s="1"/>
  <c r="K58" i="21" s="1"/>
  <c r="L58" i="21" s="1"/>
  <c r="M58" i="21" s="1"/>
  <c r="N58" i="21" s="1"/>
  <c r="O58" i="21" s="1"/>
  <c r="H7" i="21" s="1"/>
  <c r="J48" i="35"/>
  <c r="E7" i="76"/>
  <c r="D37" i="69" l="1"/>
  <c r="C37" i="69" s="1"/>
  <c r="C33" i="69" s="1"/>
  <c r="C42" i="69" s="1"/>
  <c r="C36" i="68"/>
  <c r="C34" i="68"/>
  <c r="I6" i="6"/>
  <c r="C19" i="82"/>
  <c r="C20" i="82" s="1"/>
  <c r="C26" i="82" s="1"/>
  <c r="E2" i="76"/>
  <c r="B2" i="81"/>
  <c r="C23" i="83"/>
  <c r="C29" i="83" s="1"/>
  <c r="D37" i="68"/>
  <c r="C37"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B7" i="76"/>
  <c r="C39" i="69" l="1"/>
  <c r="C43" i="69" s="1"/>
  <c r="C41" i="69" s="1"/>
  <c r="C35" i="68"/>
  <c r="C38" i="68"/>
  <c r="C23" i="82"/>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23" i="15"/>
  <c r="C29" i="15" s="1"/>
  <c r="R27" i="6"/>
  <c r="R6" i="1"/>
  <c r="C25" i="69"/>
  <c r="C22" i="69" s="1"/>
  <c r="C31" i="69" s="1"/>
  <c r="L67" i="39"/>
  <c r="K69" i="39"/>
  <c r="J65" i="40"/>
  <c r="K63" i="40"/>
  <c r="I52" i="21"/>
  <c r="J52" i="21" s="1"/>
  <c r="U7" i="35"/>
  <c r="AB7" i="35"/>
  <c r="T38" i="35" s="1"/>
  <c r="G38" i="35" s="1"/>
  <c r="E48" i="21"/>
  <c r="G52" i="21"/>
  <c r="H52" i="21" s="1"/>
  <c r="G53" i="21"/>
  <c r="H53" i="21" s="1"/>
  <c r="F7" i="35"/>
  <c r="M21" i="15"/>
  <c r="M21" i="83"/>
  <c r="M21" i="67"/>
  <c r="F35" i="83"/>
  <c r="M21" i="82"/>
  <c r="F35" i="82"/>
  <c r="F35" i="15"/>
  <c r="F35" i="67"/>
  <c r="C46" i="69" l="1"/>
  <c r="C45" i="69" s="1"/>
  <c r="C33" i="68"/>
  <c r="C39" i="68" s="1"/>
  <c r="Q48" i="83"/>
  <c r="L46" i="83"/>
  <c r="C37" i="83"/>
  <c r="C56" i="83"/>
  <c r="C65" i="83" s="1"/>
  <c r="C75" i="83"/>
  <c r="Q70" i="83"/>
  <c r="J22" i="83"/>
  <c r="J13" i="83"/>
  <c r="J23" i="83" s="1"/>
  <c r="C57" i="82"/>
  <c r="C64" i="82" s="1"/>
  <c r="J59" i="82"/>
  <c r="J60" i="82" s="1"/>
  <c r="J14" i="82"/>
  <c r="C36" i="82"/>
  <c r="C13" i="82"/>
  <c r="Q49" i="82"/>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3" i="68" l="1"/>
  <c r="C46" i="68"/>
  <c r="C45" i="68" s="1"/>
  <c r="C42" i="68"/>
  <c r="C30" i="83"/>
  <c r="C39" i="83" s="1"/>
  <c r="C40" i="83" s="1"/>
  <c r="C58" i="83"/>
  <c r="C67" i="83" s="1"/>
  <c r="C68" i="83" s="1"/>
  <c r="C71" i="83" s="1"/>
  <c r="J16" i="83"/>
  <c r="J25" i="83" s="1"/>
  <c r="U16" i="71"/>
  <c r="M23" i="81"/>
  <c r="C75" i="82"/>
  <c r="C56" i="82"/>
  <c r="C65" i="82" s="1"/>
  <c r="C58" i="82" s="1"/>
  <c r="C67" i="82" s="1"/>
  <c r="C68" i="82" s="1"/>
  <c r="C71" i="82" s="1"/>
  <c r="C37" i="82"/>
  <c r="C30" i="82" s="1"/>
  <c r="C39" i="82" s="1"/>
  <c r="H39" i="82" s="1"/>
  <c r="Q70" i="82"/>
  <c r="J13" i="82"/>
  <c r="J23" i="82" s="1"/>
  <c r="J22" i="82"/>
  <c r="Q48" i="82"/>
  <c r="L46" i="82"/>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9" i="68" s="1"/>
  <c r="C51" i="68" s="1"/>
  <c r="C80" i="83"/>
  <c r="C79" i="83" s="1"/>
  <c r="Q69" i="83"/>
  <c r="Q68" i="83" s="1"/>
  <c r="J16" i="82"/>
  <c r="J25" i="82" s="1"/>
  <c r="Q69" i="82"/>
  <c r="Q68" i="82" s="1"/>
  <c r="C40" i="82"/>
  <c r="C43" i="82" s="1"/>
  <c r="C80" i="82"/>
  <c r="C79" i="82" s="1"/>
  <c r="Q47" i="83"/>
  <c r="Q53" i="83" s="1"/>
  <c r="B2" i="83"/>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83"/>
  <c r="L51" i="82"/>
  <c r="L51" i="67"/>
  <c r="D2" i="33"/>
  <c r="Q67" i="83" l="1"/>
  <c r="B3" i="83"/>
  <c r="E6" i="12" s="1"/>
  <c r="E8" i="12"/>
  <c r="Q69" i="15"/>
  <c r="Q68" i="15" s="1"/>
  <c r="Q65" i="82"/>
  <c r="Q75" i="82" s="1"/>
  <c r="Q56" i="82"/>
  <c r="Q62" i="82" s="1"/>
  <c r="B2" i="82"/>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B3" i="82" l="1"/>
  <c r="D6" i="12" s="1"/>
  <c r="D8" i="12"/>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0" i="1"/>
  <c r="AO8" i="1"/>
  <c r="AO9" i="1"/>
  <c r="AO11" i="1"/>
  <c r="AO12" i="1"/>
  <c r="R48" i="39" l="1"/>
  <c r="B3" i="34"/>
  <c r="C10" i="71"/>
  <c r="D11"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15"/>
  <c r="C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3" i="70"/>
  <c r="D9" i="71"/>
  <c r="C8" i="71"/>
  <c r="C42" i="40"/>
  <c r="C43" i="40"/>
  <c r="E47" i="40"/>
  <c r="F47" i="40" s="1"/>
  <c r="E46" i="40"/>
  <c r="F46" i="40" s="1"/>
  <c r="I47" i="40"/>
  <c r="J47" i="40" s="1"/>
  <c r="B2" i="39" l="1"/>
  <c r="B3" i="39" s="1"/>
  <c r="C6" i="68"/>
  <c r="C7" i="68"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6" i="71"/>
  <c r="D5" i="71" l="1"/>
  <c r="M24" i="43" s="1"/>
  <c r="M24" i="81"/>
  <c r="C8" i="68" l="1"/>
  <c r="C5" i="68" s="1"/>
  <c r="C18" i="12"/>
  <c r="C21" i="12" s="1"/>
  <c r="C22" i="12" l="1"/>
  <c r="C30" i="12" s="1"/>
  <c r="C28" i="12" s="1"/>
  <c r="C23" i="68"/>
  <c r="C20" i="68"/>
  <c r="C27" i="12" l="1"/>
  <c r="C25" i="12" s="1"/>
  <c r="C32" i="12" s="1"/>
  <c r="B2" i="12" s="1"/>
  <c r="C28" i="68"/>
  <c r="C27" i="68" s="1"/>
  <c r="C25" i="68"/>
  <c r="C22" i="68" s="1"/>
  <c r="D19" i="9"/>
  <c r="D21" i="9" l="1"/>
  <c r="D102" i="9"/>
  <c r="B3" i="12"/>
  <c r="C31" i="68"/>
  <c r="C52" i="68" s="1"/>
  <c r="B2" i="68" s="1"/>
  <c r="D20" i="9"/>
  <c r="C19" i="9"/>
  <c r="D103" i="9" l="1"/>
  <c r="C102" i="9"/>
  <c r="C21" i="9"/>
  <c r="G19" i="9"/>
  <c r="D22" i="9"/>
  <c r="B3" i="68"/>
  <c r="C57" i="68"/>
  <c r="C56" i="68" s="1"/>
  <c r="D34" i="9"/>
  <c r="D35" i="9"/>
  <c r="C20" i="9"/>
  <c r="G21" i="9" l="1"/>
  <c r="J20" i="9"/>
  <c r="C103" i="9"/>
  <c r="G20" i="9"/>
  <c r="C32" i="9" s="1"/>
  <c r="C35" i="9" l="1"/>
  <c r="C34" i="9" s="1"/>
  <c r="D118" i="9" s="1"/>
  <c r="D119" i="9" s="1"/>
  <c r="D5" i="52" s="1"/>
  <c r="B49" i="72" s="1"/>
  <c r="H118" i="9"/>
  <c r="H4" i="52" l="1"/>
  <c r="D14" i="74"/>
  <c r="F118" i="9"/>
  <c r="G118" i="9" s="1"/>
  <c r="G4" i="52" s="1"/>
  <c r="B52" i="72" s="1"/>
  <c r="H101" i="9"/>
  <c r="D5" i="53" s="1"/>
  <c r="C104" i="9"/>
  <c r="H119" i="9"/>
  <c r="H5" i="52" s="1"/>
  <c r="D4" i="52"/>
  <c r="B47" i="72" s="1"/>
  <c r="I118" i="9"/>
  <c r="F14" i="74" l="1"/>
  <c r="E14" i="74"/>
  <c r="B5" i="74"/>
  <c r="D5" i="74" s="1"/>
  <c r="H107" i="9"/>
  <c r="M49" i="9" s="1"/>
  <c r="F119" i="9"/>
  <c r="F5" i="52" s="1"/>
  <c r="B53" i="72" s="1"/>
  <c r="F4" i="52"/>
  <c r="B51" i="72" s="1"/>
  <c r="M48" i="9"/>
  <c r="D45" i="9"/>
  <c r="H102" i="9"/>
  <c r="I4" i="52"/>
  <c r="C105" i="9"/>
  <c r="E118" i="9"/>
  <c r="E4" i="52" s="1"/>
  <c r="B48" i="72" s="1"/>
  <c r="B20" i="72"/>
  <c r="D6" i="53"/>
  <c r="B22" i="72" s="1"/>
  <c r="D13" i="53" l="1"/>
  <c r="D14" i="53" s="1"/>
  <c r="B32" i="72" s="1"/>
  <c r="D122" i="9"/>
  <c r="G14" i="74" s="1"/>
  <c r="B6" i="74" s="1"/>
  <c r="D6" i="74" s="1"/>
  <c r="C78" i="9"/>
  <c r="C73" i="9" s="1"/>
  <c r="C93" i="9"/>
  <c r="C86" i="9" s="1"/>
  <c r="C72" i="9"/>
  <c r="C85" i="9"/>
  <c r="D52" i="9"/>
  <c r="D55" i="9"/>
  <c r="M53" i="9" s="1"/>
  <c r="D53" i="9"/>
  <c r="C64" i="9"/>
  <c r="C63" i="9" s="1"/>
  <c r="C67" i="9" s="1"/>
  <c r="L67" i="9"/>
  <c r="M67" i="9" s="1"/>
  <c r="L66" i="9"/>
  <c r="M66" i="9" s="1"/>
  <c r="L63" i="9"/>
  <c r="M63" i="9" s="1"/>
  <c r="L64" i="9"/>
  <c r="M64" i="9" s="1"/>
  <c r="L65" i="9"/>
  <c r="M65" i="9" s="1"/>
  <c r="L68" i="9"/>
  <c r="M68" i="9" s="1"/>
  <c r="D7" i="53"/>
  <c r="B21" i="72" s="1"/>
  <c r="C5" i="74"/>
  <c r="H108" i="9"/>
  <c r="D123" i="9" l="1"/>
  <c r="D9" i="52" s="1"/>
  <c r="B30" i="72"/>
  <c r="D8" i="52"/>
  <c r="C79" i="9"/>
  <c r="C80" i="9" s="1"/>
  <c r="E80" i="9" s="1"/>
  <c r="E81" i="9" s="1"/>
  <c r="C95" i="9"/>
  <c r="C96" i="9" s="1"/>
  <c r="E96" i="9" s="1"/>
  <c r="E97" i="9" s="1"/>
  <c r="D59" i="9"/>
  <c r="M55" i="9" s="1"/>
  <c r="C68" i="9"/>
  <c r="D54" i="9" s="1"/>
  <c r="M69" i="9"/>
  <c r="N69" i="9" s="1"/>
  <c r="D15" i="53"/>
  <c r="B31" i="72" s="1"/>
  <c r="C6" i="74"/>
  <c r="C81" i="9" l="1"/>
  <c r="C97" i="9"/>
  <c r="D58" i="9" s="1"/>
  <c r="D56" i="9" s="1"/>
  <c r="M54" i="9" s="1"/>
  <c r="N57" i="9" s="1"/>
  <c r="N59" i="9" l="1"/>
  <c r="P57"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<sst xmlns="http://schemas.openxmlformats.org/spreadsheetml/2006/main" count="9523" uniqueCount="3673">
  <si>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</si>
  <si>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</si>
  <si>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</si>
  <si>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</si>
  <si>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</si>
  <si>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</si>
  <si>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</si>
  <si>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</si>
  <si>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</si>
  <si>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</si>
  <si>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</si>
  <si>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</si>
  <si>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</si>
  <si>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</si>
  <si>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</si>
  <si>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</si>
  <si>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</si>
  <si>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</si>
  <si>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</si>
  <si>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</si>
  <si>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</si>
  <si>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</si>
  <si>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</si>
  <si>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</si>
  <si>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</si>
  <si>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</si>
  <si>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</si>
  <si>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</si>
  <si>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</si>
  <si>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</si>
  <si>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</si>
  <si>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</si>
  <si>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</si>
  <si>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</si>
  <si>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</si>
  <si>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</si>
  <si>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</si>
  <si>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</si>
  <si>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</si>
  <si>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</si>
  <si>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</si>
  <si>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</si>
  <si>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</si>
  <si>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</si>
  <si>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</si>
  <si>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</si>
  <si>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</si>
  <si>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</si>
  <si>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</si>
  <si>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</si>
  <si>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</si>
  <si>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</si>
  <si>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</si>
  <si>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</si>
  <si>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</si>
  <si>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</si>
  <si>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</si>
  <si>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</si>
  <si>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</si>
  <si>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</si>
  <si>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</si>
  <si>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</si>
  <si>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</si>
  <si>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</si>
  <si>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</si>
  <si>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</si>
  <si>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</si>
  <si>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</si>
  <si>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</si>
  <si>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</si>
  <si>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</si>
  <si>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</si>
  <si>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</si>
  <si>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</si>
  <si>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</si>
  <si>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</si>
  <si>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</si>
  <si>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</si>
  <si>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</si>
  <si>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</si>
  <si>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</si>
  <si>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</si>
  <si>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</si>
  <si>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</si>
  <si>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</si>
  <si>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</si>
  <si>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</si>
  <si>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</si>
  <si>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</si>
  <si>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</si>
  <si>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</si>
  <si>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</si>
  <si>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</si>
  <si>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</si>
  <si>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</si>
  <si>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</si>
  <si>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</si>
  <si>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</si>
  <si>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</si>
  <si>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</si>
  <si>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</si>
  <si>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</si>
  <si>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</si>
  <si>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</si>
  <si>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</si>
  <si>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</si>
  <si>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</si>
  <si>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</si>
  <si>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</si>
  <si>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</si>
  <si>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</si>
  <si>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</si>
  <si>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</si>
  <si>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</si>
  <si>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</si>
  <si>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</si>
  <si>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</si>
  <si>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</si>
  <si>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</si>
  <si>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</si>
  <si>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</si>
  <si>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</si>
  <si>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</si>
  <si>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</si>
  <si>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</si>
  <si>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</si>
  <si>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</si>
  <si>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</si>
  <si>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</si>
  <si>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</si>
  <si>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</si>
  <si>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</si>
  <si>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</si>
  <si>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</si>
  <si>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</si>
  <si>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</si>
  <si>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</si>
  <si>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</si>
  <si>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</si>
  <si>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</si>
  <si>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</si>
  <si>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</si>
  <si>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</si>
  <si>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</si>
  <si>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</si>
  <si>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</si>
  <si>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</si>
  <si>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</si>
  <si>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</si>
  <si>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</si>
  <si>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</si>
  <si>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</si>
  <si>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</si>
  <si>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</si>
  <si>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</si>
  <si>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</si>
  <si>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</si>
  <si>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</si>
  <si>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</si>
  <si>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</si>
  <si>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</si>
  <si>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</si>
  <si>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</si>
  <si>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</si>
  <si>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</si>
  <si>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</si>
  <si>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</si>
  <si>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</si>
  <si>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</si>
  <si>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</si>
  <si>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</si>
  <si>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</si>
  <si>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</si>
  <si>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</si>
  <si>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</si>
  <si>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</si>
  <si>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</si>
  <si>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</si>
  <si>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</si>
  <si>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</si>
  <si>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</si>
  <si>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</si>
  <si>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</si>
  <si>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</si>
  <si>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</si>
  <si>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</si>
  <si>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</si>
  <si>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</si>
  <si>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</si>
  <si>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</si>
  <si>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</si>
  <si>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</si>
  <si>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</si>
  <si>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</si>
  <si>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</si>
  <si>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</si>
  <si>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</si>
  <si>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</si>
  <si>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</si>
  <si>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</si>
  <si>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</si>
  <si>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</si>
  <si>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</si>
  <si>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</si>
  <si>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</si>
  <si>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</si>
  <si>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</si>
  <si>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</si>
  <si>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</si>
  <si>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</si>
  <si>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</si>
  <si>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</si>
  <si>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</si>
  <si>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</si>
  <si>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</si>
  <si>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</si>
  <si>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</si>
  <si>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</si>
  <si>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</si>
  <si>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</si>
  <si>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</si>
  <si>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</si>
  <si>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</si>
  <si>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</si>
  <si>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</si>
  <si>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</si>
  <si>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</si>
  <si>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</si>
  <si>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</si>
  <si>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</si>
  <si>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</si>
  <si>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</si>
  <si>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</si>
  <si>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</si>
  <si>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</si>
  <si>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</si>
  <si>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</si>
  <si>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</si>
  <si>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</si>
  <si>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</si>
  <si>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</si>
  <si>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</si>
  <si>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</si>
  <si>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</si>
  <si>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</si>
  <si>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</si>
  <si>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</si>
  <si>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</si>
  <si>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</si>
  <si>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</si>
  <si>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</si>
  <si>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</si>
  <si>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</si>
  <si>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</si>
  <si>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</si>
  <si>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</si>
  <si>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</si>
  <si>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</si>
  <si>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</si>
  <si>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</si>
  <si>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</si>
  <si>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</si>
  <si>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</si>
  <si>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</si>
  <si>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</si>
  <si>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</si>
  <si>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</si>
  <si>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</si>
  <si>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</si>
  <si>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</si>
  <si>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</si>
  <si>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</si>
  <si>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</si>
  <si>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</si>
  <si>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</si>
  <si>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</si>
  <si>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</si>
  <si>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</si>
  <si>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</si>
  <si>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</si>
  <si>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</si>
  <si>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</si>
  <si>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</si>
  <si>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</si>
  <si>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</si>
  <si>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</si>
  <si>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</si>
  <si>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</si>
  <si>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</si>
  <si>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</si>
  <si>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</si>
  <si>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</si>
  <si>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</si>
  <si>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</si>
  <si>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</si>
  <si>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</si>
  <si>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</si>
  <si>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</si>
  <si>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</si>
  <si>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</si>
  <si>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</si>
  <si>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</si>
  <si>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</si>
  <si>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</si>
  <si>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</si>
  <si>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</si>
  <si>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</si>
  <si>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</si>
  <si>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</si>
  <si>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</si>
  <si>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</si>
  <si>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</si>
  <si>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</si>
  <si>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</si>
  <si>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</si>
  <si>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</si>
  <si>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</si>
  <si>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</si>
  <si>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</si>
  <si>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</si>
  <si>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</si>
  <si>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</si>
  <si>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</si>
  <si>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</si>
  <si>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</si>
  <si>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</si>
  <si>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</si>
  <si>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</si>
  <si>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</si>
  <si>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</si>
  <si>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</si>
  <si>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</si>
  <si>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</si>
  <si>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</si>
  <si>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</si>
  <si>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</si>
  <si>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</si>
  <si>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</si>
  <si>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</si>
  <si>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</si>
  <si>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</si>
  <si>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</si>
  <si>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</si>
  <si>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</si>
  <si>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</si>
  <si>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</si>
  <si>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</si>
  <si>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</si>
  <si>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</si>
  <si>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</si>
  <si>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</si>
  <si>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</si>
  <si>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</si>
  <si>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</si>
  <si>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</si>
  <si>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</si>
  <si>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</si>
  <si>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</si>
  <si>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</si>
  <si>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</si>
  <si>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</si>
  <si>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</si>
  <si>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</si>
  <si>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</si>
  <si>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</si>
  <si>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</si>
  <si>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</si>
  <si>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</si>
  <si>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</si>
  <si>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</si>
  <si>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</si>
  <si>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</si>
  <si>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</si>
  <si>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</si>
  <si>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</si>
  <si>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</si>
  <si>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</si>
  <si>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</si>
  <si>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</si>
  <si>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</si>
  <si>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</si>
  <si>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</si>
  <si>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</si>
  <si>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</si>
  <si>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</si>
  <si>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</si>
  <si>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</si>
  <si>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</si>
  <si>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</si>
  <si>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</si>
  <si>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</si>
  <si>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</si>
  <si>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</si>
  <si>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</si>
  <si>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</si>
  <si>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</si>
  <si>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</si>
  <si>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</si>
  <si>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</si>
  <si>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</si>
  <si>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</si>
  <si>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</si>
  <si>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</si>
  <si>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</si>
  <si>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</si>
  <si>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</si>
  <si>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</si>
  <si>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</si>
  <si>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</si>
  <si>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</si>
  <si>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</si>
  <si>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</si>
  <si>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</si>
  <si>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</si>
  <si>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</si>
  <si>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</si>
  <si>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</si>
  <si>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</si>
  <si>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</si>
  <si>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</si>
  <si>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</si>
  <si>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</si>
  <si>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</si>
  <si>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</si>
  <si>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</si>
  <si>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</si>
  <si>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</si>
  <si>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</si>
  <si>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</si>
  <si>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</si>
  <si>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</si>
  <si>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</si>
  <si>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</si>
  <si>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</si>
  <si>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</si>
  <si>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</si>
  <si>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</si>
  <si>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</si>
  <si>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</si>
  <si>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</si>
  <si>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</si>
  <si>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</si>
  <si>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</si>
  <si>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</si>
  <si>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</si>
  <si>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</si>
  <si>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</si>
  <si>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</si>
  <si>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</si>
  <si>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</si>
  <si>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</si>
  <si>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</si>
  <si>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</si>
  <si>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</si>
  <si>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</si>
  <si>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</si>
  <si>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</si>
  <si>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</si>
  <si>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</si>
  <si>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</si>
  <si>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</si>
  <si>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</si>
  <si>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</si>
  <si>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</si>
  <si>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</si>
  <si>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</si>
  <si>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</si>
  <si>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</si>
  <si>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</si>
  <si>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</si>
  <si>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</si>
  <si>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</si>
  <si>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</si>
  <si>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</si>
  <si>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</si>
  <si>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</si>
  <si>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</si>
  <si>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</si>
  <si>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</si>
  <si>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</si>
  <si>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</si>
  <si>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</si>
  <si>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</si>
  <si>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</si>
  <si>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</si>
  <si>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</si>
  <si>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</si>
  <si>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</si>
  <si>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</si>
  <si>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</si>
  <si>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</si>
  <si>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</si>
  <si>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</si>
  <si>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</si>
  <si>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</si>
  <si>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</si>
  <si>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</si>
  <si>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</si>
  <si>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</si>
  <si>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</si>
  <si>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</si>
  <si>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</si>
  <si>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</si>
  <si>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</si>
  <si>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</si>
  <si>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</si>
  <si>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</si>
  <si>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</si>
  <si>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</si>
  <si>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</si>
  <si>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</si>
  <si>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</si>
  <si>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</si>
  <si>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</si>
  <si>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</si>
  <si>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</si>
  <si>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</si>
  <si>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</si>
  <si>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</si>
  <si>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</si>
  <si>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</si>
  <si>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</si>
  <si>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</si>
  <si>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</si>
  <si>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</si>
  <si>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</si>
  <si>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</si>
  <si>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</si>
  <si>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</si>
  <si>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</si>
  <si>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</si>
  <si>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</si>
  <si>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</si>
  <si>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</si>
  <si>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</si>
  <si>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</si>
  <si>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</si>
  <si>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</si>
  <si>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</si>
  <si>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</si>
  <si>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</si>
  <si>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</si>
  <si>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</si>
  <si>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</si>
  <si>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</si>
  <si>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</si>
  <si>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</si>
  <si>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</si>
  <si>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</si>
  <si>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</si>
  <si>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</si>
  <si>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</si>
  <si>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</si>
  <si>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</si>
  <si>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</si>
  <si>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</si>
  <si>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</si>
  <si>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</si>
  <si>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</si>
  <si>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</si>
  <si>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</si>
  <si>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</si>
  <si>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</si>
  <si>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</si>
  <si>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</si>
  <si>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</si>
  <si>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</si>
  <si>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</si>
  <si>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</si>
  <si>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</si>
  <si>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</si>
  <si>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</si>
  <si>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</si>
  <si>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</si>
  <si>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</si>
  <si>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</si>
  <si>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</si>
  <si>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</si>
  <si>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</si>
  <si>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</si>
  <si>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</si>
  <si>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</si>
  <si>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</si>
  <si>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</si>
  <si>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</si>
  <si>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</si>
  <si>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</si>
  <si>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</si>
  <si>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</si>
  <si>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</si>
  <si>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</si>
  <si>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</si>
  <si>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</si>
  <si>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</si>
  <si>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</si>
  <si>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</si>
  <si>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</si>
  <si>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</si>
  <si>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</si>
  <si>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</si>
  <si>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</si>
  <si>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</si>
  <si>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</si>
  <si>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</si>
  <si>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</si>
  <si>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</si>
  <si>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</si>
  <si>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</si>
  <si>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</si>
  <si>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</si>
  <si>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</si>
  <si>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</si>
  <si>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</si>
  <si>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</si>
  <si>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</si>
  <si>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</si>
  <si>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</si>
  <si>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</si>
  <si>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</si>
  <si>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</si>
  <si>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</si>
  <si>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</si>
  <si>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</si>
  <si>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</si>
  <si>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</si>
  <si>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</si>
  <si>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</si>
  <si>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</si>
  <si>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</si>
  <si>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</si>
  <si>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</si>
  <si>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</si>
  <si>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</si>
  <si>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</si>
  <si>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</si>
  <si>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</si>
  <si>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</si>
  <si>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</si>
  <si>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</si>
  <si>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</si>
  <si>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</si>
  <si>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</si>
  <si>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</si>
  <si>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</si>
  <si>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</si>
  <si>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</si>
  <si>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</si>
  <si>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</si>
  <si>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</si>
  <si>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</si>
  <si>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</si>
  <si>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</si>
  <si>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</si>
  <si>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</si>
  <si>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</si>
  <si>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</si>
  <si>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</si>
  <si>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</si>
  <si>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</si>
  <si>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</si>
  <si>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</si>
  <si>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</si>
  <si>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</si>
  <si>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</si>
  <si>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</si>
  <si>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</si>
  <si>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</si>
  <si>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</si>
  <si>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</si>
  <si>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</si>
  <si>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</si>
  <si>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</si>
  <si>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</si>
  <si>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</si>
  <si>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</si>
  <si>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</si>
  <si>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</si>
  <si>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</si>
  <si>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</si>
  <si>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</si>
  <si>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</si>
  <si>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</si>
  <si>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</si>
  <si>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</si>
  <si>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</si>
  <si>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</si>
  <si>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</si>
  <si>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</si>
  <si>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</si>
  <si>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</si>
  <si>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</si>
  <si>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</si>
  <si>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</si>
  <si>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</si>
  <si>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</si>
  <si>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</si>
  <si>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</si>
  <si>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</si>
  <si>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</si>
  <si>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</si>
  <si>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</si>
  <si>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</si>
  <si>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</si>
  <si>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</si>
  <si>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</si>
  <si>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</si>
  <si>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</si>
  <si>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</si>
  <si>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</si>
  <si>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</si>
  <si>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</si>
  <si>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</si>
  <si>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</si>
  <si>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</si>
  <si>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</si>
  <si>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</si>
  <si>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</si>
  <si>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</si>
  <si>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</si>
  <si>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</si>
  <si>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</si>
  <si>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</si>
  <si>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</si>
  <si>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</si>
  <si>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</si>
  <si>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</si>
  <si>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</si>
  <si>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</si>
  <si>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</si>
  <si>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</si>
  <si>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</si>
  <si>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</si>
  <si>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</si>
  <si>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</si>
  <si>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</si>
  <si>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</si>
  <si>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</si>
  <si>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</si>
  <si>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</si>
  <si>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</si>
  <si>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</si>
  <si>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</si>
  <si>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</si>
  <si>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</si>
  <si>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</si>
  <si>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</si>
  <si>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</si>
  <si>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</si>
  <si>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</si>
  <si>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</si>
  <si>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</si>
  <si>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</si>
  <si>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</si>
  <si>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</si>
  <si>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</si>
  <si>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</si>
  <si>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</si>
  <si>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</si>
  <si>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</si>
  <si>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</si>
  <si>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</si>
  <si>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</si>
  <si>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</si>
  <si>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</si>
  <si>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</si>
  <si>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</si>
  <si>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</si>
  <si>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</si>
  <si>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</si>
  <si>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</si>
  <si>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</si>
  <si>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</si>
  <si>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</si>
  <si>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</si>
  <si>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</si>
  <si>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</si>
  <si>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</si>
  <si>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</si>
  <si>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</si>
  <si>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</si>
  <si>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</si>
  <si>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</si>
  <si>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</si>
  <si>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</si>
  <si>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</si>
  <si>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</si>
  <si>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</si>
  <si>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</si>
  <si>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</si>
  <si>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</si>
  <si>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</si>
  <si>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</si>
  <si>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</si>
  <si>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</si>
  <si>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</si>
  <si>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</si>
  <si>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</si>
  <si>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</si>
  <si>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</si>
  <si>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</si>
  <si>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</si>
  <si>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</si>
  <si>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</si>
  <si>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</si>
  <si>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</si>
  <si>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</si>
  <si>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</si>
  <si>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</si>
  <si>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</si>
  <si>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</si>
  <si>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</si>
  <si>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</si>
  <si>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</si>
  <si>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</si>
  <si>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</si>
  <si>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</si>
  <si>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</si>
  <si>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</si>
  <si>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</si>
  <si>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</si>
  <si>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</si>
  <si>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</si>
  <si>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</si>
  <si>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</si>
  <si>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</si>
  <si>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</si>
  <si>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</si>
  <si>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</si>
  <si>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</si>
  <si>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</si>
  <si>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</si>
  <si>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</si>
  <si>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</si>
  <si>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</si>
  <si>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</si>
  <si>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</si>
  <si>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</si>
  <si>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</si>
  <si>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</si>
  <si>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</si>
  <si>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</si>
  <si>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</si>
  <si>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</si>
  <si>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</si>
  <si>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</si>
  <si>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</si>
  <si>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</si>
  <si>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</si>
  <si>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</si>
  <si>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</si>
  <si>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</si>
  <si>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</si>
  <si>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</si>
  <si>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</si>
  <si>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</si>
  <si>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</si>
  <si>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</si>
  <si>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</si>
  <si>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</si>
  <si>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</si>
  <si>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</si>
  <si>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</si>
  <si>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</si>
  <si>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</si>
  <si>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</si>
  <si>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</si>
  <si>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</si>
  <si>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</si>
  <si>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</si>
  <si>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</si>
  <si>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</si>
  <si>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</si>
  <si>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</si>
  <si>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</si>
  <si>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</si>
  <si>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</si>
  <si>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</si>
  <si>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</si>
  <si>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</si>
  <si>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</si>
  <si>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</si>
  <si>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</si>
  <si>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</si>
  <si>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</si>
  <si>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</si>
  <si>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</si>
  <si>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</si>
  <si>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</si>
  <si>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</si>
  <si>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</si>
  <si>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</si>
  <si>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</si>
  <si>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</si>
  <si>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</si>
  <si>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</si>
  <si>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</si>
  <si>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</si>
  <si>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</si>
  <si>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</si>
  <si>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</si>
  <si>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</si>
  <si>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</si>
  <si>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</si>
  <si>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</si>
  <si>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</si>
  <si>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</si>
  <si>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</si>
  <si>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</si>
  <si>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</si>
  <si>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</si>
  <si>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</si>
  <si>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</si>
  <si>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</si>
  <si>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</si>
  <si>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</si>
  <si>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</si>
  <si>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</si>
  <si>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</si>
  <si>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</si>
  <si>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</si>
  <si>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</si>
  <si>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</si>
  <si>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</si>
  <si>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</si>
  <si>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</si>
  <si>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</si>
  <si>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</si>
  <si>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</si>
  <si>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</si>
  <si>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</si>
  <si>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</si>
  <si>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</si>
  <si>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</si>
  <si>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</si>
  <si>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</si>
  <si>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</si>
  <si>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</si>
  <si>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</si>
  <si>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</si>
  <si>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</si>
  <si>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</si>
  <si>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</si>
  <si>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</si>
  <si>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</si>
  <si>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</si>
  <si>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</si>
  <si>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</si>
  <si>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</si>
  <si>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</si>
  <si>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</si>
  <si>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</si>
  <si>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</si>
  <si>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</si>
  <si>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</si>
  <si>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</si>
  <si>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</si>
  <si>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</si>
  <si>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</si>
  <si>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</si>
  <si>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</si>
  <si>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</si>
  <si>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</si>
  <si>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</si>
  <si>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</si>
  <si>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</si>
  <si>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</si>
  <si>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</si>
  <si>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</si>
  <si>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</si>
  <si>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</si>
  <si>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</si>
  <si>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</si>
  <si>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</si>
  <si>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</si>
  <si>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</si>
  <si>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</si>
  <si>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</si>
  <si>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</si>
  <si>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</si>
  <si>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</si>
  <si>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</si>
  <si>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</si>
  <si>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</si>
  <si>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</si>
  <si>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</si>
  <si>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</si>
  <si>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</si>
  <si>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</si>
  <si>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</si>
  <si>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</si>
  <si>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</si>
  <si>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</si>
  <si>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</si>
  <si>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</si>
  <si>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</si>
  <si>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</si>
  <si>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</si>
  <si>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</si>
  <si>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</si>
  <si>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</si>
  <si>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</si>
  <si>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</si>
  <si>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</si>
  <si>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</si>
  <si>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</si>
  <si>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</si>
  <si>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</si>
  <si>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</si>
  <si>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</si>
  <si>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</si>
  <si>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</si>
  <si>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</si>
  <si>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</si>
  <si>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</si>
  <si>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</si>
  <si>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</si>
  <si>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</si>
  <si>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</si>
  <si>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</si>
  <si>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</si>
  <si>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</si>
  <si>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</si>
  <si>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</si>
  <si>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</si>
  <si>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</si>
  <si>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</si>
  <si>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</si>
  <si>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</si>
  <si>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</si>
  <si>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</si>
  <si>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</si>
  <si>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</si>
  <si>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</si>
  <si>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</si>
  <si>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</si>
  <si>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</si>
  <si>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</si>
  <si>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</si>
  <si>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</si>
  <si>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</si>
  <si>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</si>
  <si>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</si>
  <si>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</si>
  <si>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</si>
  <si>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</si>
  <si>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</si>
  <si>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</si>
  <si>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</si>
  <si>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</si>
  <si>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</si>
  <si>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</si>
  <si>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</si>
  <si>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</si>
  <si>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</si>
  <si>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</si>
  <si>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</si>
  <si>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</si>
  <si>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</si>
  <si>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</si>
  <si>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</si>
  <si>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</si>
  <si>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</si>
  <si>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</si>
  <si>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</si>
  <si>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</si>
  <si>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</si>
  <si>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</si>
  <si>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</si>
  <si>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</si>
  <si>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</si>
  <si>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</si>
  <si>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</si>
  <si>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</si>
  <si>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</si>
  <si>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</si>
  <si>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</si>
  <si>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</si>
  <si>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</si>
  <si>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</si>
  <si>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</si>
  <si>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</si>
  <si>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</si>
  <si>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</si>
  <si>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</si>
  <si>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</si>
  <si>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</si>
  <si>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</si>
  <si>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</si>
  <si>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</si>
  <si>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</si>
  <si>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</si>
  <si>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</si>
  <si>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</si>
  <si>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</si>
  <si>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</si>
  <si>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</si>
  <si>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</si>
  <si>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</si>
  <si>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</si>
  <si>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</si>
  <si>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</si>
  <si>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</si>
  <si>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</si>
  <si>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</si>
  <si>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</si>
  <si>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</si>
  <si>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</si>
  <si>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</si>
  <si>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</si>
  <si>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</si>
  <si>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</si>
  <si>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</si>
  <si>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</si>
  <si>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</si>
  <si>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</si>
  <si>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</si>
  <si>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</si>
  <si>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</si>
  <si>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</si>
  <si>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</si>
  <si>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</si>
  <si>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</si>
  <si>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</si>
  <si>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</si>
  <si>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</si>
  <si>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</si>
  <si>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</si>
  <si>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</si>
  <si>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</si>
  <si>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</si>
  <si>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</si>
  <si>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</si>
  <si>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</si>
  <si>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</si>
  <si>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</si>
  <si>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</si>
  <si>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</si>
  <si>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</si>
  <si>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</si>
  <si>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</si>
  <si>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</si>
  <si>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</si>
  <si>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</si>
  <si>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</si>
  <si>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</si>
  <si>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</si>
  <si>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</si>
  <si>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</si>
  <si>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</si>
  <si>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</si>
  <si>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</si>
  <si>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</si>
  <si>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</si>
  <si>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</si>
  <si>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</si>
  <si>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</si>
  <si>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</si>
  <si>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</si>
  <si>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</si>
  <si>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</si>
  <si>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</si>
  <si>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</si>
  <si>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</si>
  <si>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</si>
  <si>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</si>
  <si>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</si>
  <si>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</si>
  <si>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</si>
  <si>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</si>
  <si>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</si>
  <si>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</si>
  <si>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</si>
  <si>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</si>
  <si>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</si>
  <si>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</si>
  <si>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</si>
  <si>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</si>
  <si>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</si>
  <si>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</si>
  <si>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</si>
  <si>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</si>
  <si>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</si>
  <si>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</si>
  <si>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</si>
  <si>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</si>
  <si>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</si>
  <si>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</si>
  <si>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</si>
  <si>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</si>
  <si>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</si>
  <si>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</si>
  <si>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</si>
  <si>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</si>
  <si>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</si>
  <si>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</si>
  <si>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</si>
  <si>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</si>
  <si>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</si>
  <si>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</si>
  <si>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</si>
  <si>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</si>
  <si>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</si>
  <si>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</si>
  <si>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</si>
  <si>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</si>
  <si>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</si>
  <si>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</si>
  <si>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</si>
  <si>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</si>
  <si>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</si>
  <si>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</si>
  <si>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</si>
  <si>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</si>
  <si>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</si>
  <si>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</si>
  <si>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</si>
  <si>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</si>
  <si>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</si>
  <si>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</si>
  <si>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</si>
  <si>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</si>
  <si>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</si>
  <si>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</si>
  <si>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</si>
  <si>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</si>
  <si>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</si>
  <si>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</si>
  <si>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</si>
  <si>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</si>
  <si>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</si>
  <si>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</si>
  <si>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</si>
  <si>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</si>
  <si>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</si>
  <si>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</si>
  <si>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</si>
  <si>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</si>
  <si>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</si>
  <si>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</si>
  <si>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</si>
  <si>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</si>
  <si>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</si>
  <si>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</si>
  <si>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</si>
  <si>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</si>
  <si>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</si>
  <si>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</si>
  <si>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</si>
  <si>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</si>
  <si>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</si>
  <si>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</si>
  <si>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</si>
  <si>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</si>
  <si>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</si>
  <si>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</si>
  <si>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</si>
  <si>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</si>
  <si>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</si>
  <si>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</si>
  <si>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</si>
  <si>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</si>
  <si>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</si>
  <si>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</si>
  <si>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</si>
  <si>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</si>
  <si>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</si>
  <si>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</si>
  <si>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</si>
  <si>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</si>
  <si>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</si>
  <si>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</si>
  <si>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</si>
  <si>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</si>
  <si>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</si>
  <si>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</si>
  <si>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</si>
  <si>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</si>
  <si>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</si>
  <si>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</si>
  <si>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</si>
  <si>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</si>
  <si>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</si>
  <si>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</si>
  <si>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</si>
  <si>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</si>
  <si>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</si>
  <si>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</si>
  <si>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</si>
  <si>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</si>
  <si>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</si>
  <si>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</si>
  <si>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</si>
  <si>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</si>
  <si>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</si>
  <si>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</si>
  <si>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</si>
  <si>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</si>
  <si>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</si>
  <si>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</si>
  <si>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</si>
  <si>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</si>
  <si>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</si>
  <si>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</si>
  <si>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</si>
  <si>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</si>
  <si>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</si>
  <si>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</si>
  <si>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</si>
  <si>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</si>
  <si>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</si>
  <si>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</si>
  <si>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</si>
  <si>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</si>
  <si>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</si>
  <si>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</si>
  <si>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</si>
  <si>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</si>
  <si>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</si>
  <si>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</si>
  <si>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</si>
  <si>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</si>
  <si>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</si>
  <si>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</si>
  <si>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</si>
  <si>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</si>
  <si>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</si>
  <si>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</si>
  <si>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</si>
  <si>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</si>
  <si>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</si>
  <si>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</si>
  <si>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</si>
  <si>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</si>
  <si>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</si>
  <si>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</si>
  <si>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</si>
  <si>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</si>
  <si>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</si>
  <si>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</si>
  <si>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</si>
  <si>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</si>
  <si>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</si>
  <si>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</si>
  <si>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</si>
  <si>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</si>
  <si>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</si>
  <si>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</si>
  <si>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</si>
  <si>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</si>
  <si>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</si>
  <si>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</si>
  <si>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</si>
  <si>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</si>
  <si>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</si>
  <si>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</si>
  <si>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</si>
  <si>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</si>
  <si>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</si>
  <si>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</si>
  <si>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</si>
  <si>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</si>
  <si>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</si>
  <si>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</si>
  <si>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</si>
  <si>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</si>
  <si>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</si>
  <si>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</si>
  <si>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</si>
  <si>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</si>
  <si>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</si>
  <si>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</si>
  <si>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</si>
  <si>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</si>
  <si>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</si>
  <si>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</si>
  <si>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</si>
  <si>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</si>
  <si>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</si>
  <si>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</si>
  <si>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</si>
  <si>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</si>
  <si>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</si>
  <si>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</si>
  <si>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</si>
  <si>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</si>
  <si>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</si>
  <si>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</si>
  <si>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</si>
  <si>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</si>
  <si>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</si>
  <si>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</si>
  <si>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</si>
  <si>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</si>
  <si>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</si>
  <si>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</si>
  <si>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</si>
  <si>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</si>
  <si>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</si>
  <si>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</si>
  <si>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</si>
  <si>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</si>
  <si>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</si>
  <si>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</si>
  <si>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</si>
  <si>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</si>
  <si>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</si>
  <si>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</si>
  <si>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</si>
  <si>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</si>
  <si>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</si>
  <si>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</si>
  <si>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</si>
  <si>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</si>
  <si>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</si>
  <si>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</si>
  <si>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</si>
  <si>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</si>
  <si>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</si>
  <si>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</si>
  <si>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</si>
  <si>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</si>
  <si>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</si>
  <si>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</si>
  <si>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</si>
  <si>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</si>
  <si>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</si>
  <si>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</si>
  <si>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</si>
  <si>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</si>
  <si>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</si>
  <si>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</si>
  <si>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</si>
  <si>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</si>
  <si>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</si>
  <si>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</si>
  <si>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</si>
  <si>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</si>
  <si>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</si>
  <si>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</si>
  <si>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</si>
  <si>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</si>
  <si>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</si>
  <si>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</si>
  <si>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</si>
  <si>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</si>
  <si>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</si>
  <si>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</si>
  <si>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</si>
  <si>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</si>
  <si>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</si>
  <si>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</si>
  <si>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</si>
  <si>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</si>
  <si>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</si>
  <si>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</si>
  <si>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</si>
  <si>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</si>
  <si>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</si>
  <si>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</si>
  <si>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</si>
  <si>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</si>
  <si>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</si>
  <si>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</si>
  <si>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</si>
  <si>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</si>
  <si>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</si>
  <si>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</si>
  <si>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</si>
  <si>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</si>
  <si>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</si>
  <si>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</si>
  <si>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</si>
  <si>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</si>
  <si>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</si>
  <si>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</si>
  <si>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</si>
  <si>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</si>
  <si>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</si>
  <si>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</si>
  <si>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</si>
  <si>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</si>
  <si>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</si>
  <si>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</si>
  <si>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</si>
  <si>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</si>
  <si>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</si>
  <si>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</si>
  <si>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</si>
  <si>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</si>
  <si>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</si>
  <si>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</si>
  <si>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</si>
  <si>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</si>
  <si>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</si>
  <si>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</si>
  <si>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</si>
  <si>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</si>
  <si>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</si>
  <si>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</si>
  <si>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</si>
  <si>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</si>
  <si>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</si>
  <si>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</si>
  <si>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</si>
  <si>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</si>
  <si>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</si>
  <si>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</si>
  <si>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</si>
  <si>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</si>
  <si>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</si>
  <si>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</si>
  <si>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</si>
  <si>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</si>
  <si>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</si>
  <si>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</si>
  <si>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</si>
  <si>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</si>
  <si>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</si>
  <si>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</si>
  <si>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</si>
  <si>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</si>
  <si>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</si>
  <si>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</si>
  <si>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</si>
  <si>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</si>
  <si>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</si>
  <si>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</si>
  <si>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</si>
  <si>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</si>
  <si>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</si>
  <si>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</si>
  <si>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</si>
  <si>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</si>
  <si>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</si>
  <si>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</si>
  <si>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</si>
  <si>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</si>
  <si>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</si>
  <si>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</si>
  <si>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</si>
  <si>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</si>
  <si>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</si>
  <si>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</si>
  <si>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</si>
  <si>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</si>
  <si>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</si>
  <si>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</si>
  <si>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</si>
  <si>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</si>
  <si>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</si>
  <si>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</si>
  <si>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</si>
  <si>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</si>
  <si>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</si>
  <si>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</si>
  <si>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</si>
  <si>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</si>
  <si>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</si>
  <si>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</si>
  <si>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</si>
  <si>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</si>
  <si>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</si>
  <si>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</si>
  <si>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</si>
  <si>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</si>
  <si>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</si>
  <si>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</si>
  <si>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</si>
  <si>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</si>
  <si>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</si>
  <si>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</si>
  <si>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</si>
  <si>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</si>
  <si>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</si>
  <si>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</si>
  <si>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</si>
  <si>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</si>
  <si>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</si>
  <si>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</si>
  <si>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</si>
  <si>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</si>
  <si>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</si>
  <si>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</si>
  <si>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</si>
  <si>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</si>
  <si>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</si>
  <si>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</si>
  <si>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</si>
  <si>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</si>
  <si>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</si>
  <si>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</si>
  <si>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</si>
  <si>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</si>
  <si>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</si>
  <si>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</si>
  <si>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</si>
  <si>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</si>
  <si>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</si>
  <si>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</si>
  <si>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</si>
  <si>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</si>
  <si>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</si>
  <si>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</si>
  <si>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</si>
  <si>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</si>
  <si>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</si>
  <si>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</si>
  <si>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</si>
  <si>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</si>
  <si>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</si>
  <si>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</si>
  <si>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</si>
  <si>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</si>
  <si>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</si>
  <si>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</si>
  <si>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</si>
  <si>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</si>
  <si>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</si>
  <si>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</si>
  <si>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</si>
  <si>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</si>
  <si>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</si>
  <si>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</si>
  <si>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</si>
  <si>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</si>
  <si>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</si>
  <si>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</si>
  <si>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</si>
  <si>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</si>
  <si>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</si>
  <si>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</si>
  <si>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</si>
  <si>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</si>
  <si>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</si>
  <si>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</si>
  <si>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</si>
  <si>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</si>
  <si>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</si>
  <si>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</si>
  <si>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</si>
  <si>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</si>
  <si>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</si>
  <si>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</si>
  <si>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</si>
  <si>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</si>
  <si>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</si>
  <si>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</si>
  <si>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</si>
  <si>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</si>
  <si>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</si>
  <si>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</si>
  <si>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</si>
  <si>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</si>
  <si>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</si>
  <si>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</si>
  <si>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</si>
  <si>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</si>
  <si>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</si>
  <si>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</si>
  <si>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</si>
  <si>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</si>
  <si>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</si>
  <si>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</si>
  <si>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</si>
  <si>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</si>
  <si>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</si>
  <si>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</si>
  <si>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</si>
  <si>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</si>
  <si>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</si>
  <si>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</si>
  <si>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</si>
  <si>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</si>
  <si>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</si>
  <si>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</si>
  <si>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</si>
  <si>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</si>
  <si>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</si>
  <si>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</si>
  <si>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</si>
  <si>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</si>
  <si>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</si>
  <si>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</si>
  <si>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</si>
  <si>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</si>
  <si>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</si>
  <si>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</si>
  <si>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</si>
  <si>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</si>
  <si>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</si>
  <si>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</si>
  <si>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</si>
  <si>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</si>
  <si>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</si>
  <si>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</si>
  <si>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</si>
  <si>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</si>
  <si>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</si>
  <si>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</si>
  <si>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</si>
  <si>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</si>
  <si>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</si>
  <si>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</si>
  <si>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</si>
  <si>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</si>
  <si>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</si>
  <si>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</si>
  <si>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</si>
  <si>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</si>
  <si>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</si>
  <si>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</si>
  <si>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</si>
  <si>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</si>
  <si>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</si>
  <si>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</si>
  <si>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</si>
  <si>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</si>
  <si>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</si>
  <si>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</si>
  <si>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</si>
  <si>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</si>
  <si>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</si>
  <si>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</si>
  <si>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</si>
  <si>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</si>
  <si>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</si>
  <si>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</si>
  <si>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</si>
  <si>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</si>
  <si>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</si>
  <si>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</si>
  <si>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</si>
  <si>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</si>
  <si>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</si>
  <si>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</si>
  <si>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</si>
  <si>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</si>
  <si>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</si>
  <si>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</si>
  <si>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</si>
  <si>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</si>
  <si>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</si>
  <si>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</si>
  <si>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</si>
  <si>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</si>
  <si>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</si>
  <si>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</si>
  <si>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</si>
  <si>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</si>
  <si>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</si>
  <si>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</si>
  <si>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</si>
  <si>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</si>
  <si>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</si>
  <si>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</si>
  <si>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</si>
  <si>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</si>
  <si>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</si>
  <si>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</si>
  <si>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</si>
  <si>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</si>
  <si>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</si>
  <si>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</si>
  <si>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</si>
  <si>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</si>
  <si>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</si>
  <si>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</si>
  <si>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</si>
  <si>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</si>
  <si>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</si>
  <si>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</si>
  <si>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</si>
  <si>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</si>
  <si>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</si>
  <si>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</si>
  <si>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</si>
  <si>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</si>
  <si>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</si>
  <si>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</si>
  <si>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</si>
  <si>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</si>
  <si>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</si>
  <si>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</si>
  <si>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</si>
  <si>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</si>
  <si>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</si>
  <si>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</si>
  <si>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</si>
  <si>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</si>
  <si>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</si>
  <si>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</si>
  <si>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</si>
  <si>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</si>
  <si>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</si>
  <si>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</si>
  <si>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</si>
  <si>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</si>
  <si>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</si>
  <si>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</si>
  <si>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</si>
  <si>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</si>
  <si>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</si>
  <si>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</si>
  <si>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</si>
  <si>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</si>
  <si>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</si>
  <si>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</si>
  <si>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</si>
  <si>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</si>
  <si>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</si>
  <si>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</si>
  <si>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</si>
  <si>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</si>
  <si>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</si>
  <si>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</si>
  <si>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</si>
  <si>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</si>
  <si>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</si>
  <si>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</si>
  <si>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</si>
  <si>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</si>
  <si>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</si>
  <si>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</si>
  <si>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</si>
  <si>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</si>
  <si>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</si>
  <si>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</si>
  <si>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</si>
  <si>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</si>
  <si>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</si>
  <si>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</si>
  <si>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</si>
  <si>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</si>
  <si>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</si>
  <si>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</si>
  <si>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</si>
  <si>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</si>
  <si>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</si>
  <si>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</si>
  <si>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</si>
  <si>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</si>
  <si>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</si>
  <si>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</si>
  <si>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</si>
  <si>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</si>
  <si>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</si>
  <si>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</si>
  <si>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</si>
  <si>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</si>
  <si>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</si>
  <si>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</si>
  <si>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</si>
  <si>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</si>
  <si>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</si>
  <si>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</si>
  <si>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</si>
  <si>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</si>
  <si>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</si>
  <si>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</si>
  <si>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</si>
  <si>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</si>
  <si>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</si>
  <si>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</si>
  <si>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</si>
  <si>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</si>
  <si>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</si>
  <si>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</si>
  <si>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</si>
  <si>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</si>
  <si>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</si>
  <si>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</si>
  <si>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</si>
  <si>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</si>
  <si>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</si>
  <si>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</si>
  <si>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</si>
  <si>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</si>
  <si>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</si>
  <si>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</si>
  <si>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</si>
  <si>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</si>
  <si>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</si>
  <si>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</si>
  <si>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</si>
  <si>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</si>
  <si>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</si>
  <si>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</si>
  <si>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</si>
  <si>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</si>
  <si>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</si>
  <si>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</si>
  <si>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</si>
  <si>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</si>
  <si>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</si>
  <si>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</si>
  <si>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</si>
  <si>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</si>
  <si>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</si>
  <si>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</si>
  <si>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</si>
  <si>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</si>
  <si>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</si>
  <si>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</si>
  <si>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</si>
  <si>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</si>
  <si>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</si>
  <si>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</si>
  <si>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</si>
  <si>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</si>
  <si>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</si>
  <si>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</si>
  <si>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</si>
  <si>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</si>
  <si>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</si>
  <si>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</si>
  <si>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</si>
  <si>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</si>
  <si>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</si>
  <si>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</si>
  <si>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</si>
  <si>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</si>
  <si>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</si>
  <si>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</si>
  <si>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</si>
  <si>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</si>
  <si>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</si>
  <si>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</si>
  <si>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</si>
  <si>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</si>
  <si>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</si>
  <si>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</si>
  <si>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</si>
  <si>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</si>
  <si>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</si>
  <si>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</si>
  <si>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</si>
  <si>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</si>
  <si>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</si>
  <si>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</si>
  <si>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</si>
  <si>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</si>
  <si>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</si>
  <si>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</si>
  <si>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</si>
  <si>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</si>
  <si>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</si>
  <si>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</si>
  <si>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</si>
  <si>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</si>
  <si>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</si>
  <si>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</si>
  <si>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</si>
  <si>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</si>
  <si>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</si>
  <si>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</si>
  <si>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</si>
  <si>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</si>
  <si>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</si>
  <si>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</si>
  <si>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</si>
  <si>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</si>
  <si>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</si>
  <si>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</si>
  <si>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</si>
  <si>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</si>
  <si>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</si>
  <si>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</si>
  <si>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</si>
  <si>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</si>
  <si>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</si>
  <si>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</si>
  <si>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</si>
  <si>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</si>
  <si>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</si>
  <si>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</si>
  <si>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</si>
  <si>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</si>
  <si>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</si>
  <si>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</si>
  <si>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</si>
  <si>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</si>
  <si>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</si>
  <si>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</si>
  <si>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</si>
  <si>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</si>
  <si>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</si>
  <si>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</si>
  <si>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</si>
  <si>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</si>
  <si>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</si>
  <si>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</si>
  <si>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</si>
  <si>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</si>
  <si>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</si>
  <si>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</si>
  <si>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</si>
  <si>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</si>
  <si>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</si>
  <si>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</si>
  <si>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</si>
  <si>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</si>
  <si>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</si>
  <si>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</si>
  <si>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</si>
  <si>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</si>
  <si>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</si>
  <si>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</si>
  <si>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</si>
  <si>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</si>
  <si>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</si>
  <si>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</si>
  <si>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</si>
  <si>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</si>
  <si>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</si>
  <si>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</si>
  <si>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</si>
  <si>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</si>
  <si>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</si>
  <si>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</si>
  <si>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</si>
  <si>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</si>
  <si>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</si>
  <si>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</si>
  <si>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</si>
  <si>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</si>
  <si>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</si>
  <si>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</si>
  <si>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</si>
  <si>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</si>
  <si>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</si>
  <si>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</si>
  <si>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</si>
  <si>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</si>
  <si>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</si>
  <si>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</si>
  <si>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</si>
  <si>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</si>
  <si>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</si>
  <si>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</si>
  <si>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</si>
  <si>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</si>
  <si>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</si>
  <si>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</si>
  <si>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</si>
  <si>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</si>
  <si>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</si>
  <si>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</si>
  <si>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</si>
  <si>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</si>
  <si>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</si>
  <si>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</si>
  <si>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</si>
  <si>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</si>
  <si>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</si>
  <si>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</si>
  <si>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</si>
  <si>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</si>
  <si>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</si>
  <si>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</si>
  <si>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</si>
  <si>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</si>
  <si>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</si>
  <si>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</si>
  <si>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</si>
  <si>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</si>
  <si>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</si>
  <si>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</si>
  <si>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</si>
  <si>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</si>
  <si>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</si>
  <si>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</si>
  <si>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</si>
  <si>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</si>
  <si>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</si>
  <si>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</si>
  <si>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</si>
  <si>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</si>
  <si>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</si>
  <si>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</si>
  <si>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</si>
  <si>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</si>
  <si>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</si>
  <si>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</si>
  <si>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</si>
  <si>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</si>
  <si>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</si>
  <si>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</si>
  <si>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</si>
  <si>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</si>
  <si>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</si>
  <si>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</si>
  <si>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</si>
  <si>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</si>
  <si>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</si>
  <si>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</si>
  <si>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</si>
  <si>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</si>
  <si>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</si>
  <si>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</si>
  <si>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</si>
  <si>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</si>
  <si>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</si>
  <si>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</si>
  <si>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</si>
  <si>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</si>
  <si>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</si>
  <si>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</si>
  <si>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</si>
  <si>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</si>
  <si>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</si>
  <si>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</si>
  <si>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</si>
  <si>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</si>
  <si>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</si>
  <si>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</si>
  <si>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</si>
  <si>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</si>
  <si>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</si>
  <si>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</si>
  <si>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</si>
  <si>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</si>
  <si>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</si>
  <si>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</si>
  <si>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</si>
  <si>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</si>
  <si>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</si>
  <si>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</si>
  <si>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</si>
  <si>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</si>
  <si>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</si>
  <si>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</si>
  <si>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</si>
  <si>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</si>
  <si>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</si>
  <si>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</si>
  <si>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</si>
  <si>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</si>
  <si>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</si>
  <si>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</si>
  <si>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</si>
  <si>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</si>
  <si>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</si>
  <si>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</si>
  <si>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</si>
  <si>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</si>
  <si>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</si>
  <si>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</si>
  <si>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</si>
  <si>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</si>
  <si>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</si>
  <si>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</si>
  <si>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</si>
  <si>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</si>
  <si>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</si>
  <si>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</si>
  <si>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</si>
  <si>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</si>
  <si>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</si>
  <si>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</si>
  <si>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</si>
  <si>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</si>
  <si>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</si>
  <si>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</si>
  <si>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</si>
  <si>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</si>
  <si>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</si>
  <si>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</si>
  <si>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</si>
  <si>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</si>
  <si>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</si>
  <si>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</si>
  <si>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</si>
  <si>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</si>
  <si>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</si>
  <si>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</si>
  <si>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</si>
  <si>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</si>
  <si>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</si>
  <si>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</si>
  <si>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</si>
  <si>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</si>
  <si>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</si>
  <si>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</si>
  <si>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</si>
  <si>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</si>
  <si>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</si>
  <si>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</si>
  <si>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</si>
  <si>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</si>
  <si>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</si>
  <si>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</si>
  <si>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</si>
  <si>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</si>
  <si>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</si>
  <si>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</si>
  <si>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</si>
  <si>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</si>
  <si>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</si>
  <si>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</si>
  <si>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</si>
  <si>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</si>
  <si>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</si>
  <si>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</si>
  <si>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</si>
  <si>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</si>
  <si>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</si>
  <si>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</si>
  <si>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</si>
  <si>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</si>
  <si>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</si>
  <si>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</si>
  <si>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</si>
  <si>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</si>
  <si>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</si>
  <si>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</si>
  <si>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</si>
  <si>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</si>
  <si>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</si>
  <si>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</si>
  <si>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</si>
  <si>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</si>
  <si>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</si>
  <si>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</si>
  <si>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</si>
  <si>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</si>
  <si>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</si>
  <si>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</si>
  <si>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</si>
  <si>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</si>
  <si>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</si>
  <si>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</si>
  <si>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</si>
  <si>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</si>
  <si>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</si>
  <si>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</si>
  <si>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</si>
  <si>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</si>
  <si>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</si>
  <si>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</si>
  <si>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</si>
  <si>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</si>
  <si>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</si>
  <si>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</si>
  <si>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</si>
  <si>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</si>
  <si>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</si>
  <si>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</si>
  <si>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</si>
  <si>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</si>
  <si>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</si>
  <si>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</si>
  <si>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</si>
  <si>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</si>
  <si>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</si>
  <si>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</si>
  <si>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</si>
  <si>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</si>
  <si>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</si>
  <si>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</si>
  <si>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</si>
  <si>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</si>
  <si>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</si>
  <si>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</si>
  <si>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</si>
  <si>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</si>
  <si>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</si>
  <si>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</si>
  <si>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</si>
  <si>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</si>
  <si>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</si>
  <si>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</si>
  <si>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</si>
  <si>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</si>
  <si>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</si>
  <si>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</si>
  <si>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</si>
  <si>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</si>
  <si>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</si>
  <si>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</si>
  <si>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</si>
  <si>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</si>
  <si>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</si>
  <si>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</si>
  <si>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</si>
  <si>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</si>
  <si>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</si>
  <si>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</si>
  <si>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</si>
  <si>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</si>
  <si>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</si>
  <si>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</si>
  <si>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</si>
  <si>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</si>
  <si>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</si>
  <si>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</si>
  <si>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</si>
  <si>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</si>
  <si>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</si>
  <si>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</si>
  <si>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</si>
  <si>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</si>
  <si>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</si>
  <si>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</si>
  <si>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</si>
  <si>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</si>
  <si>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</si>
  <si>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</si>
  <si>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</si>
  <si>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</si>
  <si>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</si>
  <si>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</si>
  <si>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</si>
  <si>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</si>
  <si>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</si>
  <si>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</si>
  <si>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</si>
  <si>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</si>
  <si>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</si>
  <si>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</si>
  <si>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</si>
  <si>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</si>
  <si>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</si>
  <si>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</si>
  <si>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</si>
  <si>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</si>
  <si>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</si>
  <si>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</si>
  <si>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</si>
  <si>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</si>
  <si>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</si>
  <si>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</si>
  <si>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</si>
  <si>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</si>
  <si>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</si>
  <si>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</si>
  <si>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</si>
  <si>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</si>
  <si>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</si>
  <si>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</si>
  <si>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</si>
  <si>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</si>
  <si>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</si>
  <si>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</si>
  <si>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</si>
  <si>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</si>
  <si>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</si>
  <si>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</si>
  <si>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</si>
  <si>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</si>
  <si>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</si>
  <si>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</si>
  <si>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</si>
  <si>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</si>
  <si>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</si>
  <si>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</si>
  <si>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</si>
  <si>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</si>
  <si>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</si>
  <si>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</si>
  <si>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</si>
  <si>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</si>
  <si>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</si>
  <si>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</si>
  <si>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</si>
  <si>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</si>
  <si>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</si>
  <si>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</si>
  <si>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</si>
  <si>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</si>
  <si>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</si>
  <si>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</si>
  <si>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</si>
  <si>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</si>
  <si>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</si>
  <si>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</si>
  <si>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</si>
  <si>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</si>
  <si>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</si>
  <si>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</si>
  <si>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</si>
  <si>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</si>
  <si>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</si>
  <si>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</si>
  <si>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</si>
  <si>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</si>
  <si>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</si>
  <si>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</si>
  <si>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</si>
  <si>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</si>
  <si>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</si>
  <si>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</si>
  <si>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</si>
  <si>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</si>
  <si>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</si>
  <si>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</si>
  <si>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</si>
  <si>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</si>
  <si>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</si>
  <si>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</si>
  <si>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</si>
  <si>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</si>
  <si>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</si>
  <si>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</si>
  <si>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</si>
  <si>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</si>
  <si>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</si>
  <si>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</si>
  <si>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</si>
  <si>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</si>
  <si>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</si>
  <si>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</si>
  <si>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</si>
  <si>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</si>
  <si>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</si>
  <si>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</si>
  <si>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</si>
  <si>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</si>
  <si>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</si>
  <si>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</si>
  <si>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</si>
  <si>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</si>
  <si>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</si>
  <si>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</si>
  <si>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</si>
  <si>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</si>
  <si>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</si>
  <si>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</si>
  <si>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</si>
  <si>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</si>
  <si>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</si>
  <si>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</si>
  <si>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</si>
  <si>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</si>
  <si>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</si>
  <si>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</si>
  <si>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</si>
  <si>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</si>
  <si>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</si>
  <si>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</si>
  <si>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</si>
  <si>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</si>
  <si>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</si>
  <si>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</si>
  <si>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</si>
  <si>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</si>
  <si>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</si>
  <si>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</si>
  <si>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</si>
  <si>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</si>
  <si>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</si>
  <si>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</si>
  <si>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</si>
  <si>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</si>
  <si>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</si>
  <si>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</si>
  <si>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</si>
  <si>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</si>
  <si>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</si>
  <si>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</si>
  <si>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</si>
  <si>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</si>
  <si>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</si>
  <si>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</si>
  <si>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</si>
  <si>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</si>
  <si>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</si>
  <si>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</si>
  <si>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</si>
  <si>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</si>
  <si>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</si>
  <si>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</si>
  <si>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</si>
  <si>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</si>
  <si>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</si>
  <si>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</si>
  <si>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</si>
  <si>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</si>
  <si>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</si>
  <si>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</si>
  <si>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</si>
  <si>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</si>
  <si>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</si>
  <si>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</si>
  <si>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</si>
  <si>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</si>
  <si>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</si>
  <si>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</si>
  <si>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</si>
  <si>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</si>
  <si>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</si>
  <si>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</si>
  <si>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</si>
  <si>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</si>
  <si>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</si>
  <si>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</si>
  <si>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</si>
  <si>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</si>
  <si>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</si>
  <si>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</si>
  <si>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</si>
  <si>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</si>
  <si>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</si>
  <si>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</si>
  <si>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</si>
  <si>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</si>
  <si>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</si>
  <si>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</si>
  <si>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</si>
  <si>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</si>
  <si>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</si>
  <si>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</si>
  <si>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</si>
  <si>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</si>
  <si>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</si>
  <si>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</si>
  <si>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</si>
  <si>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</si>
  <si>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</si>
  <si>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</si>
  <si>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</si>
  <si>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</si>
  <si>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</si>
  <si>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</si>
  <si>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</si>
  <si>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</si>
  <si>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</si>
  <si>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</si>
  <si>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</si>
  <si>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</si>
  <si>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</si>
  <si>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</si>
  <si>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</si>
  <si>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</si>
  <si>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</si>
  <si>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</si>
  <si>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</si>
  <si>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</si>
  <si>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</si>
  <si>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</si>
  <si>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</si>
  <si>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</si>
  <si>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</si>
  <si>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</si>
  <si>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</si>
  <si>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</si>
  <si>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</si>
  <si>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</si>
  <si>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</si>
  <si>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</si>
  <si>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</si>
  <si>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</si>
  <si>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</si>
  <si>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</si>
  <si>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</si>
  <si>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</si>
  <si>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</si>
  <si>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</si>
  <si>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</si>
  <si>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</si>
  <si>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</si>
  <si>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</si>
  <si>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</si>
  <si>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</si>
  <si>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</si>
  <si>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</si>
  <si>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</si>
  <si>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</si>
  <si>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</si>
  <si>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</si>
  <si>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</si>
  <si>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</si>
  <si>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</si>
  <si>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</si>
  <si>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</si>
  <si>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</si>
  <si>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</si>
  <si>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</si>
  <si>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</si>
  <si>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</si>
  <si>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</si>
  <si>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</si>
  <si>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</si>
  <si>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</si>
  <si>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</si>
  <si>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</si>
  <si>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</si>
  <si>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</si>
  <si>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</si>
  <si>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</si>
  <si>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</si>
  <si>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</si>
  <si>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</si>
  <si>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</si>
  <si>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</si>
  <si>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</si>
  <si>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</si>
  <si>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</si>
  <si>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</si>
  <si>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</si>
  <si>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</si>
  <si>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</si>
  <si>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</si>
  <si>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</si>
  <si>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</si>
  <si>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</si>
  <si>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</si>
  <si>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</si>
  <si>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</si>
  <si>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</si>
  <si>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</si>
  <si>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</si>
  <si>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</si>
  <si>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</si>
  <si>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</si>
  <si>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</si>
  <si>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</si>
  <si>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</si>
  <si>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</si>
  <si>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</si>
  <si>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</si>
  <si>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</si>
  <si>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</si>
  <si>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</si>
  <si>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</si>
  <si>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</si>
  <si>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</si>
  <si>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</si>
  <si>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</si>
  <si>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</si>
  <si>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</si>
  <si>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</si>
  <si>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</si>
  <si>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</si>
  <si>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</si>
  <si>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</si>
  <si>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</si>
  <si>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</si>
  <si>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</si>
  <si>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</si>
  <si>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</si>
  <si>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</si>
  <si>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</si>
  <si>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</si>
  <si>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</si>
  <si>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</si>
  <si>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</si>
  <si>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</si>
  <si>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</si>
  <si>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</si>
  <si>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</si>
  <si>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</si>
  <si>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</si>
  <si>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</si>
  <si>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</si>
  <si>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</si>
  <si>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</si>
  <si>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</si>
  <si>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</si>
  <si>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</si>
  <si>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</si>
  <si>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</si>
  <si>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</si>
  <si>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</si>
  <si>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</si>
  <si>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</si>
  <si>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</si>
  <si>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</si>
  <si>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</si>
  <si>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</si>
  <si>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</si>
  <si>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</si>
  <si>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</si>
  <si>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</si>
  <si>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</si>
  <si>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</si>
  <si>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</si>
  <si>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</si>
  <si>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</si>
  <si>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</si>
  <si>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</si>
  <si>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</si>
  <si>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</si>
  <si>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</si>
  <si>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</si>
  <si>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</si>
  <si>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</si>
  <si>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</si>
  <si>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</si>
  <si>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</si>
  <si>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</si>
  <si>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</si>
  <si>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</si>
  <si>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</si>
  <si>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</si>
  <si>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</si>
  <si>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</si>
  <si>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</si>
  <si>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</si>
  <si>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</si>
  <si>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</si>
  <si>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</si>
  <si>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</si>
  <si>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</si>
  <si>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</si>
  <si>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</si>
  <si>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</si>
  <si>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</si>
  <si>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</si>
  <si>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</si>
  <si>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</si>
  <si>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</si>
  <si>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</si>
  <si>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</si>
  <si>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</si>
  <si>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</si>
  <si>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</si>
  <si>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</si>
  <si>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</si>
  <si>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</si>
  <si>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</si>
  <si>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</si>
  <si>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</si>
  <si>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</si>
  <si>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</si>
  <si>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</si>
  <si>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</si>
  <si>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</si>
  <si>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</si>
  <si>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</si>
  <si>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</si>
  <si>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</si>
  <si>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</si>
  <si>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</si>
  <si>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</si>
  <si>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</si>
  <si>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</si>
  <si>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</si>
  <si>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</si>
  <si>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</si>
  <si>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</si>
  <si>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</si>
  <si>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</si>
  <si>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</si>
  <si>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</si>
  <si>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</si>
  <si>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</si>
  <si>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</si>
  <si>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</si>
  <si>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</si>
  <si>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</si>
  <si>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</si>
  <si>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</si>
  <si>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</si>
  <si>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</si>
  <si>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</si>
  <si>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</si>
  <si>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</si>
  <si>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</si>
  <si>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</si>
  <si>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</si>
  <si>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</si>
  <si>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</si>
  <si>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</si>
  <si>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</si>
  <si>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</si>
  <si>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</si>
  <si>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</si>
  <si>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</si>
  <si>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</si>
  <si>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</si>
  <si>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</si>
  <si>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</si>
  <si>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</si>
  <si>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</si>
  <si>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</si>
  <si>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</si>
  <si>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</si>
  <si>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</si>
  <si>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</si>
  <si>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</si>
  <si>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</si>
  <si>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</si>
  <si>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</si>
  <si>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</si>
  <si>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</si>
  <si>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</si>
  <si>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</si>
  <si>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</si>
  <si>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</si>
  <si>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</si>
  <si>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</si>
  <si>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</si>
  <si>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</si>
  <si>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</si>
  <si>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</si>
  <si>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</si>
  <si>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</si>
  <si>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</si>
  <si>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</si>
  <si>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</si>
  <si>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</si>
  <si>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</si>
  <si>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</si>
  <si>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</si>
  <si>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</si>
  <si>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</si>
  <si>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</si>
  <si>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</si>
  <si>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</si>
  <si>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</si>
  <si>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</si>
  <si>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</si>
  <si>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</si>
  <si>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</si>
  <si>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</si>
  <si>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</si>
  <si>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</si>
  <si>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</si>
  <si>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</si>
  <si>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</si>
  <si>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</si>
  <si>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</si>
  <si>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</si>
  <si>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</si>
  <si>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</si>
  <si>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</si>
  <si>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</si>
  <si>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</si>
  <si>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</si>
  <si>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</si>
  <si>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</si>
  <si>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</si>
  <si>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</si>
  <si>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</si>
  <si>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</si>
  <si>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</si>
  <si>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</si>
  <si>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</si>
  <si>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</si>
  <si>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</si>
  <si>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</si>
  <si>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</si>
  <si>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</si>
  <si>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</si>
  <si>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</si>
  <si>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</si>
  <si>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</si>
  <si>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</si>
  <si>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</si>
  <si>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</si>
  <si>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</si>
  <si>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</si>
  <si>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</si>
  <si>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</si>
  <si>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</si>
  <si>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</si>
  <si>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</si>
  <si>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</si>
  <si>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</si>
  <si>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</si>
  <si>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</si>
  <si>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</si>
  <si>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</si>
  <si>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</si>
  <si>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</si>
  <si>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</si>
  <si>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</si>
  <si>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</si>
  <si>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</si>
  <si>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</si>
  <si>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</si>
  <si>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</si>
  <si>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</si>
  <si>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</si>
  <si>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</si>
  <si>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</si>
  <si>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</si>
  <si>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</si>
  <si>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</si>
  <si>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</si>
  <si>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</si>
  <si>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</si>
  <si>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</si>
  <si>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</si>
  <si>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</si>
  <si>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</si>
  <si>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</si>
  <si>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</si>
  <si>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</si>
  <si>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</si>
  <si>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</si>
  <si>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</si>
  <si>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</si>
  <si>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</si>
  <si>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</si>
  <si>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</si>
  <si>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</si>
  <si>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</si>
  <si>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</si>
  <si>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</si>
  <si>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</si>
  <si>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</si>
  <si>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</si>
  <si>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</si>
  <si>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</si>
  <si>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</si>
  <si>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</si>
  <si>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</si>
  <si>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</si>
  <si>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</si>
  <si>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</si>
  <si>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</si>
  <si>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</si>
  <si>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</si>
  <si>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</si>
  <si>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</si>
  <si>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</si>
  <si>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</si>
  <si>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</si>
  <si>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</si>
  <si>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</si>
  <si>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</si>
  <si>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</si>
  <si>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</si>
  <si>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</si>
  <si>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</si>
  <si>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</si>
  <si>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</si>
  <si>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</si>
  <si>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</si>
  <si>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</si>
  <si>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</si>
  <si>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</si>
  <si>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</si>
  <si>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</si>
  <si>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</si>
  <si>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</si>
  <si>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</si>
  <si>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</si>
  <si>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</si>
  <si>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</si>
  <si>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</si>
  <si>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</si>
  <si>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</si>
  <si>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</si>
  <si>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</si>
  <si>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</si>
  <si>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</si>
  <si>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</si>
  <si>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</si>
  <si>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</si>
  <si>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</si>
  <si>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</si>
  <si>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</si>
  <si>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</si>
  <si>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</si>
  <si>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</si>
  <si>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</si>
  <si>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</si>
  <si>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</si>
  <si>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</si>
  <si>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</si>
  <si>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</si>
  <si>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</si>
  <si>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</si>
  <si>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</si>
  <si>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</si>
  <si>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</si>
  <si>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</si>
  <si>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</si>
  <si>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</si>
  <si>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</si>
  <si>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</si>
  <si>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</si>
  <si>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</si>
  <si>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</si>
  <si>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</si>
  <si>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</si>
  <si>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</si>
  <si>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</si>
  <si>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</si>
  <si>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</si>
  <si>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</si>
  <si>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</si>
  <si>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</si>
  <si>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</si>
  <si>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</si>
  <si>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</si>
  <si>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</si>
  <si>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</si>
  <si>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</si>
  <si>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</si>
  <si>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</si>
  <si>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</si>
  <si>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</si>
  <si>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</si>
  <si>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</si>
  <si>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</si>
  <si>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</si>
  <si>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</si>
  <si>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</si>
  <si>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</si>
  <si>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</si>
  <si>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</si>
  <si>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</si>
  <si>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</si>
  <si>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</si>
  <si>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</si>
  <si>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</si>
  <si>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</si>
  <si>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</si>
  <si>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</si>
  <si>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</si>
  <si>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</si>
  <si>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</si>
  <si>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</si>
  <si>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</si>
  <si>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</si>
  <si>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</si>
  <si>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</si>
  <si>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</si>
  <si>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</si>
  <si>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</si>
  <si>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</si>
  <si>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</si>
  <si>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</si>
  <si>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</si>
  <si>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</si>
  <si>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</si>
  <si>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</si>
  <si>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</si>
  <si>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</si>
  <si>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</si>
  <si>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</si>
  <si>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</si>
  <si>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</si>
  <si>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</si>
  <si>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</si>
  <si>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</si>
  <si>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</si>
  <si>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</si>
  <si>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</si>
  <si>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</si>
  <si>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</si>
  <si>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</si>
  <si>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</si>
  <si>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</si>
  <si>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</si>
  <si>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</si>
  <si>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</si>
  <si>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</si>
  <si>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</si>
  <si>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</si>
  <si>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</si>
  <si>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</si>
  <si>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</si>
  <si>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</si>
  <si>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</si>
  <si>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</si>
  <si>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</si>
  <si>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</si>
  <si>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</si>
  <si>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</si>
  <si>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</si>
  <si>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</si>
  <si>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</si>
  <si>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</si>
  <si>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</si>
  <si>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</si>
  <si>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</si>
  <si>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</si>
  <si>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</si>
  <si>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</si>
  <si>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</si>
  <si>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</si>
  <si>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</si>
  <si>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</si>
  <si>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</si>
  <si>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</si>
  <si>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</si>
  <si>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</si>
  <si>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</si>
  <si>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</si>
  <si>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</si>
  <si>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</si>
  <si>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</si>
  <si>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</si>
  <si>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</si>
  <si>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</si>
  <si>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</si>
  <si>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</si>
  <si>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</si>
  <si>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</si>
  <si>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</si>
  <si>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</si>
  <si>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</si>
  <si>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</si>
  <si>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</si>
  <si>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</si>
  <si>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</si>
  <si>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</si>
  <si>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</si>
  <si>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</si>
  <si>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</si>
  <si>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</si>
  <si>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</si>
  <si>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</si>
  <si>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</si>
  <si>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</si>
  <si>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</si>
  <si>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</si>
  <si>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</si>
  <si>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</si>
  <si>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</si>
  <si>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</si>
  <si>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</si>
  <si>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</si>
  <si>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</si>
  <si>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</si>
  <si>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</si>
  <si>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</si>
  <si>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</si>
  <si>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</si>
  <si>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</si>
  <si>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</si>
  <si>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</si>
  <si>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</si>
  <si>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</si>
  <si>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</si>
  <si>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</si>
  <si>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</si>
  <si>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</si>
  <si>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</si>
  <si>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</si>
  <si>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</si>
  <si>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</si>
  <si>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</si>
  <si>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</si>
  <si>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</si>
  <si>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</si>
  <si>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</si>
  <si>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</si>
  <si>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</si>
  <si>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</si>
  <si>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</si>
  <si>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</si>
  <si>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</si>
  <si>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</si>
  <si>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</si>
  <si>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</si>
  <si>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</si>
  <si>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</si>
  <si>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</si>
  <si>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</si>
  <si>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</si>
  <si>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</si>
  <si>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</si>
  <si>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</si>
  <si>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</si>
  <si>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</si>
  <si>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</si>
  <si>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</si>
  <si>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</si>
  <si>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</si>
  <si>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</si>
  <si>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</si>
  <si>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</si>
  <si>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</si>
  <si>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</si>
  <si>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</si>
  <si>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</si>
  <si>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</si>
  <si>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</si>
  <si>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</si>
  <si>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</si>
  <si>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</si>
  <si>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</si>
  <si>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</si>
  <si>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</si>
  <si>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</si>
  <si>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</si>
  <si>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</si>
  <si>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</si>
  <si>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</si>
  <si>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</si>
  <si>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</si>
  <si>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</si>
  <si>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</si>
  <si>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</si>
  <si>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</si>
  <si>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</si>
  <si>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</si>
  <si>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</si>
  <si>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</si>
  <si>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</si>
  <si>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</si>
  <si>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</si>
  <si>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</si>
  <si>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</si>
  <si>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</si>
  <si>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</si>
  <si>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</si>
  <si>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</si>
  <si>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</si>
  <si>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</si>
  <si>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</si>
  <si>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</si>
  <si>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</si>
  <si>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</si>
  <si>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</si>
  <si>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</si>
  <si>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</si>
  <si>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</si>
  <si>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</si>
  <si>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</si>
  <si>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</si>
  <si>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</si>
  <si>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</si>
  <si>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</si>
  <si>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</si>
  <si>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</si>
  <si>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</si>
  <si>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</si>
  <si>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</si>
  <si>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</si>
  <si>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</si>
  <si>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</si>
  <si>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</si>
  <si>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</si>
  <si>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</si>
  <si>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</si>
  <si>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</si>
  <si>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</si>
  <si>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</si>
  <si>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</si>
  <si>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</si>
  <si>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</si>
  <si>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</si>
  <si>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</si>
  <si>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</si>
  <si>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</si>
  <si>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</si>
  <si>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</si>
  <si>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</si>
  <si>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</si>
  <si>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</si>
  <si>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</si>
  <si>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</si>
  <si>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</si>
  <si>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</si>
  <si>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</si>
  <si>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</si>
  <si>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</si>
  <si>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</si>
  <si>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</si>
  <si>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</si>
  <si>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</si>
  <si>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</si>
  <si>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</si>
  <si>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</si>
  <si>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</si>
  <si>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</si>
  <si>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</si>
  <si>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</si>
  <si>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</si>
  <si>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</si>
  <si>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</si>
  <si>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</si>
  <si>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</si>
  <si>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</si>
  <si>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</si>
  <si>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</si>
  <si>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</si>
  <si>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</si>
  <si>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</si>
  <si>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</si>
  <si>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</si>
  <si>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</si>
  <si>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</si>
  <si>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</si>
  <si>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</si>
  <si>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</si>
  <si>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</si>
  <si>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</si>
  <si>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</si>
  <si>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</si>
  <si>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</si>
  <si>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</si>
  <si>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</si>
  <si>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</si>
  <si>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</si>
  <si>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</si>
  <si>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</si>
  <si>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</si>
  <si>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</si>
  <si>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</si>
  <si>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</si>
  <si>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</si>
  <si>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</si>
  <si>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</si>
  <si>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</si>
  <si>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</si>
  <si>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</si>
  <si>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</si>
  <si>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</si>
  <si>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</si>
  <si>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</si>
  <si>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</si>
  <si>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</si>
  <si>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</si>
  <si>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</si>
  <si>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</si>
  <si>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</si>
  <si>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</si>
  <si>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</si>
  <si>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</si>
  <si>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</si>
  <si>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</si>
  <si>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</si>
  <si>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</si>
  <si>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</si>
  <si>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</si>
  <si>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</si>
  <si>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</si>
  <si>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</si>
  <si>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</si>
  <si>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</si>
  <si>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</si>
  <si>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</si>
  <si>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</si>
  <si>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</si>
  <si>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</si>
  <si>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</si>
  <si>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</si>
  <si>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</si>
  <si>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</si>
  <si>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</si>
  <si>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</si>
  <si>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</si>
  <si>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</si>
  <si>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</si>
  <si>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</si>
  <si>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</si>
  <si>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</si>
  <si>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</si>
  <si>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</si>
  <si>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</si>
  <si>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</si>
  <si>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</si>
  <si>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</si>
  <si>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</si>
  <si>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</si>
  <si>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</si>
  <si>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</si>
  <si>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</si>
  <si>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</si>
  <si>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</si>
  <si>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</si>
  <si>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</si>
  <si>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</si>
  <si>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</si>
  <si>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</si>
  <si>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</si>
  <si>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</si>
  <si>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</si>
  <si>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</si>
  <si>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</si>
  <si>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</si>
  <si>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</si>
  <si>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</si>
  <si>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</si>
  <si>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</si>
  <si>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</si>
  <si>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</si>
  <si>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</si>
  <si>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</si>
  <si>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</si>
  <si>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</si>
  <si>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</si>
  <si>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</si>
  <si>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</si>
  <si>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</si>
  <si>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</si>
  <si>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</si>
  <si>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</si>
  <si>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</si>
  <si>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</si>
  <si>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</si>
  <si>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北京市</t>
  </si>
  <si>
    <t>企业</t>
  </si>
  <si>
    <t>钢混</t>
    <phoneticPr fontId="4" type="noConversion"/>
  </si>
  <si>
    <t>是</t>
  </si>
  <si>
    <t>地上</t>
  </si>
  <si>
    <t>办公楼</t>
  </si>
  <si>
    <t>地下</t>
  </si>
  <si>
    <t>地下车库</t>
    <phoneticPr fontId="4" type="noConversion"/>
  </si>
  <si>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</si>
  <si>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</si>
  <si>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</si>
  <si>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</si>
  <si>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</si>
  <si>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</si>
  <si>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</si>
  <si>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</si>
  <si>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</si>
  <si>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</si>
  <si>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</si>
  <si>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</si>
  <si>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</si>
  <si>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</si>
  <si>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</si>
  <si>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</si>
  <si>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</si>
  <si>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</si>
  <si>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</si>
  <si>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</si>
  <si>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</si>
  <si>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</si>
  <si>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</si>
  <si>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</si>
  <si>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</si>
  <si>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</si>
  <si>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</si>
  <si>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</si>
  <si>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</si>
  <si>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</si>
  <si>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</si>
  <si>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</si>
  <si>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</si>
  <si>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</si>
  <si>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</si>
  <si>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</si>
  <si>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</si>
  <si>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</si>
  <si>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</si>
  <si>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</si>
  <si>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</si>
  <si>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</si>
  <si>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</si>
  <si>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</si>
  <si>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</si>
  <si>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</si>
  <si>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</si>
  <si>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</si>
  <si>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</si>
  <si>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</si>
  <si>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</si>
  <si>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</si>
  <si>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</si>
  <si>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</si>
  <si>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</si>
  <si>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</si>
  <si>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项目模式</t>
  </si>
  <si>
    <t>售价</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</si>
  <si>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</si>
  <si>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</si>
  <si>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</si>
  <si>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</si>
  <si>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</si>
  <si>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</si>
  <si>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</si>
  <si>
    <r>
      <rPr>
        <sz val="10"/>
        <color theme="9" tint="-0.249977111117893"/>
        <rFont val="宋体"/>
        <family val="3"/>
        <charset val="134"/>
      </rPr>
      <t>丰台区丰台科技园东区三期</t>
    </r>
    <r>
      <rPr>
        <sz val="10"/>
        <color theme="9" tint="-0.249977111117893"/>
        <rFont val="Arial"/>
        <family val="2"/>
      </rPr>
      <t>1516-51</t>
    </r>
    <r>
      <rPr>
        <sz val="10"/>
        <color theme="9" tint="-0.249977111117893"/>
        <rFont val="宋体"/>
        <family val="3"/>
        <charset val="134"/>
      </rPr>
      <t>号地块商业金融用地项目</t>
    </r>
    <phoneticPr fontId="4" type="noConversion"/>
  </si>
  <si>
    <r>
      <rPr>
        <b/>
        <sz val="10"/>
        <color rgb="FFFF0000"/>
        <rFont val="华文细黑"/>
        <family val="3"/>
        <charset val="134"/>
      </rPr>
      <t>规证</t>
    </r>
    <phoneticPr fontId="135" type="noConversion"/>
  </si>
  <si>
    <r>
      <rPr>
        <sz val="10"/>
        <color theme="1"/>
        <rFont val="华文细黑"/>
        <family val="3"/>
        <charset val="134"/>
      </rPr>
      <t>经营性用途</t>
    </r>
    <phoneticPr fontId="135" type="noConversion"/>
  </si>
  <si>
    <r>
      <rPr>
        <sz val="10"/>
        <color theme="1"/>
        <rFont val="华文细黑"/>
        <family val="3"/>
        <charset val="134"/>
      </rPr>
      <t>非经营性用途</t>
    </r>
    <phoneticPr fontId="135" type="noConversion"/>
  </si>
  <si>
    <r>
      <rPr>
        <sz val="10"/>
        <color theme="1"/>
        <rFont val="华文细黑"/>
        <family val="3"/>
        <charset val="134"/>
      </rPr>
      <t>人防</t>
    </r>
    <phoneticPr fontId="135" type="noConversion"/>
  </si>
  <si>
    <r>
      <rPr>
        <sz val="10"/>
        <color theme="1"/>
        <rFont val="华文细黑"/>
        <family val="3"/>
        <charset val="134"/>
      </rPr>
      <t>合计（不含人防）</t>
    </r>
    <phoneticPr fontId="135" type="noConversion"/>
  </si>
  <si>
    <r>
      <rPr>
        <sz val="10"/>
        <color theme="1"/>
        <rFont val="华文细黑"/>
        <family val="3"/>
        <charset val="134"/>
      </rPr>
      <t>小计</t>
    </r>
    <phoneticPr fontId="135" type="noConversion"/>
  </si>
  <si>
    <r>
      <rPr>
        <sz val="10"/>
        <color theme="1"/>
        <rFont val="华文细黑"/>
        <family val="3"/>
        <charset val="134"/>
      </rPr>
      <t>地上商业</t>
    </r>
    <phoneticPr fontId="135" type="noConversion"/>
  </si>
  <si>
    <r>
      <rPr>
        <sz val="10"/>
        <color theme="1"/>
        <rFont val="华文细黑"/>
        <family val="3"/>
        <charset val="134"/>
      </rPr>
      <t>地下商业</t>
    </r>
    <phoneticPr fontId="135" type="noConversion"/>
  </si>
  <si>
    <r>
      <rPr>
        <sz val="10"/>
        <color theme="1"/>
        <rFont val="华文细黑"/>
        <family val="3"/>
        <charset val="134"/>
      </rPr>
      <t>办公</t>
    </r>
    <phoneticPr fontId="135" type="noConversion"/>
  </si>
  <si>
    <r>
      <rPr>
        <sz val="10"/>
        <color theme="1"/>
        <rFont val="华文细黑"/>
        <family val="3"/>
        <charset val="134"/>
      </rPr>
      <t>地下车库</t>
    </r>
    <phoneticPr fontId="135" type="noConversion"/>
  </si>
  <si>
    <r>
      <rPr>
        <sz val="10"/>
        <color theme="1"/>
        <rFont val="华文细黑"/>
        <family val="3"/>
        <charset val="134"/>
      </rPr>
      <t>地上设备</t>
    </r>
    <phoneticPr fontId="135" type="noConversion"/>
  </si>
  <si>
    <r>
      <rPr>
        <sz val="10"/>
        <color theme="1"/>
        <rFont val="华文细黑"/>
        <family val="3"/>
        <charset val="134"/>
      </rPr>
      <t>地下设备</t>
    </r>
    <phoneticPr fontId="135" type="noConversion"/>
  </si>
  <si>
    <r>
      <t>1#</t>
    </r>
    <r>
      <rPr>
        <sz val="10"/>
        <color indexed="8"/>
        <rFont val="华文细黑"/>
        <family val="3"/>
        <charset val="134"/>
      </rPr>
      <t>商业办公楼</t>
    </r>
    <phoneticPr fontId="4" type="noConversion"/>
  </si>
  <si>
    <r>
      <t>2#</t>
    </r>
    <r>
      <rPr>
        <sz val="10"/>
        <color indexed="8"/>
        <rFont val="华文细黑"/>
        <family val="3"/>
        <charset val="134"/>
      </rPr>
      <t>商业办公楼</t>
    </r>
    <r>
      <rPr>
        <sz val="10"/>
        <color indexed="8"/>
        <rFont val="宋体"/>
        <family val="3"/>
        <charset val="134"/>
      </rPr>
      <t/>
    </r>
  </si>
  <si>
    <r>
      <t>3#</t>
    </r>
    <r>
      <rPr>
        <sz val="10"/>
        <color indexed="8"/>
        <rFont val="华文细黑"/>
        <family val="3"/>
        <charset val="134"/>
      </rPr>
      <t>商业办公楼</t>
    </r>
    <r>
      <rPr>
        <sz val="10"/>
        <color indexed="8"/>
        <rFont val="宋体"/>
        <family val="3"/>
        <charset val="134"/>
      </rPr>
      <t/>
    </r>
  </si>
  <si>
    <r>
      <t>4#</t>
    </r>
    <r>
      <rPr>
        <sz val="10"/>
        <color indexed="8"/>
        <rFont val="华文细黑"/>
        <family val="3"/>
        <charset val="134"/>
      </rPr>
      <t>商业办公楼</t>
    </r>
    <r>
      <rPr>
        <sz val="10"/>
        <color indexed="8"/>
        <rFont val="宋体"/>
        <family val="3"/>
        <charset val="134"/>
      </rPr>
      <t/>
    </r>
  </si>
  <si>
    <r>
      <t>5#</t>
    </r>
    <r>
      <rPr>
        <sz val="10"/>
        <color indexed="8"/>
        <rFont val="华文细黑"/>
        <family val="3"/>
        <charset val="134"/>
      </rPr>
      <t>商业</t>
    </r>
    <phoneticPr fontId="4" type="noConversion"/>
  </si>
  <si>
    <r>
      <t>6#</t>
    </r>
    <r>
      <rPr>
        <sz val="10"/>
        <color indexed="8"/>
        <rFont val="华文细黑"/>
        <family val="3"/>
        <charset val="134"/>
      </rPr>
      <t>商业</t>
    </r>
    <r>
      <rPr>
        <sz val="10"/>
        <color indexed="8"/>
        <rFont val="宋体"/>
        <family val="3"/>
        <charset val="134"/>
      </rPr>
      <t/>
    </r>
  </si>
  <si>
    <r>
      <t>7#</t>
    </r>
    <r>
      <rPr>
        <sz val="10"/>
        <color indexed="8"/>
        <rFont val="华文细黑"/>
        <family val="3"/>
        <charset val="134"/>
      </rPr>
      <t>商业及地下车库</t>
    </r>
    <phoneticPr fontId="4" type="noConversion"/>
  </si>
  <si>
    <r>
      <rPr>
        <sz val="10"/>
        <color indexed="8"/>
        <rFont val="华文细黑"/>
        <family val="3"/>
        <charset val="134"/>
      </rPr>
      <t>小计</t>
    </r>
    <phoneticPr fontId="135" type="noConversion"/>
  </si>
  <si>
    <r>
      <rPr>
        <sz val="10"/>
        <color theme="1"/>
        <rFont val="华文细黑"/>
        <family val="3"/>
        <charset val="134"/>
      </rPr>
      <t>含人防合计</t>
    </r>
    <phoneticPr fontId="135" type="noConversion"/>
  </si>
  <si>
    <r>
      <rPr>
        <sz val="10"/>
        <color theme="1"/>
        <rFont val="华文细黑"/>
        <family val="3"/>
        <charset val="134"/>
      </rPr>
      <t>各层商业面积</t>
    </r>
    <phoneticPr fontId="135" type="noConversion"/>
  </si>
  <si>
    <r>
      <rPr>
        <b/>
        <sz val="10"/>
        <color rgb="FFFF0000"/>
        <rFont val="华文细黑"/>
        <family val="3"/>
        <charset val="134"/>
      </rPr>
      <t>测绘报告</t>
    </r>
    <phoneticPr fontId="135" type="noConversion"/>
  </si>
  <si>
    <r>
      <t>B1</t>
    </r>
    <r>
      <rPr>
        <sz val="10"/>
        <color theme="1"/>
        <rFont val="华文细黑"/>
        <family val="3"/>
        <charset val="134"/>
      </rPr>
      <t>层</t>
    </r>
    <phoneticPr fontId="135" type="noConversion"/>
  </si>
  <si>
    <r>
      <t>1</t>
    </r>
    <r>
      <rPr>
        <sz val="10"/>
        <color theme="1"/>
        <rFont val="华文细黑"/>
        <family val="3"/>
        <charset val="134"/>
      </rPr>
      <t>层</t>
    </r>
    <phoneticPr fontId="135" type="noConversion"/>
  </si>
  <si>
    <r>
      <t>2</t>
    </r>
    <r>
      <rPr>
        <sz val="10"/>
        <color theme="1"/>
        <rFont val="华文细黑"/>
        <family val="3"/>
        <charset val="134"/>
      </rPr>
      <t>层</t>
    </r>
    <phoneticPr fontId="135" type="noConversion"/>
  </si>
  <si>
    <r>
      <t>3</t>
    </r>
    <r>
      <rPr>
        <sz val="10"/>
        <color theme="1"/>
        <rFont val="华文细黑"/>
        <family val="3"/>
        <charset val="134"/>
      </rPr>
      <t>层</t>
    </r>
    <phoneticPr fontId="135" type="noConversion"/>
  </si>
  <si>
    <r>
      <rPr>
        <sz val="10"/>
        <color theme="1"/>
        <rFont val="华文细黑"/>
        <family val="3"/>
        <charset val="134"/>
      </rPr>
      <t>合计</t>
    </r>
    <phoneticPr fontId="135" type="noConversion"/>
  </si>
  <si>
    <r>
      <rPr>
        <sz val="10"/>
        <color theme="1"/>
        <rFont val="华文细黑"/>
        <family val="3"/>
        <charset val="134"/>
      </rPr>
      <t>新增面积</t>
    </r>
    <phoneticPr fontId="135" type="noConversion"/>
  </si>
  <si>
    <r>
      <rPr>
        <sz val="10"/>
        <color theme="1"/>
        <rFont val="华文细黑"/>
        <family val="3"/>
        <charset val="134"/>
      </rPr>
      <t>补缴单价</t>
    </r>
    <phoneticPr fontId="135" type="noConversion"/>
  </si>
  <si>
    <r>
      <rPr>
        <sz val="10"/>
        <color theme="1"/>
        <rFont val="华文细黑"/>
        <family val="3"/>
        <charset val="134"/>
      </rPr>
      <t>补缴总价</t>
    </r>
    <phoneticPr fontId="135" type="noConversion"/>
  </si>
  <si>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</si>
  <si>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</si>
  <si>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</si>
  <si>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</si>
  <si>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</si>
  <si>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</si>
  <si>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</si>
  <si>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</si>
  <si>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</si>
  <si>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</si>
  <si>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</si>
  <si>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</si>
  <si>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</si>
  <si>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</si>
  <si>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</si>
  <si>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</si>
  <si>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</si>
  <si>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</si>
  <si>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</si>
  <si>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</si>
  <si>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</si>
  <si>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</si>
  <si>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</si>
  <si>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</si>
  <si>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</si>
  <si>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</si>
  <si>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</si>
  <si>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</si>
  <si>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</si>
  <si>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</si>
  <si>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</si>
  <si>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</si>
  <si>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</si>
  <si>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</si>
  <si>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</si>
  <si>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</si>
  <si>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</si>
  <si>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</si>
  <si>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</si>
  <si>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</si>
  <si>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</si>
  <si>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</si>
  <si>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</si>
  <si>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</si>
  <si>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</si>
  <si>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</si>
  <si>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</si>
  <si>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</si>
  <si>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</si>
  <si>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</si>
  <si>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</si>
  <si>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</si>
  <si>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</si>
  <si>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</si>
  <si>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</si>
  <si>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</si>
  <si>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</si>
  <si>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</si>
  <si>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</si>
  <si>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</si>
  <si>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</si>
  <si>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</si>
  <si>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</si>
  <si>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</si>
  <si>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</si>
  <si>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</si>
  <si>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</si>
  <si>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</si>
  <si>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</si>
  <si>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</si>
  <si>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</si>
  <si>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</si>
  <si>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</si>
  <si>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</si>
  <si>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</si>
  <si>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</si>
  <si>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</si>
  <si>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</si>
  <si>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</si>
  <si>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</si>
  <si>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</si>
  <si>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</si>
  <si>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</si>
  <si>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</si>
  <si>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</si>
  <si>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</si>
  <si>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</si>
  <si>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</si>
  <si>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</si>
  <si>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</si>
  <si>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</si>
  <si>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</si>
  <si>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</si>
  <si>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</si>
  <si>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</si>
  <si>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</si>
  <si>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</si>
  <si>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</si>
  <si>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</si>
  <si>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</si>
  <si>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</si>
  <si>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</si>
  <si>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</si>
  <si>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</si>
  <si>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</si>
  <si>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</si>
  <si>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 xml:space="preserve"> C2商业金融用地</t>
  </si>
  <si>
    <t xml:space="preserve"> B4综合性商业金融服务业用地</t>
  </si>
  <si>
    <t xml:space="preserve"> F3其他类多功能用地</t>
  </si>
  <si>
    <r>
      <t xml:space="preserve"> F3</t>
    </r>
    <r>
      <rPr>
        <sz val="11"/>
        <rFont val="宋体"/>
        <family val="3"/>
        <charset val="134"/>
      </rPr>
      <t>其他类多功能用地、</t>
    </r>
    <r>
      <rPr>
        <sz val="11"/>
        <rFont val="Arial"/>
        <family val="2"/>
      </rPr>
      <t>S32</t>
    </r>
    <r>
      <rPr>
        <sz val="11"/>
        <rFont val="宋体"/>
        <family val="3"/>
        <charset val="134"/>
      </rPr>
      <t>公交场站设施用地</t>
    </r>
    <r>
      <rPr>
        <sz val="11"/>
        <rFont val="Arial"/>
        <family val="2"/>
      </rPr>
      <t xml:space="preserve"> </t>
    </r>
    <phoneticPr fontId="4" type="noConversion"/>
  </si>
  <si>
    <r>
      <rPr>
        <sz val="11"/>
        <color indexed="8"/>
        <rFont val="宋体"/>
        <family val="3"/>
        <charset val="134"/>
      </rPr>
      <t>全面积</t>
    </r>
    <r>
      <rPr>
        <sz val="11"/>
        <color indexed="8"/>
        <rFont val="Arial"/>
        <family val="2"/>
      </rPr>
      <t>20</t>
    </r>
    <r>
      <rPr>
        <sz val="11"/>
        <color indexed="8"/>
        <rFont val="宋体"/>
        <family val="3"/>
        <charset val="134"/>
      </rPr>
      <t>年</t>
    </r>
    <phoneticPr fontId="4" type="noConversion"/>
  </si>
  <si>
    <t>无自持</t>
    <phoneticPr fontId="4" type="noConversion"/>
  </si>
  <si>
    <r>
      <rPr>
        <sz val="11"/>
        <color indexed="8"/>
        <rFont val="宋体"/>
        <family val="3"/>
        <charset val="134"/>
      </rPr>
      <t>可售部分</t>
    </r>
    <r>
      <rPr>
        <sz val="11"/>
        <color indexed="8"/>
        <rFont val="Arial"/>
        <family val="2"/>
      </rPr>
      <t>55%</t>
    </r>
    <r>
      <rPr>
        <sz val="11"/>
        <color indexed="8"/>
        <rFont val="宋体"/>
        <family val="3"/>
        <charset val="134"/>
      </rPr>
      <t>地上建筑规模自持至土地最高出让年限</t>
    </r>
    <phoneticPr fontId="4"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</si>
  <si>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</si>
  <si>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</si>
  <si>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</si>
  <si>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</si>
  <si>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</si>
  <si>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</si>
  <si>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</si>
  <si>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</si>
  <si>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五通</t>
  </si>
  <si>
    <t>四通</t>
  </si>
  <si>
    <t>三通</t>
  </si>
  <si>
    <t>好</t>
    <phoneticPr fontId="4" type="noConversion"/>
  </si>
  <si>
    <t>主干道</t>
  </si>
  <si>
    <t>支路</t>
  </si>
  <si>
    <t>快速路</t>
    <phoneticPr fontId="4" type="noConversion"/>
  </si>
  <si>
    <t>主干道</t>
    <phoneticPr fontId="4" type="noConversion"/>
  </si>
  <si>
    <t>次干道</t>
    <phoneticPr fontId="4" type="noConversion"/>
  </si>
  <si>
    <t>支路</t>
    <phoneticPr fontId="4" type="noConversion"/>
  </si>
  <si>
    <t xml:space="preserve"> F3其他类多功能用地、S32公交场站设施用地 </t>
  </si>
  <si>
    <t>自持比例及年限</t>
    <phoneticPr fontId="4" type="noConversion"/>
  </si>
  <si>
    <t>次干道</t>
  </si>
  <si>
    <t>花乡奥莱村，万达广场，较好</t>
    <phoneticPr fontId="4" type="noConversion"/>
  </si>
  <si>
    <t>东旭国际中心、交控大厦、旭阳大厦，较好</t>
    <phoneticPr fontId="4" type="noConversion"/>
  </si>
  <si>
    <t>9号线、房山线，较好</t>
    <phoneticPr fontId="4" type="noConversion"/>
  </si>
  <si>
    <t>次干道-樊羊路</t>
    <phoneticPr fontId="25" type="noConversion"/>
  </si>
  <si>
    <t>白盆窑公园、国际法官学院，一般</t>
    <phoneticPr fontId="4" type="noConversion"/>
  </si>
  <si>
    <t>首创龙湖丽泽天街、金堂新光界</t>
    <phoneticPr fontId="31" type="noConversion"/>
  </si>
  <si>
    <t>丽金中心、丽泽SOHO</t>
    <phoneticPr fontId="31" type="noConversion"/>
  </si>
  <si>
    <r>
      <t>14</t>
    </r>
    <r>
      <rPr>
        <sz val="11"/>
        <rFont val="宋体"/>
        <family val="3"/>
        <charset val="134"/>
      </rPr>
      <t>号线</t>
    </r>
    <phoneticPr fontId="31" type="noConversion"/>
  </si>
  <si>
    <t>丽泽金融商务区城市运动休闲公园</t>
    <phoneticPr fontId="31" type="noConversion"/>
  </si>
  <si>
    <t>工程进度</t>
  </si>
  <si>
    <t>已全部缴纳</t>
  </si>
  <si>
    <t>成本法</t>
  </si>
  <si>
    <t>假设开发法</t>
  </si>
  <si>
    <t>在建</t>
  </si>
  <si>
    <t>商业、办公</t>
    <phoneticPr fontId="135" type="noConversion"/>
  </si>
  <si>
    <t>商业</t>
    <phoneticPr fontId="135" type="noConversion"/>
  </si>
  <si>
    <t>地上层数</t>
    <phoneticPr fontId="135" type="noConversion"/>
  </si>
  <si>
    <t>地上层数</t>
    <phoneticPr fontId="135" type="noConversion"/>
  </si>
  <si>
    <t>商业、办公</t>
    <phoneticPr fontId="135" type="noConversion"/>
  </si>
  <si>
    <t>商业</t>
    <phoneticPr fontId="135" type="noConversion"/>
  </si>
  <si>
    <t>地下车库</t>
    <phoneticPr fontId="135" type="noConversion"/>
  </si>
  <si>
    <t>实测报告</t>
    <phoneticPr fontId="135" type="noConversion"/>
  </si>
  <si>
    <t>1层</t>
    <phoneticPr fontId="135" type="noConversion"/>
  </si>
  <si>
    <t>2层</t>
  </si>
  <si>
    <t>3层</t>
  </si>
  <si>
    <t>B1层</t>
    <phoneticPr fontId="135" type="noConversion"/>
  </si>
  <si>
    <t>租金</t>
    <phoneticPr fontId="135" type="noConversion"/>
  </si>
  <si>
    <t>合计</t>
    <phoneticPr fontId="135" type="noConversion"/>
  </si>
  <si>
    <t>系数</t>
    <phoneticPr fontId="135" type="noConversion"/>
  </si>
  <si>
    <t>总价</t>
  </si>
  <si>
    <t>成本比率</t>
  </si>
  <si>
    <t>地下商业</t>
  </si>
  <si>
    <r>
      <t>1#</t>
    </r>
    <r>
      <rPr>
        <sz val="9"/>
        <color rgb="FF000000"/>
        <rFont val="华文细黑"/>
        <family val="3"/>
        <charset val="134"/>
      </rPr>
      <t>商业办公楼</t>
    </r>
  </si>
  <si>
    <r>
      <t>2#</t>
    </r>
    <r>
      <rPr>
        <sz val="9"/>
        <color rgb="FF000000"/>
        <rFont val="华文细黑"/>
        <family val="3"/>
        <charset val="134"/>
      </rPr>
      <t>商业办公楼</t>
    </r>
  </si>
  <si>
    <r>
      <t>3#</t>
    </r>
    <r>
      <rPr>
        <sz val="9"/>
        <color rgb="FF000000"/>
        <rFont val="华文细黑"/>
        <family val="3"/>
        <charset val="134"/>
      </rPr>
      <t>商业办公楼</t>
    </r>
  </si>
  <si>
    <r>
      <t>4#</t>
    </r>
    <r>
      <rPr>
        <sz val="9"/>
        <color rgb="FF000000"/>
        <rFont val="华文细黑"/>
        <family val="3"/>
        <charset val="134"/>
      </rPr>
      <t>商业办公楼</t>
    </r>
  </si>
  <si>
    <r>
      <t>5#</t>
    </r>
    <r>
      <rPr>
        <sz val="9"/>
        <color rgb="FF000000"/>
        <rFont val="华文细黑"/>
        <family val="3"/>
        <charset val="134"/>
      </rPr>
      <t>商业</t>
    </r>
  </si>
  <si>
    <r>
      <t>6#</t>
    </r>
    <r>
      <rPr>
        <sz val="9"/>
        <color rgb="FF000000"/>
        <rFont val="华文细黑"/>
        <family val="3"/>
        <charset val="134"/>
      </rPr>
      <t>商业</t>
    </r>
  </si>
  <si>
    <t>建筑面积（㎡）</t>
    <phoneticPr fontId="135" type="noConversion"/>
  </si>
  <si>
    <t>楼层</t>
    <phoneticPr fontId="135" type="noConversion"/>
  </si>
  <si>
    <r>
      <rPr>
        <sz val="9"/>
        <color rgb="FF000000"/>
        <rFont val="宋体"/>
        <family val="3"/>
        <charset val="134"/>
      </rPr>
      <t>地下</t>
    </r>
    <r>
      <rPr>
        <sz val="9"/>
        <color rgb="FF000000"/>
        <rFont val="Arial"/>
        <family val="2"/>
      </rPr>
      <t>3</t>
    </r>
    <r>
      <rPr>
        <sz val="9"/>
        <color rgb="FF000000"/>
        <rFont val="宋体"/>
        <family val="3"/>
        <charset val="134"/>
      </rPr>
      <t>层</t>
    </r>
    <phoneticPr fontId="135" type="noConversion"/>
  </si>
  <si>
    <t>规划用途</t>
    <phoneticPr fontId="135" type="noConversion"/>
  </si>
  <si>
    <r>
      <t>7#</t>
    </r>
    <r>
      <rPr>
        <sz val="9"/>
        <color rgb="FF000000"/>
        <rFont val="华文细黑"/>
        <family val="3"/>
        <charset val="134"/>
      </rPr>
      <t>商业及地下车库</t>
    </r>
    <phoneticPr fontId="135" type="noConversion"/>
  </si>
  <si>
    <t>商业、地下车库</t>
    <phoneticPr fontId="135" type="noConversion"/>
  </si>
  <si>
    <t>项目</t>
    <phoneticPr fontId="135" type="noConversion"/>
  </si>
  <si>
    <t>地上商业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</si>
</sst>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9" tint="-0.249977111117893"/>
      <name val="Arial"/>
      <family val="3"/>
      <charset val="134"/>
    </font>
    <font>
      <b/>
      <sz val="10"/>
      <color rgb="FFFF0000"/>
      <name val="华文细黑"/>
      <family val="3"/>
      <charset val="134"/>
    </font>
    <font>
      <sz val="10"/>
      <color theme="1"/>
      <name val="华文细黑"/>
      <family val="3"/>
      <charset val="134"/>
    </font>
    <font>
      <sz val="10"/>
      <color indexed="8"/>
      <name val="华文细黑"/>
      <family val="3"/>
      <charset val="134"/>
    </font>
    <font>
      <sz val="10"/>
      <color theme="1"/>
      <name val="Arial Unicode MS"/>
      <family val="2"/>
      <charset val="134"/>
    </font>
    <font>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2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9" fontId="45" fillId="0" borderId="41" xfId="17" applyFont="1" applyBorder="1" applyAlignment="1" applyProtection="1">
      <alignment horizontal="center" vertical="center" wrapText="1"/>
      <protection locked="0"/>
    </xf>
    <xf numFmtId="0" fontId="54" fillId="22" borderId="32" xfId="0" applyFont="1" applyFill="1" applyBorder="1" applyAlignment="1" applyProtection="1">
      <alignment horizontal="right" vertical="center" wrapText="1"/>
      <protection locked="0"/>
    </xf>
    <xf numFmtId="0" fontId="100" fillId="22" borderId="1" xfId="0" applyFont="1" applyFill="1" applyBorder="1" applyAlignment="1" applyProtection="1">
      <alignment horizontal="center" vertical="center" wrapText="1"/>
      <protection locked="0"/>
    </xf>
    <xf numFmtId="0" fontId="54" fillId="22" borderId="1" xfId="0" applyFont="1" applyFill="1" applyBorder="1" applyAlignment="1" applyProtection="1">
      <alignment vertical="center" wrapText="1"/>
      <protection locked="0"/>
    </xf>
    <xf numFmtId="0" fontId="247" fillId="0" borderId="18" xfId="0" applyFont="1" applyBorder="1" applyAlignment="1">
      <alignment horizontal="left" vertical="center"/>
    </xf>
    <xf numFmtId="0" fontId="247" fillId="0" borderId="40" xfId="0" applyFont="1" applyBorder="1" applyAlignment="1">
      <alignment horizontal="left" vertical="center"/>
    </xf>
    <xf numFmtId="0" fontId="247" fillId="0" borderId="17" xfId="0" applyFont="1" applyBorder="1" applyAlignment="1">
      <alignment horizontal="left" vertical="center"/>
    </xf>
    <xf numFmtId="0" fontId="247" fillId="0" borderId="62" xfId="0" applyFont="1" applyBorder="1" applyAlignment="1">
      <alignment horizontal="left" vertical="center"/>
    </xf>
    <xf numFmtId="0" fontId="247" fillId="0" borderId="0" xfId="0" applyFont="1" applyAlignment="1">
      <alignment horizontal="left" vertical="center"/>
    </xf>
    <xf numFmtId="0" fontId="256" fillId="0" borderId="47" xfId="0" applyFont="1" applyBorder="1">
      <alignment vertical="center"/>
    </xf>
    <xf numFmtId="0" fontId="256" fillId="0" borderId="43" xfId="0" applyFont="1" applyBorder="1" applyAlignment="1">
      <alignment horizontal="right" vertical="center"/>
    </xf>
    <xf numFmtId="0" fontId="256" fillId="0" borderId="9" xfId="0" applyFont="1" applyBorder="1" applyAlignment="1">
      <alignment horizontal="left" vertical="center" wrapText="1"/>
    </xf>
    <xf numFmtId="0" fontId="257" fillId="0" borderId="19" xfId="0" applyFont="1" applyBorder="1" applyAlignment="1">
      <alignment horizontal="left" vertical="center"/>
    </xf>
    <xf numFmtId="0" fontId="255" fillId="0" borderId="28" xfId="0" applyFont="1" applyBorder="1" applyAlignment="1">
      <alignment horizontal="left" vertical="center"/>
    </xf>
    <xf numFmtId="0" fontId="257" fillId="0" borderId="18" xfId="0" applyFont="1" applyBorder="1" applyAlignment="1">
      <alignment horizontal="left" vertical="center"/>
    </xf>
    <xf numFmtId="0" fontId="256" fillId="0" borderId="1" xfId="0" applyFont="1" applyBorder="1" applyAlignment="1">
      <alignment horizontal="left" vertical="center" wrapText="1"/>
    </xf>
    <xf numFmtId="0" fontId="256" fillId="0" borderId="2" xfId="0" applyFont="1" applyBorder="1" applyAlignment="1">
      <alignment horizontal="left" vertical="center" wrapText="1"/>
    </xf>
    <xf numFmtId="0" fontId="257" fillId="0" borderId="0" xfId="0" applyFont="1" applyAlignment="1">
      <alignment horizontal="left" vertical="center"/>
    </xf>
    <xf numFmtId="0" fontId="255" fillId="0" borderId="32" xfId="0" applyFont="1" applyBorder="1" applyAlignment="1">
      <alignment horizontal="left" vertical="center"/>
    </xf>
    <xf numFmtId="0" fontId="255" fillId="0" borderId="33" xfId="0" applyFont="1" applyBorder="1" applyAlignment="1">
      <alignment horizontal="left" vertical="center"/>
    </xf>
    <xf numFmtId="0" fontId="256" fillId="0" borderId="40" xfId="0" applyFont="1" applyBorder="1" applyAlignment="1">
      <alignment horizontal="left" vertical="center" wrapText="1"/>
    </xf>
    <xf numFmtId="0" fontId="256" fillId="0" borderId="74" xfId="0" applyFont="1" applyBorder="1" applyAlignment="1">
      <alignment horizontal="left" vertical="center" wrapText="1"/>
    </xf>
    <xf numFmtId="0" fontId="256" fillId="0" borderId="32" xfId="0" applyFont="1" applyBorder="1" applyAlignment="1">
      <alignment horizontal="left" vertical="center" wrapText="1"/>
    </xf>
    <xf numFmtId="0" fontId="256" fillId="0" borderId="14" xfId="0" applyFont="1" applyBorder="1" applyAlignment="1">
      <alignment horizontal="left" vertical="center" wrapText="1"/>
    </xf>
    <xf numFmtId="0" fontId="256" fillId="0" borderId="1" xfId="18" applyNumberFormat="1" applyFont="1" applyBorder="1" applyAlignment="1">
      <alignment horizontal="left" vertical="center" wrapText="1"/>
    </xf>
    <xf numFmtId="0" fontId="256" fillId="0" borderId="15" xfId="0" applyFont="1" applyBorder="1" applyAlignment="1">
      <alignment horizontal="left" vertical="center" wrapText="1"/>
    </xf>
    <xf numFmtId="0" fontId="256" fillId="0" borderId="13" xfId="0" applyFont="1" applyBorder="1" applyAlignment="1">
      <alignment horizontal="left" vertical="center" wrapText="1"/>
    </xf>
    <xf numFmtId="0" fontId="256" fillId="0" borderId="10" xfId="0" applyFont="1" applyBorder="1" applyAlignment="1">
      <alignment horizontal="left" vertical="center" wrapText="1"/>
    </xf>
    <xf numFmtId="0" fontId="256" fillId="0" borderId="24" xfId="0" applyFont="1" applyBorder="1" applyAlignment="1">
      <alignment horizontal="left" vertical="center" wrapText="1"/>
    </xf>
    <xf numFmtId="0" fontId="256" fillId="0" borderId="12" xfId="0" applyFont="1" applyBorder="1" applyAlignment="1">
      <alignment horizontal="left" vertical="center" wrapText="1"/>
    </xf>
    <xf numFmtId="0" fontId="256" fillId="0" borderId="49" xfId="0" applyFont="1" applyBorder="1" applyAlignment="1">
      <alignment horizontal="left" vertical="center" wrapText="1"/>
    </xf>
    <xf numFmtId="0" fontId="256" fillId="0" borderId="61" xfId="0" applyFont="1" applyBorder="1" applyAlignment="1">
      <alignment horizontal="left" vertical="center" wrapText="1"/>
    </xf>
    <xf numFmtId="0" fontId="256" fillId="0" borderId="6" xfId="0" applyFont="1" applyBorder="1" applyAlignment="1">
      <alignment horizontal="left" vertical="center" wrapText="1"/>
    </xf>
    <xf numFmtId="0" fontId="256" fillId="0" borderId="23" xfId="0" applyFont="1" applyBorder="1" applyAlignment="1">
      <alignment horizontal="left" vertical="center" wrapText="1"/>
    </xf>
    <xf numFmtId="0" fontId="256" fillId="0" borderId="25" xfId="0" applyFont="1" applyBorder="1" applyAlignment="1">
      <alignment horizontal="left" vertical="center" wrapText="1"/>
    </xf>
    <xf numFmtId="49" fontId="169" fillId="12" borderId="4" xfId="0" applyNumberFormat="1" applyFont="1" applyFill="1" applyBorder="1" applyAlignment="1" applyProtection="1">
      <alignment horizontal="left" vertical="center"/>
      <protection locked="0"/>
    </xf>
    <xf numFmtId="0" fontId="48" fillId="0" borderId="1" xfId="0" applyFont="1" applyBorder="1" applyAlignment="1">
      <alignment horizontal="left" vertical="center" wrapText="1"/>
    </xf>
    <xf numFmtId="176" fontId="48" fillId="0" borderId="1" xfId="0" applyNumberFormat="1" applyFont="1" applyBorder="1" applyAlignment="1">
      <alignment horizontal="left" vertical="center" wrapText="1"/>
    </xf>
    <xf numFmtId="176" fontId="48" fillId="23" borderId="1" xfId="0" applyNumberFormat="1" applyFont="1" applyFill="1" applyBorder="1" applyAlignment="1">
      <alignment horizontal="left" vertical="center" wrapText="1"/>
    </xf>
    <xf numFmtId="0" fontId="100" fillId="0" borderId="1" xfId="0" applyFont="1" applyBorder="1" applyAlignment="1">
      <alignment horizontal="left" vertical="center"/>
    </xf>
    <xf numFmtId="0" fontId="100" fillId="0" borderId="0" xfId="0" applyFont="1">
      <alignment vertical="center"/>
    </xf>
    <xf numFmtId="176" fontId="100" fillId="0" borderId="1" xfId="0" applyNumberFormat="1" applyFont="1" applyBorder="1" applyAlignment="1">
      <alignment horizontal="left" vertical="center"/>
    </xf>
    <xf numFmtId="176" fontId="114" fillId="0" borderId="1" xfId="0" applyNumberFormat="1" applyFont="1" applyBorder="1" applyAlignment="1">
      <alignment horizontal="left" vertical="center"/>
    </xf>
    <xf numFmtId="0" fontId="100" fillId="0" borderId="1" xfId="0" applyFont="1" applyBorder="1">
      <alignment vertical="center"/>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129" fillId="0" borderId="41" xfId="0" applyNumberFormat="1"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223" fillId="0" borderId="49" xfId="0" applyFont="1" applyBorder="1" applyProtection="1">
      <alignment vertical="center"/>
      <protection locked="0"/>
    </xf>
    <xf numFmtId="49" fontId="95"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0" fontId="123" fillId="0" borderId="1" xfId="0" applyFont="1" applyBorder="1" applyAlignment="1">
      <alignment horizontal="left" vertical="center"/>
    </xf>
    <xf numFmtId="0" fontId="139" fillId="0" borderId="1" xfId="0" applyFont="1" applyBorder="1" applyAlignment="1">
      <alignment horizontal="left" vertical="center"/>
    </xf>
    <xf numFmtId="0" fontId="123" fillId="0" borderId="0" xfId="0" applyFont="1">
      <alignment vertical="center"/>
    </xf>
    <xf numFmtId="196" fontId="100" fillId="0" borderId="0" xfId="0" applyNumberFormat="1" applyFont="1">
      <alignment vertical="center"/>
    </xf>
    <xf numFmtId="179" fontId="48" fillId="0" borderId="23" xfId="0" applyNumberFormat="1" applyFont="1" applyBorder="1" applyAlignment="1" applyProtection="1">
      <alignment horizontal="center" vertical="center"/>
      <protection locked="0"/>
    </xf>
    <xf numFmtId="0" fontId="267" fillId="0" borderId="1" xfId="0" applyFont="1" applyBorder="1">
      <alignment vertical="center"/>
    </xf>
    <xf numFmtId="0" fontId="267" fillId="0" borderId="1" xfId="0" applyFont="1" applyBorder="1" applyAlignment="1">
      <alignment horizontal="left" vertical="center"/>
    </xf>
    <xf numFmtId="0" fontId="276" fillId="0" borderId="1" xfId="0"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100" fillId="0" borderId="0" xfId="0" applyFont="1" applyAlignment="1">
      <alignment horizontal="center" vertical="center"/>
    </xf>
    <xf numFmtId="0" fontId="273" fillId="0" borderId="1" xfId="0" applyFont="1" applyBorder="1" applyAlignment="1">
      <alignment horizontal="left" vertical="center"/>
    </xf>
    <xf numFmtId="0" fontId="100" fillId="0" borderId="1" xfId="0" applyFont="1" applyBorder="1" applyAlignment="1">
      <alignment horizontal="left" vertical="center"/>
    </xf>
    <xf numFmtId="0" fontId="100" fillId="0" borderId="0" xfId="0" applyFont="1" applyAlignment="1">
      <alignment horizontal="left"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140" fillId="0" borderId="1" xfId="0" applyFont="1" applyBorder="1" applyAlignment="1">
      <alignment horizontal="left" vertical="center"/>
    </xf>
    <xf numFmtId="0" fontId="100" fillId="0" borderId="13" xfId="0" applyFont="1" applyBorder="1" applyAlignment="1">
      <alignment horizontal="left" vertical="center"/>
    </xf>
    <xf numFmtId="0" fontId="100" fillId="0" borderId="2" xfId="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16" borderId="1" xfId="0" applyFont="1" applyFill="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0" fontId="45" fillId="16" borderId="13" xfId="0" applyFont="1" applyFill="1" applyBorder="1" applyAlignment="1" applyProtection="1">
      <alignment horizontal="center" vertical="center"/>
      <protection locked="0"/>
    </xf>
    <xf numFmtId="0" fontId="45" fillId="16" borderId="15" xfId="0" applyFont="1" applyFill="1" applyBorder="1" applyAlignment="1" applyProtection="1">
      <alignment horizontal="center" vertical="center"/>
      <protection locked="0"/>
    </xf>
    <xf numFmtId="0" fontId="45" fillId="16" borderId="2" xfId="0" applyFont="1" applyFill="1" applyBorder="1" applyAlignment="1" applyProtection="1">
      <alignment horizontal="center" vertical="center"/>
      <protection locked="0"/>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71"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0" borderId="6" xfId="0" applyFont="1" applyBorder="1" applyAlignment="1">
      <alignment horizontal="left" vertical="center" wrapText="1"/>
    </xf>
    <xf numFmtId="0" fontId="255" fillId="0" borderId="25" xfId="0" applyFont="1" applyBorder="1" applyAlignment="1">
      <alignment horizontal="left" vertical="center" wrapText="1"/>
    </xf>
    <xf numFmtId="0" fontId="255" fillId="0" borderId="0" xfId="0" applyFont="1" applyAlignment="1">
      <alignment horizontal="center" vertical="center"/>
    </xf>
    <xf numFmtId="0" fontId="255" fillId="0" borderId="56" xfId="0" applyFont="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3" xfId="20"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F01/&#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sheetData>
      <sheetData sheetId="19">
        <row r="59">
          <cell r="N59">
            <v>514328</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sheetData>
      <sheetData sheetId="52">
        <row r="33">
          <cell r="C33">
            <v>24083</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北京市丰台区丰台科技园东区三期1516-51号地块商业金融用地项目出让国有建设用地使用权及在建建筑物房地产抵押价值预评估</v>
      </c>
    </row>
    <row r="3" spans="1:2">
      <c r="A3" s="1115" t="s">
        <v>523</v>
      </c>
      <c r="B3" s="1116">
        <f>'预评函-封皮'!B40</f>
        <v>0</v>
      </c>
    </row>
    <row r="4" spans="1:2">
      <c r="A4" s="1115" t="s">
        <v>524</v>
      </c>
      <c r="B4" s="1116" t="str">
        <f ca="1">'预评函-封皮'!B46</f>
        <v>梁津（注册号：1119970066)、吴薇（注册号：1419970001)</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受贵公司委托，我公司对北京市丰台区丰台科技园东区三期1516-51号地块商业金融用地项目出让国有建设用地使用权及在建建筑物房地产抵押价值进行了预评估。</v>
      </c>
    </row>
    <row r="7" spans="1:2">
      <c r="A7" s="1115" t="s">
        <v>566</v>
      </c>
      <c r="B7" s="1116" t="str">
        <f>'预评函-1'!A7</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2024年12月9日（评估专业人员实地查勘之日）</v>
      </c>
    </row>
    <row r="13" spans="1:2">
      <c r="A13" s="1115" t="s">
        <v>529</v>
      </c>
      <c r="B13" s="1116"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242485</v>
      </c>
    </row>
    <row r="21" spans="1:2">
      <c r="A21" s="1115" t="s">
        <v>537</v>
      </c>
      <c r="B21" s="1116">
        <f ca="1">'预评函-2'!D7</f>
        <v>22294</v>
      </c>
    </row>
    <row r="22" spans="1:2">
      <c r="A22" s="1115" t="s">
        <v>538</v>
      </c>
      <c r="B22" s="1116" t="str">
        <f ca="1">'预评函-2'!D6</f>
        <v>贰拾肆亿贰仟肆佰捌拾伍万元整</v>
      </c>
    </row>
    <row r="23" spans="1:2">
      <c r="A23" s="1115" t="s">
        <v>589</v>
      </c>
      <c r="B23" s="1116" t="str">
        <f>'预评函-2'!B8</f>
        <v>2.估价师知悉的法定优先受偿款</v>
      </c>
    </row>
    <row r="24" spans="1:2">
      <c r="A24" s="1115" t="s">
        <v>595</v>
      </c>
      <c r="B24" s="1116">
        <f>'预评函-2'!D8</f>
        <v>2320</v>
      </c>
    </row>
    <row r="25" spans="1:2">
      <c r="A25" s="1115" t="s">
        <v>539</v>
      </c>
      <c r="B25" s="1116" t="str">
        <f>'预评函-2'!D9</f>
        <v>贰仟叁佰贰拾万元整</v>
      </c>
    </row>
    <row r="26" spans="1:2">
      <c r="A26" s="1115" t="s">
        <v>540</v>
      </c>
      <c r="B26" s="1116">
        <f>'预评函-2'!D10</f>
        <v>0</v>
      </c>
    </row>
    <row r="27" spans="1:2">
      <c r="A27" s="1115" t="s">
        <v>541</v>
      </c>
      <c r="B27" s="1116">
        <f>'预评函-2'!D11</f>
        <v>0</v>
      </c>
    </row>
    <row r="28" spans="1:2">
      <c r="A28" s="1115" t="s">
        <v>542</v>
      </c>
      <c r="B28" s="1116">
        <f>'预评函-2'!D12</f>
        <v>2320</v>
      </c>
    </row>
    <row r="29" spans="1:2">
      <c r="A29" s="1115" t="s">
        <v>593</v>
      </c>
      <c r="B29" s="1116" t="str">
        <f>'预评函-2'!B13</f>
        <v>3.房地产抵押价值</v>
      </c>
    </row>
    <row r="30" spans="1:2">
      <c r="A30" s="1115" t="s">
        <v>594</v>
      </c>
      <c r="B30" s="1116">
        <f ca="1">'预评函-2'!D13</f>
        <v>240165</v>
      </c>
    </row>
    <row r="31" spans="1:2">
      <c r="A31" s="1115" t="s">
        <v>576</v>
      </c>
      <c r="B31" s="1116">
        <f ca="1">'预评函-2'!D15</f>
        <v>22081</v>
      </c>
    </row>
    <row r="32" spans="1:2">
      <c r="A32" s="1115" t="s">
        <v>543</v>
      </c>
      <c r="B32" s="1116" t="str">
        <f ca="1">'预评函-2'!D14</f>
        <v>贰拾肆亿零壹佰陆拾伍万元整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北京市丰台区丰台科技园东区三期1516-51号地块商业金融用地项目出让国有建设用地使用权及在建建筑物房地产</v>
      </c>
    </row>
    <row r="42" spans="1:2">
      <c r="A42" s="1115" t="s">
        <v>590</v>
      </c>
      <c r="B42" s="1116" t="str">
        <f>'预评函-3'!B2</f>
        <v>建筑面积</v>
      </c>
    </row>
    <row r="43" spans="1:2">
      <c r="A43" s="1115" t="s">
        <v>591</v>
      </c>
      <c r="B43" s="1116">
        <f>'预评函-3'!B4</f>
        <v>108765.47999999998</v>
      </c>
    </row>
    <row r="44" spans="1:2">
      <c r="A44" s="1115" t="s">
        <v>575</v>
      </c>
      <c r="B44" s="1116" t="str">
        <f>'预评函-3'!C2</f>
        <v>(分摊)土地面积</v>
      </c>
    </row>
    <row r="45" spans="1:2">
      <c r="A45" s="1115" t="s">
        <v>547</v>
      </c>
      <c r="B45" s="1116">
        <f>'预评函-3'!C4</f>
        <v>23493.01</v>
      </c>
    </row>
    <row r="46" spans="1:2">
      <c r="A46" s="1115" t="s">
        <v>573</v>
      </c>
      <c r="B46" s="1116" t="str">
        <f>'预评函-3'!D2</f>
        <v>出让国有建设用地使用权价值</v>
      </c>
    </row>
    <row r="47" spans="1:2">
      <c r="A47" s="1115" t="s">
        <v>548</v>
      </c>
      <c r="B47" s="1116">
        <f ca="1">'预评函-3'!D4</f>
        <v>170709</v>
      </c>
    </row>
    <row r="48" spans="1:2">
      <c r="A48" s="1115" t="s">
        <v>549</v>
      </c>
      <c r="B48" s="1116">
        <f ca="1">'预评函-3'!E4</f>
        <v>15695</v>
      </c>
    </row>
    <row r="49" spans="1:2">
      <c r="A49" s="1115" t="s">
        <v>550</v>
      </c>
      <c r="B49" s="1116" t="str">
        <f ca="1">'预评函-3'!D5</f>
        <v>壹拾柒亿零柒佰零玖万元整</v>
      </c>
    </row>
    <row r="50" spans="1:2">
      <c r="A50" s="1115" t="s">
        <v>574</v>
      </c>
      <c r="B50" s="1116" t="str">
        <f>'预评函-3'!F2</f>
        <v>在建建筑物价值</v>
      </c>
    </row>
    <row r="51" spans="1:2">
      <c r="A51" s="1115" t="s">
        <v>551</v>
      </c>
      <c r="B51" s="1116">
        <f ca="1">'预评函-3'!F4</f>
        <v>71776</v>
      </c>
    </row>
    <row r="52" spans="1:2">
      <c r="A52" s="1115" t="s">
        <v>552</v>
      </c>
      <c r="B52" s="1116">
        <f ca="1">'预评函-3'!G4</f>
        <v>6599</v>
      </c>
    </row>
    <row r="53" spans="1:2">
      <c r="A53" s="1115" t="s">
        <v>580</v>
      </c>
      <c r="B53" s="1116" t="str">
        <f ca="1">'预评函-3'!F5</f>
        <v>柒亿壹仟柒佰柒拾陆万元整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故，本次评估估价师知悉的法定优先受偿款为人民币2320万元整。</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梁津</v>
      </c>
    </row>
    <row r="71" spans="1:2">
      <c r="A71" s="1115" t="s">
        <v>563</v>
      </c>
      <c r="B71" s="1116">
        <f ca="1">'预评函-4'!B4</f>
        <v>1119970066</v>
      </c>
    </row>
    <row r="72" spans="1:2">
      <c r="A72" s="1115" t="s">
        <v>564</v>
      </c>
      <c r="B72" s="1123" t="str">
        <f>'预评函-4'!A5</f>
        <v>吴薇</v>
      </c>
    </row>
    <row r="73" spans="1:2" s="1111" customFormat="1" ht="15" thickBot="1">
      <c r="A73" s="1118" t="s">
        <v>565</v>
      </c>
      <c r="B73" s="1119">
        <f ca="1">'预评函-4'!B5</f>
        <v>1419970001</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7" sqref="F7"/>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3347</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3333</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3334</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3335</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3336</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3337</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3338</v>
      </c>
    </row>
    <row r="8" spans="1:23">
      <c r="A8" s="1437" t="s">
        <v>1026</v>
      </c>
      <c r="B8" s="1437" t="s">
        <v>1027</v>
      </c>
      <c r="C8" s="1438" t="s">
        <v>319</v>
      </c>
      <c r="F8" s="1439" t="s">
        <v>1028</v>
      </c>
      <c r="H8" s="1439" t="s">
        <v>2573</v>
      </c>
      <c r="I8" s="1439" t="s">
        <v>3339</v>
      </c>
    </row>
    <row r="9" spans="1:23">
      <c r="A9" s="1437" t="s">
        <v>1029</v>
      </c>
      <c r="B9" s="1437" t="s">
        <v>1030</v>
      </c>
      <c r="C9" s="1438" t="s">
        <v>320</v>
      </c>
      <c r="F9" s="1439" t="s">
        <v>1031</v>
      </c>
      <c r="H9" s="1439"/>
      <c r="I9" s="1441" t="s">
        <v>3340</v>
      </c>
    </row>
    <row r="10" spans="1:23">
      <c r="A10" s="1437" t="s">
        <v>1032</v>
      </c>
      <c r="B10" s="1437" t="s">
        <v>1033</v>
      </c>
      <c r="C10" s="1438" t="s">
        <v>321</v>
      </c>
      <c r="F10" s="1439" t="s">
        <v>2574</v>
      </c>
      <c r="I10" s="1441" t="s">
        <v>3341</v>
      </c>
    </row>
    <row r="11" spans="1:23">
      <c r="A11" s="1437" t="s">
        <v>1034</v>
      </c>
      <c r="B11" s="1437" t="s">
        <v>1035</v>
      </c>
      <c r="C11" s="1438" t="s">
        <v>322</v>
      </c>
      <c r="F11" s="1439" t="s">
        <v>13</v>
      </c>
      <c r="I11" s="1441" t="s">
        <v>3342</v>
      </c>
    </row>
    <row r="12" spans="1:23">
      <c r="A12" s="1437" t="s">
        <v>1036</v>
      </c>
      <c r="B12" s="1437" t="s">
        <v>1037</v>
      </c>
      <c r="C12" s="1438" t="s">
        <v>323</v>
      </c>
      <c r="I12" s="1441" t="s">
        <v>3343</v>
      </c>
    </row>
    <row r="13" spans="1:23">
      <c r="A13" s="1437" t="s">
        <v>1038</v>
      </c>
      <c r="B13" s="1437" t="s">
        <v>1039</v>
      </c>
      <c r="C13" s="1438" t="s">
        <v>324</v>
      </c>
      <c r="I13" s="1441" t="s">
        <v>3344</v>
      </c>
    </row>
    <row r="14" spans="1:23">
      <c r="A14" s="1437" t="s">
        <v>1040</v>
      </c>
      <c r="B14" s="1437" t="s">
        <v>1041</v>
      </c>
      <c r="C14" s="1439" t="s">
        <v>13</v>
      </c>
      <c r="I14" s="1441" t="s">
        <v>3345</v>
      </c>
    </row>
    <row r="15" spans="1:23">
      <c r="A15" s="1437" t="s">
        <v>1042</v>
      </c>
      <c r="B15" s="1437" t="s">
        <v>1043</v>
      </c>
      <c r="C15" s="1438"/>
      <c r="I15" s="1441" t="s">
        <v>3346</v>
      </c>
    </row>
    <row r="16" spans="1:23">
      <c r="A16" s="1437" t="s">
        <v>1044</v>
      </c>
      <c r="B16" s="1437" t="s">
        <v>312</v>
      </c>
      <c r="C16" s="1438"/>
    </row>
    <row r="17" spans="1:3">
      <c r="A17" s="1437" t="s">
        <v>1045</v>
      </c>
      <c r="B17" s="1437" t="s">
        <v>2287</v>
      </c>
      <c r="C17" s="1438"/>
    </row>
    <row r="18" spans="1:3">
      <c r="A18" s="1437" t="s">
        <v>1046</v>
      </c>
      <c r="B18" s="1437" t="s">
        <v>2429</v>
      </c>
      <c r="C18" s="1438"/>
    </row>
    <row r="19" spans="1:3">
      <c r="A19" s="1437" t="s">
        <v>1047</v>
      </c>
      <c r="B19" s="1437" t="s">
        <v>3411</v>
      </c>
      <c r="C19" s="1438"/>
    </row>
    <row r="20" spans="1:3">
      <c r="A20" s="1437" t="s">
        <v>1048</v>
      </c>
      <c r="B20" s="1437" t="s">
        <v>3415</v>
      </c>
      <c r="C20" s="1438"/>
    </row>
    <row r="21" spans="1:3">
      <c r="A21" s="1437" t="s">
        <v>1049</v>
      </c>
      <c r="B21" s="1437" t="s">
        <v>3416</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1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3" t="s">
        <v>385</v>
      </c>
      <c r="C54" s="1441" t="s">
        <v>583</v>
      </c>
    </row>
    <row r="55" spans="1:4">
      <c r="A55" s="3219"/>
      <c r="B55" s="1443" t="s">
        <v>386</v>
      </c>
      <c r="C55" s="1441" t="s">
        <v>584</v>
      </c>
    </row>
    <row r="56" spans="1:4">
      <c r="A56" s="3219"/>
      <c r="B56" s="1443" t="s">
        <v>387</v>
      </c>
      <c r="C56" s="1441" t="s">
        <v>588</v>
      </c>
    </row>
    <row r="57" spans="1:4">
      <c r="A57" s="321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0"/>
    <col min="8" max="8" width="5.5" style="2750" customWidth="1"/>
    <col min="9" max="13" width="9.5" style="2791" customWidth="1"/>
    <col min="14" max="18" width="9.5" style="2750" customWidth="1"/>
    <col min="19" max="16384" width="15.25" style="2750"/>
  </cols>
  <sheetData>
    <row r="1" spans="1:18">
      <c r="A1" s="2747" t="s">
        <v>2496</v>
      </c>
      <c r="B1" s="2748"/>
      <c r="C1" s="2748"/>
      <c r="D1" s="2748"/>
      <c r="E1" s="2748"/>
      <c r="F1" s="2749"/>
      <c r="I1" s="3096" t="s">
        <v>2589</v>
      </c>
      <c r="J1" s="2774"/>
      <c r="K1" s="2774"/>
      <c r="L1" s="2774"/>
      <c r="M1" s="2774"/>
      <c r="N1" s="2930"/>
      <c r="O1" s="2930"/>
      <c r="P1" s="2930"/>
      <c r="Q1" s="2930"/>
      <c r="R1" s="2930"/>
    </row>
    <row r="2" spans="1:18">
      <c r="A2" s="2751"/>
      <c r="B2" s="2752"/>
      <c r="C2" s="2752"/>
      <c r="D2" s="2752"/>
      <c r="E2" s="2752"/>
      <c r="F2" s="2753"/>
      <c r="I2" s="3220" t="s">
        <v>2576</v>
      </c>
      <c r="J2" s="3220"/>
      <c r="K2" s="3220"/>
      <c r="L2" s="3220"/>
      <c r="M2" s="3220"/>
      <c r="N2" s="3220"/>
      <c r="O2" s="3220"/>
      <c r="P2" s="3220"/>
      <c r="Q2" s="3220"/>
      <c r="R2" s="3220"/>
    </row>
    <row r="3" spans="1:18">
      <c r="A3" s="2754" t="s">
        <v>2497</v>
      </c>
      <c r="B3" s="2755">
        <f>项目基本情况!D3</f>
        <v>45635</v>
      </c>
      <c r="C3" s="2757"/>
      <c r="D3" s="2757"/>
      <c r="E3" s="2757"/>
      <c r="F3" s="2753"/>
      <c r="I3" s="2769"/>
      <c r="J3" s="2769" t="s">
        <v>2580</v>
      </c>
      <c r="K3" s="2769" t="s">
        <v>2581</v>
      </c>
      <c r="L3" s="2769" t="s">
        <v>2582</v>
      </c>
      <c r="M3" s="2769" t="s">
        <v>2583</v>
      </c>
      <c r="N3" s="3097" t="s">
        <v>2584</v>
      </c>
      <c r="O3" s="3097" t="s">
        <v>2585</v>
      </c>
      <c r="P3" s="3097" t="s">
        <v>2586</v>
      </c>
      <c r="Q3" s="3097" t="s">
        <v>2587</v>
      </c>
      <c r="R3" s="3097" t="s">
        <v>2588</v>
      </c>
    </row>
    <row r="4" spans="1:18">
      <c r="A4" s="2754" t="s">
        <v>2498</v>
      </c>
      <c r="B4" s="2757" t="s">
        <v>2499</v>
      </c>
      <c r="C4" s="2757" t="s">
        <v>2500</v>
      </c>
      <c r="D4" s="2757" t="s">
        <v>2501</v>
      </c>
      <c r="E4" s="2757" t="s">
        <v>2502</v>
      </c>
      <c r="F4" s="2753"/>
      <c r="I4" s="2769" t="s">
        <v>2577</v>
      </c>
      <c r="J4" s="2769">
        <v>80</v>
      </c>
      <c r="K4" s="2769">
        <v>70</v>
      </c>
      <c r="L4" s="2769">
        <v>20</v>
      </c>
      <c r="M4" s="2769">
        <v>30</v>
      </c>
      <c r="N4" s="2757">
        <v>45</v>
      </c>
      <c r="O4" s="2757">
        <v>60</v>
      </c>
      <c r="P4" s="2757">
        <v>50</v>
      </c>
      <c r="Q4" s="2757">
        <v>20</v>
      </c>
      <c r="R4" s="2757">
        <v>375</v>
      </c>
    </row>
    <row r="5" spans="1:18">
      <c r="A5" s="2758">
        <v>40</v>
      </c>
      <c r="B5" s="2755">
        <v>46375</v>
      </c>
      <c r="C5" s="2757">
        <f>ROUNDDOWN(MIN((B5-B3)/365,A5),2)</f>
        <v>2.02</v>
      </c>
      <c r="D5" s="2759">
        <f>IF(ISERROR(ROUND(POWER(1+E5,A5-C5)*(POWER(1+E5,C5)-1)/(POWER(1+E5,A5)-1),3)),0,ROUND(POWER(1+E5,A5-C5)*(POWER(1+E5,C5)-1)/(POWER(1+E5,A5)-1),4))</f>
        <v>9.6199999999999994E-2</v>
      </c>
      <c r="E5" s="2760">
        <v>0.04</v>
      </c>
      <c r="F5" s="2753"/>
      <c r="I5" s="2769" t="s">
        <v>2578</v>
      </c>
      <c r="J5" s="2769">
        <v>70</v>
      </c>
      <c r="K5" s="2769">
        <v>60</v>
      </c>
      <c r="L5" s="2769">
        <v>15</v>
      </c>
      <c r="M5" s="2769">
        <v>25</v>
      </c>
      <c r="N5" s="2757">
        <v>40</v>
      </c>
      <c r="O5" s="2757">
        <v>50</v>
      </c>
      <c r="P5" s="2757">
        <v>40</v>
      </c>
      <c r="Q5" s="2757">
        <v>15</v>
      </c>
      <c r="R5" s="2757">
        <v>315</v>
      </c>
    </row>
    <row r="6" spans="1:18">
      <c r="A6" s="2758">
        <v>50</v>
      </c>
      <c r="B6" s="2755">
        <v>50028</v>
      </c>
      <c r="C6" s="2757">
        <f>ROUNDDOWN(MIN((B6-B3)/365,A6),2)</f>
        <v>12.03</v>
      </c>
      <c r="D6" s="2759">
        <f>IF(ISERROR(ROUND(POWER(1+E6,A6-C6)*(POWER(1+E6,C6)-1)/(POWER(1+E6,A6)-1),3)),0,ROUND(POWER(1+E6,A6-C6)*(POWER(1+E6,C6)-1)/(POWER(1+E6,A6)-1),4))</f>
        <v>0.43769999999999998</v>
      </c>
      <c r="E6" s="2760">
        <v>0.04</v>
      </c>
      <c r="F6" s="2753"/>
      <c r="I6" s="2769" t="s">
        <v>2579</v>
      </c>
      <c r="J6" s="2769">
        <v>60</v>
      </c>
      <c r="K6" s="2769">
        <v>50</v>
      </c>
      <c r="L6" s="2769">
        <v>10</v>
      </c>
      <c r="M6" s="2769">
        <v>20</v>
      </c>
      <c r="N6" s="2757">
        <v>35</v>
      </c>
      <c r="O6" s="2757">
        <v>40</v>
      </c>
      <c r="P6" s="2757">
        <v>30</v>
      </c>
      <c r="Q6" s="2757">
        <v>10</v>
      </c>
      <c r="R6" s="2757">
        <v>255</v>
      </c>
    </row>
    <row r="7" spans="1:18">
      <c r="A7" s="2758">
        <v>70</v>
      </c>
      <c r="B7" s="2755">
        <v>57333</v>
      </c>
      <c r="C7" s="2757">
        <f>ROUNDDOWN(MIN((B7-B3)/365,A7),2)</f>
        <v>32.04</v>
      </c>
      <c r="D7" s="2759">
        <f>IF(ISERROR(ROUND(POWER(1+E7,A7-C7)*(POWER(1+E7,C7)-1)/(POWER(1+E7,A7)-1),3)),0,ROUND(POWER(1+E7,A7-C7)*(POWER(1+E7,C7)-1)/(POWER(1+E7,A7)-1),4))</f>
        <v>0.76449999999999996</v>
      </c>
      <c r="E7" s="2760">
        <v>0.04</v>
      </c>
      <c r="F7" s="2753"/>
    </row>
    <row r="8" spans="1:18">
      <c r="A8" s="2751"/>
      <c r="B8" s="2752"/>
      <c r="C8" s="2752"/>
      <c r="D8" s="2752"/>
      <c r="E8" s="2752"/>
      <c r="F8" s="2753"/>
    </row>
    <row r="9" spans="1:18">
      <c r="A9" s="2754" t="s">
        <v>2503</v>
      </c>
      <c r="B9" s="2757"/>
      <c r="C9" s="2757"/>
      <c r="D9" s="2757"/>
      <c r="E9" s="2757"/>
      <c r="F9" s="2761"/>
    </row>
    <row r="10" spans="1:18">
      <c r="A10" s="2754" t="s">
        <v>2504</v>
      </c>
      <c r="B10" s="2757"/>
      <c r="C10" s="2757"/>
      <c r="D10" s="2757" t="s">
        <v>2502</v>
      </c>
      <c r="E10" s="2757"/>
      <c r="F10" s="2761" t="s">
        <v>2501</v>
      </c>
    </row>
    <row r="11" spans="1:18">
      <c r="A11" s="2754" t="s">
        <v>2505</v>
      </c>
      <c r="B11" s="2762">
        <v>70</v>
      </c>
      <c r="C11" s="2757" t="s">
        <v>2506</v>
      </c>
      <c r="D11" s="2762">
        <v>4.4999999999999998E-2</v>
      </c>
      <c r="E11" s="2757" t="s">
        <v>2507</v>
      </c>
      <c r="F11" s="2763">
        <f>ROUND(1-(1/(POWER(1+D11,B11))),4)</f>
        <v>0.95409999999999995</v>
      </c>
    </row>
    <row r="12" spans="1:18">
      <c r="A12" s="2754" t="s">
        <v>2508</v>
      </c>
      <c r="B12" s="2762">
        <v>40</v>
      </c>
      <c r="C12" s="2757" t="s">
        <v>2509</v>
      </c>
      <c r="D12" s="2762">
        <v>4.4999999999999998E-2</v>
      </c>
      <c r="E12" s="2757" t="s">
        <v>2510</v>
      </c>
      <c r="F12" s="2763">
        <f>ROUND(1-(1/(POWER(1+D12,B12))),4)</f>
        <v>0.82809999999999995</v>
      </c>
    </row>
    <row r="13" spans="1:18">
      <c r="A13" s="2754" t="s">
        <v>2511</v>
      </c>
      <c r="B13" s="2757"/>
      <c r="C13" s="2757"/>
      <c r="D13" s="2752"/>
      <c r="E13" s="2752"/>
      <c r="F13" s="2753"/>
    </row>
    <row r="14" spans="1:18">
      <c r="A14" s="2754" t="s">
        <v>2512</v>
      </c>
      <c r="B14" s="2762">
        <v>5000</v>
      </c>
      <c r="C14" s="2756"/>
      <c r="D14" s="2752"/>
      <c r="E14" s="2752"/>
      <c r="F14" s="2753"/>
    </row>
    <row r="15" spans="1:18">
      <c r="A15" s="2754" t="s">
        <v>2513</v>
      </c>
      <c r="B15" s="2757">
        <f>ROUND(B14*F12/F11,2)</f>
        <v>4339.6899999999996</v>
      </c>
      <c r="C15" s="2757">
        <f>ROUND(F12/F11,4)</f>
        <v>0.8679</v>
      </c>
      <c r="D15" s="2752"/>
      <c r="E15" s="2752"/>
      <c r="F15" s="2753"/>
    </row>
    <row r="16" spans="1:18">
      <c r="A16" s="2754" t="s">
        <v>2514</v>
      </c>
      <c r="B16" s="2757"/>
      <c r="C16" s="2757"/>
      <c r="D16" s="2752"/>
      <c r="E16" s="2752"/>
      <c r="F16" s="2753"/>
    </row>
    <row r="17" spans="1:13">
      <c r="A17" s="2754" t="s">
        <v>2513</v>
      </c>
      <c r="B17" s="2762">
        <v>4810</v>
      </c>
      <c r="C17" s="2756"/>
      <c r="D17" s="2752"/>
      <c r="E17" s="2752"/>
      <c r="F17" s="2753"/>
    </row>
    <row r="18" spans="1:13" ht="14.25" thickBot="1">
      <c r="A18" s="2764" t="s">
        <v>2512</v>
      </c>
      <c r="B18" s="2765">
        <f>ROUND(B17*F11/F12,2)</f>
        <v>5541.87</v>
      </c>
      <c r="C18" s="2765">
        <f>ROUND(F11/F12,4)</f>
        <v>1.1521999999999999</v>
      </c>
      <c r="D18" s="2766"/>
      <c r="E18" s="2766"/>
      <c r="F18" s="2767"/>
    </row>
    <row r="19" spans="1:13" ht="14.25" thickBot="1"/>
    <row r="20" spans="1:13" s="2800" customFormat="1" ht="14.25" thickTop="1">
      <c r="A20" s="2797" t="s">
        <v>2515</v>
      </c>
      <c r="B20" s="2798"/>
      <c r="C20" s="2798"/>
      <c r="D20" s="2798"/>
      <c r="E20" s="2798"/>
      <c r="F20" s="2798"/>
      <c r="G20" s="2799"/>
      <c r="I20" s="2801" t="s">
        <v>2560</v>
      </c>
      <c r="J20" s="2801" t="s">
        <v>2565</v>
      </c>
      <c r="K20" s="2801"/>
      <c r="L20" s="2801"/>
      <c r="M20" s="2801"/>
    </row>
    <row r="21" spans="1:13">
      <c r="A21" s="2768"/>
      <c r="B21" s="2769" t="s">
        <v>2516</v>
      </c>
      <c r="C21" s="2769" t="s">
        <v>2517</v>
      </c>
      <c r="D21" s="2769" t="s">
        <v>2518</v>
      </c>
      <c r="E21" s="2769" t="s">
        <v>2519</v>
      </c>
      <c r="F21" s="2769" t="s">
        <v>2520</v>
      </c>
      <c r="G21" s="2770" t="s">
        <v>2521</v>
      </c>
      <c r="I21" s="2791">
        <v>5</v>
      </c>
      <c r="J21" s="2791">
        <v>54.2</v>
      </c>
    </row>
    <row r="22" spans="1:13">
      <c r="A22" s="2768" t="s">
        <v>2522</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3">
      <c r="A23" s="2768" t="s">
        <v>2523</v>
      </c>
      <c r="B23" s="2771">
        <v>70</v>
      </c>
      <c r="C23" s="2771">
        <v>40</v>
      </c>
      <c r="D23" s="2772">
        <v>0.04</v>
      </c>
      <c r="E23" s="2769">
        <f>ROUND(POWER(1+D23,B23-C23)*(POWER(1+D23,C23)-1)/(POWER(1+D23,B23)-1),3)</f>
        <v>0.84599999999999997</v>
      </c>
      <c r="F23" s="2772">
        <f>F22</f>
        <v>0.7</v>
      </c>
      <c r="G23" s="2770">
        <f>ROUND(100*(1-(1-E23)*F23),1)</f>
        <v>89.2</v>
      </c>
      <c r="I23" s="2791">
        <v>15</v>
      </c>
      <c r="J23" s="2791">
        <v>74.099999999999994</v>
      </c>
      <c r="K23" s="2791">
        <f t="shared" ref="K23:K30" si="0">J23-J22</f>
        <v>8.6999999999999886</v>
      </c>
      <c r="L23" s="2791" t="s">
        <v>2563</v>
      </c>
      <c r="M23" s="2791" t="s">
        <v>2564</v>
      </c>
    </row>
    <row r="24" spans="1:13">
      <c r="A24" s="2768" t="s">
        <v>2524</v>
      </c>
      <c r="B24" s="2771">
        <v>70</v>
      </c>
      <c r="C24" s="2771">
        <v>50</v>
      </c>
      <c r="D24" s="2772">
        <v>0.04</v>
      </c>
      <c r="E24" s="2769">
        <f>ROUND(POWER(1+D24,B24-C24)*(POWER(1+D24,C24)-1)/(POWER(1+D24,B24)-1),3)</f>
        <v>0.91800000000000004</v>
      </c>
      <c r="F24" s="2772">
        <f>F23</f>
        <v>0.7</v>
      </c>
      <c r="G24" s="2770">
        <f>ROUND(100*(1-(1-E24)*F24),1)</f>
        <v>94.3</v>
      </c>
      <c r="I24" s="2791">
        <v>20</v>
      </c>
      <c r="J24" s="2791">
        <v>81</v>
      </c>
      <c r="K24" s="2791">
        <f t="shared" si="0"/>
        <v>6.9000000000000057</v>
      </c>
      <c r="L24" s="2791" t="s">
        <v>2562</v>
      </c>
      <c r="M24" s="2791">
        <v>10</v>
      </c>
    </row>
    <row r="25" spans="1:13">
      <c r="A25" s="2768" t="s">
        <v>2525</v>
      </c>
      <c r="B25" s="2771">
        <v>70</v>
      </c>
      <c r="C25" s="2771">
        <v>60</v>
      </c>
      <c r="D25" s="2772">
        <v>0.04</v>
      </c>
      <c r="E25" s="2769">
        <f>ROUND(POWER(1+D25,B25-C25)*(POWER(1+D25,C25)-1)/(POWER(1+D25,B25)-1),3)</f>
        <v>0.96699999999999997</v>
      </c>
      <c r="F25" s="2772">
        <f>F24</f>
        <v>0.7</v>
      </c>
      <c r="G25" s="2770">
        <f>ROUND(100*(1-(1-E25)*F25),1)</f>
        <v>97.7</v>
      </c>
      <c r="I25" s="2791">
        <v>25</v>
      </c>
      <c r="J25" s="2791">
        <v>86.3</v>
      </c>
      <c r="K25" s="2791">
        <f t="shared" si="0"/>
        <v>5.2999999999999972</v>
      </c>
      <c r="L25" s="2791" t="s">
        <v>2566</v>
      </c>
      <c r="M25" s="2791">
        <v>8</v>
      </c>
    </row>
    <row r="26" spans="1:13">
      <c r="A26" s="2773"/>
      <c r="B26" s="2774"/>
      <c r="C26" s="2774"/>
      <c r="D26" s="2774"/>
      <c r="E26" s="2774"/>
      <c r="F26" s="2774"/>
      <c r="G26" s="2775"/>
      <c r="I26" s="2791">
        <v>30</v>
      </c>
      <c r="J26" s="2791">
        <v>90.5</v>
      </c>
      <c r="K26" s="2791">
        <f t="shared" si="0"/>
        <v>4.2000000000000028</v>
      </c>
      <c r="L26" s="2791" t="s">
        <v>2567</v>
      </c>
      <c r="M26" s="2791">
        <v>5</v>
      </c>
    </row>
    <row r="27" spans="1:13">
      <c r="A27" s="2773" t="s">
        <v>2526</v>
      </c>
      <c r="B27" s="2774"/>
      <c r="C27" s="2774"/>
      <c r="D27" s="2774"/>
      <c r="E27" s="2774"/>
      <c r="F27" s="2774"/>
      <c r="G27" s="2775"/>
      <c r="I27" s="2791">
        <v>35</v>
      </c>
      <c r="J27" s="2791">
        <v>93.8</v>
      </c>
      <c r="K27" s="2791">
        <f t="shared" si="0"/>
        <v>3.2999999999999972</v>
      </c>
      <c r="L27" s="2791" t="s">
        <v>2568</v>
      </c>
      <c r="M27" s="2791">
        <v>3</v>
      </c>
    </row>
    <row r="28" spans="1:13">
      <c r="A28" s="2773" t="s">
        <v>2527</v>
      </c>
      <c r="B28" s="2774"/>
      <c r="C28" s="2774"/>
      <c r="D28" s="2774"/>
      <c r="E28" s="2774"/>
      <c r="F28" s="2774"/>
      <c r="G28" s="2775"/>
      <c r="I28" s="2791">
        <v>40</v>
      </c>
      <c r="J28" s="2791">
        <v>96.4</v>
      </c>
      <c r="K28" s="2791">
        <f t="shared" si="0"/>
        <v>2.6000000000000085</v>
      </c>
      <c r="L28" s="2791" t="s">
        <v>2569</v>
      </c>
      <c r="M28" s="2791">
        <v>2</v>
      </c>
    </row>
    <row r="29" spans="1:13">
      <c r="A29" s="2773" t="s">
        <v>2528</v>
      </c>
      <c r="B29" s="2774"/>
      <c r="C29" s="2774"/>
      <c r="D29" s="2774"/>
      <c r="E29" s="2774"/>
      <c r="F29" s="2774"/>
      <c r="G29" s="2775"/>
      <c r="I29" s="2791">
        <v>45</v>
      </c>
      <c r="J29" s="2791">
        <v>98.4</v>
      </c>
      <c r="K29" s="2791">
        <f t="shared" si="0"/>
        <v>2</v>
      </c>
    </row>
    <row r="30" spans="1:13">
      <c r="A30" s="2773" t="s">
        <v>2529</v>
      </c>
      <c r="B30" s="2774"/>
      <c r="C30" s="2774"/>
      <c r="D30" s="2774"/>
      <c r="E30" s="2774"/>
      <c r="F30" s="2774"/>
      <c r="G30" s="2775"/>
      <c r="I30" s="2791">
        <v>50</v>
      </c>
      <c r="J30" s="2791">
        <v>100</v>
      </c>
      <c r="K30" s="2791">
        <f t="shared" si="0"/>
        <v>1.5999999999999943</v>
      </c>
    </row>
    <row r="31" spans="1:13">
      <c r="A31" s="2773" t="s">
        <v>2530</v>
      </c>
      <c r="B31" s="2774"/>
      <c r="C31" s="2774"/>
      <c r="D31" s="2774"/>
      <c r="E31" s="2774"/>
      <c r="F31" s="2774"/>
      <c r="G31" s="2775"/>
      <c r="I31" s="2791" t="s">
        <v>2561</v>
      </c>
    </row>
    <row r="32" spans="1:13">
      <c r="A32" s="2773" t="s">
        <v>2531</v>
      </c>
      <c r="B32" s="2774"/>
      <c r="C32" s="2774"/>
      <c r="D32" s="2774"/>
      <c r="E32" s="2774"/>
      <c r="F32" s="2774"/>
      <c r="G32" s="2775"/>
    </row>
    <row r="33" spans="1:13">
      <c r="A33" s="2773" t="s">
        <v>2532</v>
      </c>
      <c r="B33" s="2774"/>
      <c r="C33" s="2774"/>
      <c r="D33" s="2774"/>
      <c r="E33" s="2774"/>
      <c r="F33" s="2774"/>
      <c r="G33" s="2775"/>
      <c r="I33" s="2791" t="s">
        <v>2560</v>
      </c>
      <c r="J33" s="2791" t="s">
        <v>2570</v>
      </c>
    </row>
    <row r="34" spans="1:13">
      <c r="A34" s="2773" t="s">
        <v>2533</v>
      </c>
      <c r="B34" s="2774"/>
      <c r="C34" s="2774"/>
      <c r="D34" s="2774"/>
      <c r="E34" s="2774"/>
      <c r="F34" s="2774"/>
      <c r="G34" s="2775"/>
      <c r="I34" s="2791">
        <v>5</v>
      </c>
      <c r="J34" s="2791">
        <v>55.1</v>
      </c>
    </row>
    <row r="35" spans="1:13">
      <c r="A35" s="2773" t="s">
        <v>2534</v>
      </c>
      <c r="B35" s="2774"/>
      <c r="C35" s="2774"/>
      <c r="D35" s="2774"/>
      <c r="E35" s="2774"/>
      <c r="F35" s="2774"/>
      <c r="G35" s="2775"/>
      <c r="I35" s="2791">
        <v>10</v>
      </c>
      <c r="J35" s="2791">
        <v>67</v>
      </c>
      <c r="K35" s="2791">
        <f>J35-J34</f>
        <v>11.899999999999999</v>
      </c>
    </row>
    <row r="36" spans="1:13">
      <c r="A36" s="2773" t="s">
        <v>2535</v>
      </c>
      <c r="B36" s="2774"/>
      <c r="C36" s="2774"/>
      <c r="D36" s="2774"/>
      <c r="E36" s="2774"/>
      <c r="F36" s="2774"/>
      <c r="G36" s="2775"/>
      <c r="I36" s="2791">
        <v>15</v>
      </c>
      <c r="J36" s="2791">
        <v>76.3</v>
      </c>
      <c r="K36" s="2791">
        <f t="shared" ref="K36:K41" si="1">J36-J35</f>
        <v>9.2999999999999972</v>
      </c>
      <c r="L36" s="2791" t="s">
        <v>2563</v>
      </c>
      <c r="M36" s="2791" t="s">
        <v>2564</v>
      </c>
    </row>
    <row r="37" spans="1:13">
      <c r="A37" s="2773" t="s">
        <v>2536</v>
      </c>
      <c r="B37" s="2774"/>
      <c r="C37" s="2774"/>
      <c r="D37" s="2774"/>
      <c r="E37" s="2774"/>
      <c r="F37" s="2774"/>
      <c r="G37" s="2775"/>
      <c r="I37" s="2791">
        <v>20</v>
      </c>
      <c r="J37" s="2791">
        <v>83.6</v>
      </c>
      <c r="K37" s="2791">
        <f t="shared" si="1"/>
        <v>7.2999999999999972</v>
      </c>
      <c r="L37" s="2791" t="s">
        <v>2562</v>
      </c>
      <c r="M37" s="2791">
        <v>10</v>
      </c>
    </row>
    <row r="38" spans="1:13">
      <c r="A38" s="2773" t="s">
        <v>2537</v>
      </c>
      <c r="B38" s="2774"/>
      <c r="C38" s="2774"/>
      <c r="D38" s="2774"/>
      <c r="E38" s="2774"/>
      <c r="F38" s="2774"/>
      <c r="G38" s="2775"/>
      <c r="I38" s="2791">
        <v>25</v>
      </c>
      <c r="J38" s="2791">
        <v>89.3</v>
      </c>
      <c r="K38" s="2791">
        <f t="shared" si="1"/>
        <v>5.7000000000000028</v>
      </c>
      <c r="L38" s="2791" t="s">
        <v>2566</v>
      </c>
      <c r="M38" s="2791">
        <v>8</v>
      </c>
    </row>
    <row r="39" spans="1:13">
      <c r="A39" s="2773"/>
      <c r="B39" s="2774"/>
      <c r="C39" s="2774"/>
      <c r="D39" s="2774"/>
      <c r="E39" s="2774"/>
      <c r="F39" s="2774"/>
      <c r="G39" s="2775"/>
      <c r="I39" s="2791">
        <v>30</v>
      </c>
      <c r="J39" s="2791">
        <v>93.8</v>
      </c>
      <c r="K39" s="2791">
        <f t="shared" si="1"/>
        <v>4.5</v>
      </c>
      <c r="L39" s="2791" t="s">
        <v>2567</v>
      </c>
      <c r="M39" s="2791">
        <v>6</v>
      </c>
    </row>
    <row r="40" spans="1:13">
      <c r="A40" s="2776" t="s">
        <v>2538</v>
      </c>
      <c r="B40" s="2777"/>
      <c r="C40" s="2777"/>
      <c r="D40" s="2777"/>
      <c r="E40" s="2777"/>
      <c r="F40" s="2777"/>
      <c r="G40" s="2778"/>
      <c r="I40" s="2791">
        <v>35</v>
      </c>
      <c r="J40" s="2791">
        <v>97.2</v>
      </c>
      <c r="K40" s="2791">
        <f t="shared" si="1"/>
        <v>3.4000000000000057</v>
      </c>
      <c r="L40" s="2791" t="s">
        <v>2568</v>
      </c>
      <c r="M40" s="2791">
        <v>3</v>
      </c>
    </row>
    <row r="41" spans="1:13">
      <c r="A41" s="2779" t="s">
        <v>2539</v>
      </c>
      <c r="B41" s="2780" t="s">
        <v>2540</v>
      </c>
      <c r="C41" s="2781" t="s">
        <v>2541</v>
      </c>
      <c r="D41" s="2781" t="s">
        <v>2542</v>
      </c>
      <c r="E41" s="2782"/>
      <c r="F41" s="2783"/>
      <c r="G41" s="2784"/>
      <c r="I41" s="2791">
        <v>40</v>
      </c>
      <c r="J41" s="2791">
        <v>100</v>
      </c>
      <c r="K41" s="2791">
        <f t="shared" si="1"/>
        <v>2.7999999999999972</v>
      </c>
    </row>
    <row r="42" spans="1:13">
      <c r="A42" s="2779" t="s">
        <v>2543</v>
      </c>
      <c r="B42" s="2780" t="s">
        <v>2544</v>
      </c>
      <c r="C42" s="2781" t="s">
        <v>2545</v>
      </c>
      <c r="D42" s="2785" t="s">
        <v>2546</v>
      </c>
      <c r="E42" s="2777" t="s">
        <v>2547</v>
      </c>
      <c r="F42" s="2777"/>
      <c r="G42" s="2778"/>
    </row>
    <row r="43" spans="1:13">
      <c r="A43" s="2779" t="s">
        <v>2548</v>
      </c>
      <c r="B43" s="2780" t="s">
        <v>2549</v>
      </c>
      <c r="C43" s="2781" t="s">
        <v>2550</v>
      </c>
      <c r="D43" s="2781" t="s">
        <v>2551</v>
      </c>
      <c r="E43" s="2782" t="s">
        <v>2552</v>
      </c>
      <c r="F43" s="2783"/>
      <c r="G43" s="2784"/>
      <c r="I43" s="2791" t="s">
        <v>2560</v>
      </c>
      <c r="J43" s="2791" t="s">
        <v>2571</v>
      </c>
    </row>
    <row r="44" spans="1:13">
      <c r="A44" s="2779" t="s">
        <v>2553</v>
      </c>
      <c r="B44" s="2780" t="s">
        <v>2554</v>
      </c>
      <c r="C44" s="2781" t="s">
        <v>2555</v>
      </c>
      <c r="D44" s="2785">
        <v>0.5</v>
      </c>
      <c r="E44" s="2782" t="s">
        <v>2556</v>
      </c>
      <c r="F44" s="2783"/>
      <c r="G44" s="2784"/>
      <c r="I44" s="2791">
        <v>30</v>
      </c>
      <c r="J44" s="2791">
        <v>81.7</v>
      </c>
    </row>
    <row r="45" spans="1:13" ht="14.25" thickBot="1">
      <c r="A45" s="2786" t="s">
        <v>2557</v>
      </c>
      <c r="B45" s="2787" t="s">
        <v>2544</v>
      </c>
      <c r="C45" s="2788" t="s">
        <v>2544</v>
      </c>
      <c r="D45" s="2788" t="s">
        <v>2558</v>
      </c>
      <c r="E45" s="2789" t="s">
        <v>2559</v>
      </c>
      <c r="F45" s="2789"/>
      <c r="G45" s="2790"/>
      <c r="I45" s="2791">
        <v>40</v>
      </c>
      <c r="J45" s="2791">
        <v>89.2</v>
      </c>
      <c r="K45" s="2791">
        <f>J45-J44</f>
        <v>7.5</v>
      </c>
    </row>
    <row r="46" spans="1:13">
      <c r="I46" s="2791">
        <v>50</v>
      </c>
      <c r="J46" s="2791">
        <v>94.3</v>
      </c>
      <c r="K46" s="2791">
        <f>J46-J45</f>
        <v>5.0999999999999943</v>
      </c>
    </row>
    <row r="47" spans="1:13">
      <c r="I47" s="2791">
        <v>60</v>
      </c>
      <c r="J47" s="2791">
        <v>97.7</v>
      </c>
      <c r="K47" s="2791">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2166</v>
      </c>
      <c r="B1" s="3221" t="str">
        <f>IF(B10="北京市","北京市",C10)&amp;F10&amp;IF(结果表!G1="在建","出让国有建设用地使用权及在建建筑物",IF(结果表!G1="土地","出让国有建设用地使用权",))&amp;B9&amp;"预评估"</f>
        <v>北京市丰台区丰台科技园东区三期1516-51号地块商业金融用地项目出让国有建设用地使用权及在建建筑物房地产抵押价值预评估</v>
      </c>
      <c r="C1" s="3222"/>
      <c r="D1" s="3222"/>
      <c r="E1" s="3222"/>
      <c r="F1" s="3222"/>
      <c r="G1" s="3222"/>
      <c r="H1" s="3222"/>
      <c r="I1" s="3223"/>
      <c r="J1" s="2240"/>
      <c r="K1" s="2178"/>
      <c r="L1" s="2179"/>
      <c r="M1" s="2179"/>
      <c r="N1" s="2177"/>
      <c r="O1" s="1462"/>
      <c r="P1" s="2177"/>
      <c r="Q1" s="2177"/>
      <c r="R1" s="2177"/>
      <c r="S1" s="1557" t="str">
        <f>IF(B10="北京市","北京市",C10)&amp;F10&amp;IF(结果表!G1="在建","出让国有建设用地使用权及在建建筑物房地产抵押价值",IF(结果表!G1="土地","出让国有建设用地使用权抵押价值",B9))</f>
        <v>北京市丰台区丰台科技园东区三期1516-51号地块商业金融用地项目出让国有建设用地使用权及在建建筑物房地产抵押价值</v>
      </c>
      <c r="T1" s="1614"/>
      <c r="U1" s="1614"/>
      <c r="V1" s="1614"/>
      <c r="W1" s="1614"/>
      <c r="X1" s="1614"/>
      <c r="Y1" s="1614"/>
      <c r="Z1" s="1614"/>
      <c r="AA1" s="1614"/>
      <c r="AB1" s="1614"/>
    </row>
    <row r="2" spans="1:30">
      <c r="A2" s="2177" t="s">
        <v>2167</v>
      </c>
      <c r="B2" s="122"/>
      <c r="D2" s="2439"/>
      <c r="E2" s="2433"/>
      <c r="F2" s="2433"/>
      <c r="G2" s="2434"/>
      <c r="H2" s="2434"/>
      <c r="I2" s="2434"/>
      <c r="J2" s="2240"/>
      <c r="K2" s="2178"/>
      <c r="L2" s="2179"/>
      <c r="M2" s="2179"/>
      <c r="N2" s="2177"/>
      <c r="O2" s="1462"/>
      <c r="P2" s="2177"/>
      <c r="Q2" s="2177"/>
      <c r="R2" s="2177"/>
      <c r="S2" s="1557" t="str">
        <f>IF(B10="北京市","北京市",C10)&amp;F10&amp;IF(结果表!G1="在建","出让国有建设用地使用权及在建建筑物房地产",IF(结果表!G1="土地","出让国有建设用地使用权","房地产"))</f>
        <v>北京市丰台区丰台科技园东区三期1516-51号地块商业金融用地项目出让国有建设用地使用权及在建建筑物房地产</v>
      </c>
      <c r="T2" s="1614"/>
      <c r="U2" s="1614"/>
      <c r="V2" s="1614"/>
      <c r="W2" s="1614"/>
      <c r="X2" s="1614"/>
      <c r="Y2" s="1614"/>
      <c r="Z2" s="1614"/>
      <c r="AA2" s="1614"/>
      <c r="AB2" s="1614"/>
    </row>
    <row r="3" spans="1:30">
      <c r="A3" s="294" t="s">
        <v>2168</v>
      </c>
      <c r="B3" s="2180">
        <v>45635</v>
      </c>
      <c r="C3" s="2181" t="s">
        <v>2169</v>
      </c>
      <c r="D3" s="2180">
        <f>B3</f>
        <v>45635</v>
      </c>
      <c r="E3" s="2434"/>
      <c r="F3" s="2434"/>
      <c r="G3" s="2434"/>
      <c r="H3" s="2434"/>
      <c r="I3" s="2434"/>
      <c r="J3" s="2240"/>
      <c r="K3" s="2178"/>
      <c r="L3" s="2179"/>
      <c r="M3" s="2179"/>
      <c r="N3" s="2177"/>
      <c r="O3" s="1462"/>
      <c r="P3" s="2177"/>
      <c r="Q3" s="2177"/>
      <c r="R3" s="2177"/>
      <c r="S3" s="1557"/>
      <c r="T3" s="1614"/>
      <c r="U3" s="1614"/>
      <c r="V3" s="1614"/>
      <c r="W3" s="1614"/>
      <c r="X3" s="1614"/>
      <c r="Y3" s="1614"/>
      <c r="Z3" s="1614"/>
      <c r="AA3" s="1614"/>
      <c r="AB3" s="1614"/>
    </row>
    <row r="4" spans="1:30" ht="13.5" thickBot="1">
      <c r="A4" s="1024" t="s">
        <v>2170</v>
      </c>
      <c r="B4" s="2182" t="s">
        <v>3384</v>
      </c>
      <c r="C4" s="2183">
        <f ca="1">SUMIF(注册房地产估价师,B4,估价师及机构信息!B3:B24)</f>
        <v>1119970066</v>
      </c>
      <c r="D4" s="2182" t="s">
        <v>3385</v>
      </c>
      <c r="E4" s="2183">
        <f ca="1">SUMIF(注册房地产估价师,D4,估价师及机构信息!B3:B24)</f>
        <v>1419970001</v>
      </c>
      <c r="F4" s="2182"/>
      <c r="G4" s="2183">
        <f>SUMIF(注册房地产估价师,F4,估价师及机构信息!B3:B24)</f>
        <v>0</v>
      </c>
      <c r="H4" s="2182"/>
      <c r="I4" s="2183">
        <f>SUMIF(注册房地产估价师,H4,估价师及机构信息!B3:B24)</f>
        <v>0</v>
      </c>
      <c r="J4" s="2240"/>
      <c r="K4" s="2184" t="str">
        <f ca="1">CONCATENATE(B4,"（注册号：",C4,")、",D4,"（注册号：",E4,")")</f>
        <v>梁津（注册号：1119970066)、吴薇（注册号：1419970001)</v>
      </c>
      <c r="L4" s="2179"/>
      <c r="M4" s="2179"/>
      <c r="N4" s="2177"/>
      <c r="O4" s="1462"/>
      <c r="P4" s="2177"/>
      <c r="Q4" s="2177"/>
      <c r="R4" s="2177"/>
      <c r="S4" s="1557"/>
      <c r="T4" s="1614"/>
      <c r="U4" s="1614"/>
      <c r="V4" s="1614"/>
      <c r="W4" s="1614"/>
      <c r="X4" s="1614"/>
      <c r="Y4" s="1614"/>
      <c r="Z4" s="1614"/>
      <c r="AA4" s="1614"/>
      <c r="AB4" s="1614"/>
    </row>
    <row r="5" spans="1:30" ht="13.5" thickTop="1">
      <c r="A5" s="2185" t="s">
        <v>2171</v>
      </c>
      <c r="B5" s="2186"/>
      <c r="C5" s="2187"/>
      <c r="D5" s="2188"/>
      <c r="E5" s="2434"/>
      <c r="F5" s="2434"/>
      <c r="G5" s="2434"/>
      <c r="H5" s="2434"/>
      <c r="I5" s="2434"/>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2172</v>
      </c>
      <c r="B6" s="2190"/>
      <c r="C6" s="2191"/>
      <c r="D6" s="2192"/>
      <c r="E6" s="2433"/>
      <c r="F6" s="2434"/>
      <c r="G6" s="2434"/>
      <c r="H6" s="2434"/>
      <c r="I6" s="2434"/>
      <c r="J6" s="2240"/>
      <c r="K6" s="2393" t="str">
        <f>IF(COUNTIF(B6,"*上海银行*"),"上海银行","")</f>
        <v/>
      </c>
      <c r="L6" s="2391"/>
      <c r="M6" s="2391"/>
      <c r="N6" s="2240"/>
      <c r="O6" s="1666"/>
      <c r="P6" s="2240"/>
      <c r="Q6" s="2240"/>
      <c r="R6" s="2240"/>
    </row>
    <row r="7" spans="1:30">
      <c r="A7" s="2189" t="s">
        <v>2173</v>
      </c>
      <c r="B7" s="2193"/>
      <c r="C7" s="2191"/>
      <c r="D7" s="2192"/>
      <c r="E7" s="2433"/>
      <c r="F7" s="2434"/>
      <c r="G7" s="2434"/>
      <c r="H7" s="2434"/>
      <c r="I7" s="2434"/>
      <c r="J7" s="2240"/>
      <c r="K7" s="2394"/>
      <c r="L7" s="2391"/>
      <c r="M7" s="2391"/>
      <c r="N7" s="2240"/>
      <c r="O7" s="1666"/>
      <c r="P7" s="2240"/>
      <c r="Q7" s="2240"/>
      <c r="R7" s="2240"/>
    </row>
    <row r="8" spans="1:30">
      <c r="A8" s="2194" t="s">
        <v>2174</v>
      </c>
      <c r="B8" s="2195" t="s">
        <v>3386</v>
      </c>
      <c r="C8" s="2196"/>
      <c r="D8" s="3224" t="s">
        <v>2175</v>
      </c>
      <c r="E8" s="2197" t="s">
        <v>3387</v>
      </c>
      <c r="F8" s="2198"/>
      <c r="G8" s="2434"/>
      <c r="H8" s="2434"/>
      <c r="I8" s="2434"/>
      <c r="J8" s="2240"/>
      <c r="K8" s="2392"/>
      <c r="L8" s="2391"/>
      <c r="M8" s="2391"/>
      <c r="N8" s="2240"/>
      <c r="O8" s="1666"/>
      <c r="P8" s="2240"/>
      <c r="Q8" s="2240"/>
      <c r="R8" s="2240"/>
    </row>
    <row r="9" spans="1:30" ht="13.5" thickBot="1">
      <c r="A9" s="2199" t="s">
        <v>2176</v>
      </c>
      <c r="B9" s="2200" t="s">
        <v>3387</v>
      </c>
      <c r="C9" s="2201"/>
      <c r="D9" s="3225"/>
      <c r="E9" s="2200"/>
      <c r="F9" s="2202"/>
      <c r="G9" s="2435"/>
      <c r="H9" s="2435"/>
      <c r="I9" s="2435"/>
      <c r="J9" s="2240"/>
      <c r="K9" s="2394"/>
      <c r="L9" s="2391"/>
      <c r="M9" s="2391"/>
      <c r="N9" s="2240"/>
      <c r="O9" s="1666"/>
      <c r="P9" s="2240"/>
      <c r="Q9" s="2240"/>
      <c r="R9" s="2240"/>
    </row>
    <row r="10" spans="1:30" ht="13.5" thickTop="1">
      <c r="A10" s="2203" t="s">
        <v>2177</v>
      </c>
      <c r="B10" s="2204" t="s">
        <v>3388</v>
      </c>
      <c r="C10" s="2205"/>
      <c r="D10" s="2188"/>
      <c r="E10" s="2206" t="s">
        <v>2178</v>
      </c>
      <c r="F10" s="3154" t="s">
        <v>3461</v>
      </c>
      <c r="G10" s="2436"/>
      <c r="H10" s="2437"/>
      <c r="I10" s="2438"/>
      <c r="J10" s="2240"/>
      <c r="K10" s="2394"/>
      <c r="L10" s="2391"/>
      <c r="M10" s="2391"/>
      <c r="N10" s="2240"/>
      <c r="O10" s="1666"/>
      <c r="P10" s="2240"/>
      <c r="Q10" s="2240"/>
      <c r="R10" s="2240"/>
    </row>
    <row r="11" spans="1:30">
      <c r="A11" s="2207" t="s">
        <v>2179</v>
      </c>
      <c r="B11" s="2208" t="s">
        <v>3389</v>
      </c>
      <c r="C11" s="2209"/>
      <c r="D11" s="2210"/>
      <c r="E11" s="2177"/>
      <c r="F11" s="2177"/>
      <c r="G11" s="2177"/>
      <c r="H11" s="2177"/>
      <c r="I11" s="2177"/>
      <c r="J11" s="2793"/>
      <c r="K11" s="2391"/>
      <c r="L11" s="2391"/>
      <c r="M11" s="2391"/>
      <c r="N11" s="2240"/>
      <c r="O11" s="1666"/>
      <c r="P11" s="2240"/>
      <c r="Q11" s="2240"/>
      <c r="R11" s="2240"/>
    </row>
    <row r="12" spans="1:30">
      <c r="A12" s="2211" t="s">
        <v>2180</v>
      </c>
      <c r="B12" s="315" t="s">
        <v>2181</v>
      </c>
      <c r="C12" s="2212" t="s">
        <v>2182</v>
      </c>
      <c r="D12" s="2212" t="s">
        <v>2183</v>
      </c>
      <c r="E12" s="2212" t="s">
        <v>2184</v>
      </c>
      <c r="F12" s="2212" t="s">
        <v>2185</v>
      </c>
      <c r="G12" s="2212" t="s">
        <v>2186</v>
      </c>
      <c r="H12" s="2212" t="s">
        <v>2187</v>
      </c>
      <c r="I12" s="2792" t="s">
        <v>2572</v>
      </c>
      <c r="J12" s="2794"/>
      <c r="K12" s="2391"/>
      <c r="L12" s="2391"/>
      <c r="M12" s="2240"/>
      <c r="N12" s="1666"/>
      <c r="O12" s="2240"/>
      <c r="P12" s="2240"/>
      <c r="Q12" s="2240"/>
      <c r="AD12" s="1614"/>
    </row>
    <row r="13" spans="1:30">
      <c r="A13" s="3084" t="s">
        <v>3328</v>
      </c>
      <c r="B13" s="2213" t="s">
        <v>2188</v>
      </c>
      <c r="C13" s="800"/>
      <c r="D13" s="800">
        <v>56366</v>
      </c>
      <c r="E13" s="800">
        <v>60019</v>
      </c>
      <c r="F13" s="800">
        <v>60019</v>
      </c>
      <c r="G13" s="800"/>
      <c r="H13" s="800"/>
      <c r="I13" s="800"/>
      <c r="J13" s="2794"/>
      <c r="K13" s="2391"/>
      <c r="L13" s="2391"/>
      <c r="M13" s="2240"/>
      <c r="N13" s="1666"/>
      <c r="O13" s="2240"/>
      <c r="P13" s="2240"/>
      <c r="Q13" s="2240"/>
      <c r="AD13" s="1614"/>
    </row>
    <row r="14" spans="1:30">
      <c r="A14" s="1015"/>
      <c r="B14" s="2213" t="s">
        <v>2189</v>
      </c>
      <c r="C14" s="2214"/>
      <c r="D14" s="2214">
        <v>40</v>
      </c>
      <c r="E14" s="2214">
        <v>50</v>
      </c>
      <c r="F14" s="2214">
        <v>50</v>
      </c>
      <c r="G14" s="2214"/>
      <c r="H14" s="2214"/>
      <c r="I14" s="2214"/>
      <c r="J14" s="2795"/>
      <c r="K14" s="2391"/>
      <c r="L14" s="2391"/>
      <c r="M14" s="2240"/>
      <c r="N14" s="1666"/>
      <c r="O14" s="2240"/>
      <c r="P14" s="2240"/>
      <c r="Q14" s="2240"/>
      <c r="AD14" s="1614"/>
    </row>
    <row r="15" spans="1:30">
      <c r="A15" s="312"/>
      <c r="B15" s="2215" t="s">
        <v>2190</v>
      </c>
      <c r="C15" s="2216" t="str">
        <f>IF(A13="出让",IF(C13="","",ROUNDDOWN(MIN((C13-$D$3)/365,C14),2)),C14)</f>
        <v/>
      </c>
      <c r="D15" s="2216">
        <f>IF(A13="出让",IF(D13="","",ROUNDDOWN(MIN((D13-$D$3)/365,D14),2)),D14)</f>
        <v>29.4</v>
      </c>
      <c r="E15" s="2216">
        <f>IF(A13="出让",IF(E13="","",ROUNDDOWN(MIN((E13-$D$3)/365,E14),2)),E14)</f>
        <v>39.4</v>
      </c>
      <c r="F15" s="2216">
        <f>IF(A13="出让",IF(F13="","",ROUNDDOWN(MIN((F13-$D$3)/365,F14),2)),F14)</f>
        <v>39.4</v>
      </c>
      <c r="G15" s="2216" t="str">
        <f>IF(A13="出让",IF(G13="","",ROUNDDOWN(MIN((G13-$D$3)/365,G14),2)),G14)</f>
        <v/>
      </c>
      <c r="H15" s="2216" t="str">
        <f>IF(A13="出让",IF(H13="","",ROUNDDOWN(MIN((H13-$D$3)/365,H14),2)),H14)</f>
        <v/>
      </c>
      <c r="I15" s="2216" t="str">
        <f>IF(A13="出让",IF(I13="","",ROUNDDOWN(MIN((I13-$D$3)/365,I14),2)),I14)</f>
        <v/>
      </c>
      <c r="J15" s="2796"/>
      <c r="K15" s="1666"/>
      <c r="L15" s="1666"/>
      <c r="M15" s="2240"/>
      <c r="N15" s="1666"/>
      <c r="O15" s="2240"/>
      <c r="P15" s="2240"/>
      <c r="Q15" s="2240"/>
      <c r="AD15" s="1614"/>
    </row>
    <row r="16" spans="1:30">
      <c r="A16" s="2206" t="s">
        <v>2191</v>
      </c>
      <c r="B16" s="3231"/>
      <c r="C16" s="3232"/>
      <c r="D16" s="3233"/>
      <c r="E16" s="2217" t="s">
        <v>2192</v>
      </c>
      <c r="F16" s="3234"/>
      <c r="G16" s="3235"/>
      <c r="H16" s="3235"/>
      <c r="I16" s="3236"/>
      <c r="J16" s="2240"/>
      <c r="K16" s="2395"/>
      <c r="L16" s="1666"/>
      <c r="M16" s="1666"/>
      <c r="N16" s="2240"/>
      <c r="O16" s="1666"/>
      <c r="P16" s="2240"/>
      <c r="Q16" s="2240"/>
      <c r="R16" s="2240"/>
    </row>
    <row r="17" spans="1:28">
      <c r="A17" s="305" t="s">
        <v>2193</v>
      </c>
      <c r="B17" s="294" t="s">
        <v>2194</v>
      </c>
      <c r="C17" s="8">
        <f>'数据-汇总表'!E3</f>
        <v>108765.47999999998</v>
      </c>
      <c r="D17" s="1252" t="s">
        <v>2195</v>
      </c>
      <c r="E17" s="3237" t="s">
        <v>2196</v>
      </c>
      <c r="F17" s="3238"/>
      <c r="G17" s="3238"/>
      <c r="H17" s="3238"/>
      <c r="I17" s="3239"/>
      <c r="J17" s="2240"/>
      <c r="K17" s="2396"/>
      <c r="L17" s="1666"/>
      <c r="M17" s="1666"/>
      <c r="N17" s="2240"/>
      <c r="O17" s="1666"/>
      <c r="P17" s="2240"/>
      <c r="Q17" s="2240"/>
      <c r="R17" s="2240"/>
      <c r="S17" s="2240"/>
      <c r="T17" s="2240"/>
      <c r="U17" s="2240"/>
      <c r="V17" s="2240"/>
    </row>
    <row r="18" spans="1:28" ht="24.75" thickBot="1">
      <c r="A18" s="2218" t="s">
        <v>2197</v>
      </c>
      <c r="B18" s="1024" t="s">
        <v>2198</v>
      </c>
      <c r="C18" s="2219">
        <f>'数据-汇总表'!D3</f>
        <v>23493.01</v>
      </c>
      <c r="D18" s="1026" t="s">
        <v>2199</v>
      </c>
      <c r="E18" s="3240" t="s">
        <v>2200</v>
      </c>
      <c r="F18" s="3241"/>
      <c r="G18" s="3241"/>
      <c r="H18" s="3241"/>
      <c r="I18" s="3242"/>
      <c r="J18" s="2240"/>
      <c r="K18" s="2396"/>
      <c r="L18" s="1666"/>
      <c r="M18" s="1666"/>
      <c r="N18" s="2240"/>
      <c r="O18" s="1666"/>
      <c r="P18" s="2240"/>
      <c r="Q18" s="2240"/>
      <c r="R18" s="2240"/>
      <c r="S18" s="2240"/>
      <c r="T18" s="2240"/>
      <c r="U18" s="2240"/>
      <c r="V18" s="2240"/>
    </row>
    <row r="19" spans="1:28" ht="37.5" thickTop="1" thickBot="1">
      <c r="A19" s="319" t="s">
        <v>1055</v>
      </c>
      <c r="B19" s="299" t="s">
        <v>2201</v>
      </c>
      <c r="C19" s="1451"/>
      <c r="D19" s="1452" t="s">
        <v>2202</v>
      </c>
      <c r="E19" s="1453"/>
      <c r="F19" s="1454" t="str">
        <f>IF(AND(C19="是",E19="否"),"是否提供他项权证或相关说明","")</f>
        <v/>
      </c>
      <c r="G19" s="1455"/>
      <c r="H19" s="2434"/>
      <c r="I19" s="2434"/>
      <c r="J19" s="2240"/>
      <c r="K19" s="2394"/>
      <c r="L19" s="2391"/>
      <c r="M19" s="2391"/>
      <c r="N19" s="2240"/>
      <c r="O19" s="1666"/>
      <c r="P19" s="2240"/>
      <c r="Q19" s="2240"/>
      <c r="R19" s="2240"/>
      <c r="S19" s="2240"/>
      <c r="T19" s="2240"/>
      <c r="U19" s="2240"/>
      <c r="V19" s="2240"/>
    </row>
    <row r="20" spans="1:28">
      <c r="A20" s="2409" t="s">
        <v>2203</v>
      </c>
      <c r="B20" s="3227" t="s">
        <v>2204</v>
      </c>
      <c r="C20" s="3228"/>
      <c r="D20" s="3229" t="s">
        <v>2205</v>
      </c>
      <c r="E20" s="3230"/>
      <c r="F20" s="2422" t="s">
        <v>1056</v>
      </c>
      <c r="G20" s="2434"/>
      <c r="H20" s="2434"/>
      <c r="I20" s="2434"/>
      <c r="J20" s="2240"/>
      <c r="K20" s="322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09"/>
      <c r="B21" s="2410" t="s">
        <v>2207</v>
      </c>
      <c r="C21" s="2288" t="s">
        <v>1057</v>
      </c>
      <c r="D21" s="1456" t="s">
        <v>2208</v>
      </c>
      <c r="E21" s="2411" t="s">
        <v>1057</v>
      </c>
      <c r="F21" s="2423"/>
      <c r="G21" s="2434"/>
      <c r="H21" s="2434"/>
      <c r="I21" s="2434"/>
      <c r="J21" s="2240"/>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09"/>
      <c r="B22" s="2412" t="s">
        <v>2209</v>
      </c>
      <c r="C22" s="2288" t="s">
        <v>1058</v>
      </c>
      <c r="D22" s="2434"/>
      <c r="E22" s="2434"/>
      <c r="F22" s="2434"/>
      <c r="G22" s="2434"/>
      <c r="H22" s="2434"/>
      <c r="I22" s="2434"/>
      <c r="J22" s="2240"/>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3" t="s">
        <v>2210</v>
      </c>
      <c r="B23" s="2285" t="s">
        <v>2211</v>
      </c>
      <c r="C23" s="2414"/>
      <c r="D23" s="2415" t="s">
        <v>2211</v>
      </c>
      <c r="E23" s="2416"/>
      <c r="F23" s="2434"/>
      <c r="G23" s="2434"/>
      <c r="H23" s="2434"/>
      <c r="I23" s="2434"/>
      <c r="J23" s="2240"/>
      <c r="K23" s="2393"/>
      <c r="L23" s="121"/>
      <c r="M23" s="2391"/>
      <c r="N23" s="2240"/>
      <c r="O23" s="1666"/>
      <c r="P23" s="2240"/>
      <c r="Q23" s="2240"/>
      <c r="R23" s="2240"/>
      <c r="S23" s="2240"/>
      <c r="T23" s="2240"/>
      <c r="U23" s="2240"/>
      <c r="V23" s="2240"/>
    </row>
    <row r="24" spans="1:28">
      <c r="A24" s="2413"/>
      <c r="B24" s="2285" t="s">
        <v>1059</v>
      </c>
      <c r="C24" s="2264"/>
      <c r="D24" s="2413" t="s">
        <v>1059</v>
      </c>
      <c r="E24" s="2417"/>
      <c r="F24" s="2434"/>
      <c r="G24" s="2434"/>
      <c r="H24" s="2434"/>
      <c r="I24" s="2434"/>
      <c r="J24" s="2240"/>
      <c r="K24" s="2393"/>
      <c r="L24" s="121"/>
      <c r="M24" s="2391"/>
      <c r="N24" s="2240"/>
      <c r="O24" s="1666"/>
      <c r="P24" s="2240"/>
      <c r="Q24" s="2240"/>
      <c r="R24" s="2240"/>
      <c r="S24" s="2240"/>
      <c r="T24" s="2240"/>
      <c r="U24" s="2240"/>
      <c r="V24" s="2240"/>
    </row>
    <row r="25" spans="1:28">
      <c r="A25" s="2413"/>
      <c r="B25" s="2285" t="s">
        <v>1060</v>
      </c>
      <c r="C25" s="2264"/>
      <c r="D25" s="2413" t="s">
        <v>1060</v>
      </c>
      <c r="E25" s="2417"/>
      <c r="F25" s="2434"/>
      <c r="G25" s="2434"/>
      <c r="H25" s="2434"/>
      <c r="I25" s="2434"/>
      <c r="J25" s="2240"/>
      <c r="K25" s="2394"/>
      <c r="L25" s="2391"/>
      <c r="M25" s="2391"/>
      <c r="N25" s="2240"/>
      <c r="O25" s="1666"/>
      <c r="P25" s="2240"/>
      <c r="Q25" s="2240"/>
      <c r="R25" s="2240"/>
      <c r="S25" s="2240"/>
      <c r="T25" s="2240"/>
      <c r="U25" s="2240"/>
      <c r="V25" s="2240"/>
    </row>
    <row r="26" spans="1:28" ht="13.5" thickBot="1">
      <c r="A26" s="2418"/>
      <c r="B26" s="2419" t="s">
        <v>1061</v>
      </c>
      <c r="C26" s="2420"/>
      <c r="D26" s="2418" t="s">
        <v>1061</v>
      </c>
      <c r="E26" s="2421"/>
      <c r="F26" s="2435"/>
      <c r="G26" s="2435"/>
      <c r="H26" s="2435"/>
      <c r="I26" s="2435"/>
      <c r="J26" s="2240"/>
      <c r="K26" s="2394"/>
      <c r="L26" s="2391"/>
      <c r="M26" s="2391"/>
      <c r="N26" s="2240"/>
      <c r="O26" s="1666"/>
      <c r="P26" s="2240"/>
      <c r="Q26" s="2240"/>
      <c r="R26" s="2240"/>
      <c r="S26" s="2240"/>
      <c r="T26" s="2240"/>
      <c r="U26" s="2240"/>
      <c r="V26" s="2240"/>
    </row>
    <row r="27" spans="1:28" ht="13.5" thickTop="1">
      <c r="A27" s="3244" t="s">
        <v>2212</v>
      </c>
      <c r="B27" s="312" t="s">
        <v>2213</v>
      </c>
      <c r="C27" s="2220"/>
      <c r="D27" s="2221"/>
      <c r="E27" s="2434"/>
      <c r="F27" s="2434"/>
      <c r="G27" s="2434"/>
      <c r="H27" s="2434"/>
      <c r="I27" s="2434"/>
      <c r="J27" s="2240"/>
      <c r="K27" s="2395"/>
      <c r="L27" s="1666"/>
      <c r="M27" s="1666"/>
      <c r="N27" s="2240"/>
      <c r="O27" s="1666"/>
      <c r="P27" s="2240"/>
      <c r="Q27" s="2240"/>
      <c r="R27" s="2240"/>
      <c r="S27" s="2240"/>
      <c r="T27" s="2240"/>
      <c r="U27" s="2240"/>
      <c r="V27" s="2240"/>
    </row>
    <row r="28" spans="1:28">
      <c r="A28" s="3244"/>
      <c r="B28" s="294" t="s">
        <v>2214</v>
      </c>
      <c r="C28" s="2222"/>
      <c r="D28" s="2223"/>
      <c r="E28" s="2434"/>
      <c r="F28" s="2434"/>
      <c r="G28" s="2434"/>
      <c r="H28" s="2434"/>
      <c r="I28" s="2434"/>
      <c r="J28" s="2240"/>
      <c r="K28" s="2394"/>
      <c r="L28" s="2391"/>
      <c r="M28" s="2391"/>
      <c r="N28" s="2240"/>
      <c r="O28" s="1666"/>
      <c r="P28" s="2240"/>
      <c r="Q28" s="2240"/>
      <c r="R28" s="2240"/>
      <c r="S28" s="2240"/>
      <c r="T28" s="2240"/>
      <c r="U28" s="2240"/>
      <c r="V28" s="2240"/>
    </row>
    <row r="29" spans="1:28">
      <c r="A29" s="3244"/>
      <c r="B29" s="294" t="s">
        <v>2215</v>
      </c>
      <c r="C29" s="2224"/>
      <c r="D29" s="2225"/>
      <c r="E29" s="2434"/>
      <c r="F29" s="2434"/>
      <c r="G29" s="2434"/>
      <c r="H29" s="2434"/>
      <c r="I29" s="2434"/>
      <c r="J29" s="2240"/>
      <c r="K29" s="2394"/>
      <c r="L29" s="2391"/>
      <c r="M29" s="2391"/>
      <c r="N29" s="2240"/>
      <c r="O29" s="1666"/>
      <c r="P29" s="2240"/>
      <c r="Q29" s="2240"/>
      <c r="R29" s="2240"/>
      <c r="S29" s="2240"/>
      <c r="T29" s="2240"/>
      <c r="U29" s="2240"/>
      <c r="V29" s="2240"/>
    </row>
    <row r="30" spans="1:28">
      <c r="A30" s="3245"/>
      <c r="B30" s="294" t="s">
        <v>2216</v>
      </c>
      <c r="C30" s="3246"/>
      <c r="D30" s="3247"/>
      <c r="E30" s="2434"/>
      <c r="F30" s="2434"/>
      <c r="G30" s="2434"/>
      <c r="H30" s="2434"/>
      <c r="I30" s="2434"/>
      <c r="J30" s="2240"/>
      <c r="K30" s="2394"/>
      <c r="L30" s="2391"/>
      <c r="M30" s="2391"/>
      <c r="N30" s="2240"/>
      <c r="O30" s="1666"/>
      <c r="P30" s="2240"/>
      <c r="Q30" s="2240"/>
      <c r="R30" s="2240"/>
      <c r="S30" s="2240"/>
      <c r="T30" s="2240"/>
      <c r="U30" s="2240"/>
      <c r="V30" s="2240"/>
    </row>
    <row r="31" spans="1:28">
      <c r="A31" s="3248" t="s">
        <v>2217</v>
      </c>
      <c r="B31" s="2226"/>
      <c r="C31" s="12" t="str">
        <f>IF(B31="现房","成新及维护状况正常否",IF(B31="在建","工程状态是否正常",IF(B31="土地","是否闲置","-")))</f>
        <v>-</v>
      </c>
      <c r="D31" s="1277"/>
      <c r="E31" s="2227"/>
      <c r="F31" s="2434"/>
      <c r="G31" s="2434"/>
      <c r="H31" s="2434"/>
      <c r="I31" s="2434"/>
      <c r="J31" s="2240"/>
      <c r="K31" s="2393"/>
      <c r="L31" s="2391"/>
      <c r="M31" s="2391"/>
      <c r="N31" s="2240"/>
      <c r="O31" s="1666"/>
      <c r="P31" s="2240"/>
      <c r="Q31" s="2240"/>
      <c r="R31" s="2240"/>
      <c r="S31" s="2240"/>
      <c r="T31" s="2240"/>
      <c r="U31" s="2240"/>
      <c r="V31" s="2240"/>
    </row>
    <row r="32" spans="1:28">
      <c r="A32" s="3249"/>
      <c r="B32" s="2226"/>
      <c r="C32" s="12" t="str">
        <f>IF(B32="现房","成新及维护状况是否正常",IF(B32="在建","工程状态是否正常",IF(B32="土地","是否闲置","-")))</f>
        <v>-</v>
      </c>
      <c r="D32" s="1277"/>
      <c r="E32" s="2227"/>
      <c r="F32" s="2434"/>
      <c r="G32" s="2434"/>
      <c r="H32" s="2434"/>
      <c r="I32" s="2434"/>
      <c r="J32" s="2240"/>
      <c r="K32" s="2394"/>
      <c r="L32" s="2391"/>
      <c r="M32" s="2391"/>
      <c r="N32" s="2240"/>
      <c r="O32" s="1666"/>
      <c r="P32" s="2240"/>
      <c r="Q32" s="2240"/>
      <c r="R32" s="2240"/>
      <c r="S32" s="2240"/>
      <c r="T32" s="2240"/>
      <c r="U32" s="2240"/>
      <c r="V32" s="2240"/>
    </row>
    <row r="33" spans="1:30">
      <c r="A33" s="3249"/>
      <c r="B33" s="2229"/>
      <c r="C33" s="1474" t="str">
        <f>IF(B33="现房","成新及维护状况是否正常",IF(B33="在建","工程状态是否正常",IF(B33="土地","是否闲置","-")))</f>
        <v>-</v>
      </c>
      <c r="D33" s="1270"/>
      <c r="E33" s="2230"/>
      <c r="F33" s="2434"/>
      <c r="G33" s="2434"/>
      <c r="H33" s="2434"/>
      <c r="I33" s="2434"/>
      <c r="J33" s="2240"/>
      <c r="K33" s="2394"/>
      <c r="L33" s="2391"/>
      <c r="M33" s="2391"/>
      <c r="N33" s="2240"/>
      <c r="O33" s="1666"/>
      <c r="P33" s="2240"/>
      <c r="Q33" s="2240"/>
      <c r="R33" s="2240"/>
      <c r="S33" s="2240"/>
      <c r="T33" s="2240"/>
      <c r="U33" s="2240"/>
      <c r="V33" s="2240"/>
    </row>
    <row r="34" spans="1:30">
      <c r="A34" s="294" t="s">
        <v>2218</v>
      </c>
      <c r="B34" s="1866"/>
      <c r="C34" s="1866"/>
      <c r="D34" s="1866"/>
      <c r="E34" s="1866"/>
      <c r="F34" s="1866"/>
      <c r="G34" s="1866"/>
      <c r="H34" s="1866"/>
      <c r="I34" s="2434"/>
      <c r="J34" s="2240"/>
      <c r="K34" s="8">
        <f>COUNTIF(B34:H34,"——")</f>
        <v>0</v>
      </c>
      <c r="L34" s="315" t="s">
        <v>2219</v>
      </c>
      <c r="M34" s="315" t="s">
        <v>2220</v>
      </c>
      <c r="N34" s="315" t="s">
        <v>2221</v>
      </c>
      <c r="O34" s="315" t="s">
        <v>2222</v>
      </c>
      <c r="P34" s="315" t="s">
        <v>2223</v>
      </c>
      <c r="Q34" s="315" t="s">
        <v>2224</v>
      </c>
      <c r="R34" s="315" t="s">
        <v>2225</v>
      </c>
      <c r="S34" s="3243" t="s">
        <v>2226</v>
      </c>
      <c r="T34" s="315" t="str">
        <f>NUMBERSTRING(7-K34,1)&amp;"通"</f>
        <v>七通</v>
      </c>
      <c r="U34" s="2240"/>
      <c r="V34" s="2240"/>
    </row>
    <row r="35" spans="1:30">
      <c r="A35" s="2231"/>
      <c r="B35" s="3243" t="s">
        <v>2227</v>
      </c>
      <c r="C35" s="3243"/>
      <c r="D35" s="3243"/>
      <c r="E35" s="3243"/>
      <c r="F35" s="8">
        <f>C10</f>
        <v>0</v>
      </c>
      <c r="G35" s="2434"/>
      <c r="H35" s="2434"/>
      <c r="I35" s="2434"/>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0"/>
      <c r="V35" s="2240"/>
    </row>
    <row r="36" spans="1:30">
      <c r="A36" s="2178"/>
      <c r="B36" s="8" t="s">
        <v>2183</v>
      </c>
      <c r="C36" s="8" t="s">
        <v>2184</v>
      </c>
      <c r="D36" s="8" t="s">
        <v>2182</v>
      </c>
      <c r="E36" s="8" t="s">
        <v>2187</v>
      </c>
      <c r="F36" s="2792" t="s">
        <v>2575</v>
      </c>
      <c r="G36" s="2434"/>
      <c r="H36" s="2434"/>
      <c r="I36" s="2434"/>
      <c r="J36" s="2240"/>
      <c r="K36" s="2394"/>
      <c r="L36" s="2391"/>
      <c r="M36" s="2391"/>
      <c r="N36" s="2240"/>
      <c r="O36" s="1666"/>
      <c r="P36" s="2240"/>
      <c r="Q36" s="2240"/>
      <c r="R36" s="2240"/>
      <c r="S36" s="2240"/>
      <c r="T36" s="2240"/>
      <c r="U36" s="2240"/>
      <c r="V36" s="2240"/>
    </row>
    <row r="37" spans="1:30">
      <c r="A37" s="2407" t="s">
        <v>2228</v>
      </c>
      <c r="B37" s="2232" t="s">
        <v>303</v>
      </c>
      <c r="C37" s="2232" t="s">
        <v>303</v>
      </c>
      <c r="D37" s="2232" t="s">
        <v>303</v>
      </c>
      <c r="E37" s="2232"/>
      <c r="F37" s="2232"/>
      <c r="G37" s="2434"/>
      <c r="H37" s="2434"/>
      <c r="I37" s="2434"/>
      <c r="J37" s="2240"/>
      <c r="K37" s="2394"/>
      <c r="L37" s="2391"/>
      <c r="M37" s="2391"/>
      <c r="N37" s="2240"/>
      <c r="O37" s="1666"/>
      <c r="P37" s="2240"/>
      <c r="Q37" s="2240"/>
      <c r="R37" s="2240"/>
      <c r="S37" s="2240"/>
      <c r="T37" s="2240"/>
      <c r="U37" s="2240"/>
      <c r="V37" s="2240"/>
    </row>
    <row r="38" spans="1:30" ht="13.5" thickBot="1">
      <c r="A38" s="2408" t="s">
        <v>2229</v>
      </c>
      <c r="B38" s="2233" t="s">
        <v>247</v>
      </c>
      <c r="C38" s="2233" t="s">
        <v>247</v>
      </c>
      <c r="D38" s="2233" t="s">
        <v>247</v>
      </c>
      <c r="E38" s="2233"/>
      <c r="F38" s="2233"/>
      <c r="G38" s="2435"/>
      <c r="H38" s="2435"/>
      <c r="I38" s="2435"/>
      <c r="J38" s="2240"/>
      <c r="K38" s="2394"/>
      <c r="L38" s="2391"/>
      <c r="M38" s="2391"/>
      <c r="N38" s="2240"/>
      <c r="O38" s="1666"/>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7"/>
      <c r="B40" s="2177"/>
      <c r="C40" s="2177"/>
      <c r="D40" s="2177"/>
      <c r="E40" s="2177"/>
      <c r="F40" s="2177"/>
      <c r="G40" s="2177"/>
      <c r="H40" s="2177"/>
      <c r="I40" s="1462"/>
      <c r="J40" s="2240"/>
      <c r="K40" s="2393"/>
      <c r="L40" s="1666"/>
      <c r="M40" s="1666"/>
      <c r="N40" s="2240"/>
      <c r="O40" s="1666"/>
      <c r="P40" s="2240"/>
      <c r="Q40" s="2240"/>
      <c r="R40" s="2240"/>
      <c r="S40" s="2240"/>
      <c r="T40" s="2240"/>
      <c r="U40" s="2240"/>
      <c r="V40" s="2240"/>
    </row>
    <row r="41" spans="1:30">
      <c r="A41" s="2237" t="s">
        <v>2231</v>
      </c>
      <c r="B41" s="1623"/>
      <c r="C41" s="1277"/>
      <c r="D41" s="2177"/>
      <c r="E41" s="2177"/>
      <c r="F41" s="2177"/>
      <c r="G41" s="2177"/>
      <c r="H41" s="2177"/>
      <c r="I41" s="1462"/>
      <c r="J41" s="2240"/>
      <c r="K41" s="2394"/>
      <c r="L41" s="2391"/>
      <c r="M41" s="2391"/>
      <c r="N41" s="2240"/>
      <c r="O41" s="1666"/>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403" t="s">
        <v>2241</v>
      </c>
      <c r="K42" s="2404" t="s">
        <v>2242</v>
      </c>
      <c r="L42" s="2404" t="s">
        <v>2243</v>
      </c>
      <c r="M42" s="2404" t="s">
        <v>2244</v>
      </c>
      <c r="N42" s="2397" t="s">
        <v>2245</v>
      </c>
      <c r="O42" s="2397" t="s">
        <v>2246</v>
      </c>
      <c r="P42" s="2397" t="s">
        <v>2247</v>
      </c>
      <c r="Q42" s="2398" t="s">
        <v>2248</v>
      </c>
      <c r="R42" s="2398" t="s">
        <v>2249</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5"/>
  <sheetViews>
    <sheetView topLeftCell="A35" zoomScaleNormal="100" workbookViewId="0">
      <selection activeCell="C48" sqref="C48:C55"/>
    </sheetView>
  </sheetViews>
  <sheetFormatPr defaultRowHeight="12.75"/>
  <cols>
    <col min="1" max="1" width="15" style="3159" customWidth="1"/>
    <col min="2" max="2" width="13.25" style="3159" customWidth="1"/>
    <col min="3" max="3" width="11.75" style="3159" customWidth="1"/>
    <col min="4" max="4" width="13.625" style="3159" customWidth="1"/>
    <col min="5" max="5" width="9.875" style="3159" customWidth="1"/>
    <col min="6" max="9" width="9" style="3159"/>
    <col min="10" max="10" width="11.5" style="3159" customWidth="1"/>
    <col min="11" max="11" width="15" style="3159" bestFit="1" customWidth="1"/>
    <col min="12" max="16384" width="9" style="3159"/>
  </cols>
  <sheetData>
    <row r="1" spans="1:19" ht="14.25">
      <c r="A1" s="3256" t="s">
        <v>3462</v>
      </c>
      <c r="B1" s="3252" t="s">
        <v>3463</v>
      </c>
      <c r="C1" s="3252"/>
      <c r="D1" s="3252"/>
      <c r="E1" s="3252"/>
      <c r="F1" s="3252"/>
      <c r="G1" s="3252" t="s">
        <v>3464</v>
      </c>
      <c r="H1" s="3252"/>
      <c r="I1" s="3252"/>
      <c r="J1" s="3252" t="s">
        <v>3465</v>
      </c>
      <c r="K1" s="3254" t="s">
        <v>3466</v>
      </c>
      <c r="P1" s="3106"/>
    </row>
    <row r="2" spans="1:19" ht="14.25">
      <c r="A2" s="3256"/>
      <c r="B2" s="3158" t="s">
        <v>3467</v>
      </c>
      <c r="C2" s="3158" t="s">
        <v>3468</v>
      </c>
      <c r="D2" s="3158" t="s">
        <v>3469</v>
      </c>
      <c r="E2" s="3158" t="s">
        <v>3470</v>
      </c>
      <c r="F2" s="3158" t="s">
        <v>3471</v>
      </c>
      <c r="G2" s="3158" t="s">
        <v>3467</v>
      </c>
      <c r="H2" s="3158" t="s">
        <v>3472</v>
      </c>
      <c r="I2" s="3158" t="s">
        <v>3473</v>
      </c>
      <c r="J2" s="3252"/>
      <c r="K2" s="3255"/>
    </row>
    <row r="3" spans="1:19" ht="14.25">
      <c r="A3" s="3106" t="s">
        <v>3474</v>
      </c>
      <c r="B3" s="3155">
        <f>SUM(C3:F3)</f>
        <v>16610</v>
      </c>
      <c r="C3" s="3158">
        <v>3591</v>
      </c>
      <c r="D3" s="3156"/>
      <c r="E3" s="3156">
        <v>13019</v>
      </c>
      <c r="F3" s="3156"/>
      <c r="G3" s="3156">
        <f>SUM(H3:I3)</f>
        <v>430</v>
      </c>
      <c r="H3" s="3156">
        <v>430</v>
      </c>
      <c r="I3" s="3156"/>
      <c r="J3" s="3156"/>
      <c r="K3" s="3160">
        <f>B3+G3</f>
        <v>17040</v>
      </c>
    </row>
    <row r="4" spans="1:19" ht="14.25">
      <c r="A4" s="3106" t="s">
        <v>3475</v>
      </c>
      <c r="B4" s="3155">
        <f t="shared" ref="B4:B10" si="0">SUM(C4:F4)</f>
        <v>12787</v>
      </c>
      <c r="C4" s="3158">
        <v>3181</v>
      </c>
      <c r="D4" s="3156"/>
      <c r="E4" s="3156">
        <v>9606</v>
      </c>
      <c r="F4" s="3156"/>
      <c r="G4" s="3156">
        <f t="shared" ref="G4:G10" si="1">SUM(H4:I4)</f>
        <v>405</v>
      </c>
      <c r="H4" s="3156">
        <v>405</v>
      </c>
      <c r="I4" s="3156"/>
      <c r="J4" s="3156"/>
      <c r="K4" s="3160">
        <f t="shared" ref="K4:K10" si="2">B4+G4</f>
        <v>13192</v>
      </c>
    </row>
    <row r="5" spans="1:19" ht="14.25">
      <c r="A5" s="3106" t="s">
        <v>3476</v>
      </c>
      <c r="B5" s="3155">
        <f t="shared" si="0"/>
        <v>12599</v>
      </c>
      <c r="C5" s="3158">
        <v>2952</v>
      </c>
      <c r="D5" s="3156"/>
      <c r="E5" s="3156">
        <v>9647</v>
      </c>
      <c r="F5" s="3156"/>
      <c r="G5" s="3156">
        <f t="shared" si="1"/>
        <v>343</v>
      </c>
      <c r="H5" s="3156">
        <v>343</v>
      </c>
      <c r="I5" s="3156"/>
      <c r="J5" s="3156">
        <v>16</v>
      </c>
      <c r="K5" s="3160">
        <f t="shared" si="2"/>
        <v>12942</v>
      </c>
    </row>
    <row r="6" spans="1:19" ht="14.25">
      <c r="A6" s="3106" t="s">
        <v>3477</v>
      </c>
      <c r="B6" s="3155">
        <f t="shared" si="0"/>
        <v>16638</v>
      </c>
      <c r="C6" s="3158">
        <v>3539</v>
      </c>
      <c r="D6" s="3156"/>
      <c r="E6" s="3156">
        <v>13099</v>
      </c>
      <c r="F6" s="3156"/>
      <c r="G6" s="3156">
        <f t="shared" si="1"/>
        <v>430</v>
      </c>
      <c r="H6" s="3156">
        <v>430</v>
      </c>
      <c r="I6" s="3156"/>
      <c r="J6" s="3156"/>
      <c r="K6" s="3160">
        <f t="shared" si="2"/>
        <v>17068</v>
      </c>
    </row>
    <row r="7" spans="1:19" ht="14.25">
      <c r="A7" s="3106" t="s">
        <v>3478</v>
      </c>
      <c r="B7" s="3155">
        <f t="shared" si="0"/>
        <v>4788</v>
      </c>
      <c r="C7" s="3158">
        <v>4788</v>
      </c>
      <c r="D7" s="3156"/>
      <c r="E7" s="3158"/>
      <c r="F7" s="3156"/>
      <c r="G7" s="3156">
        <f t="shared" si="1"/>
        <v>0</v>
      </c>
      <c r="H7" s="3156"/>
      <c r="I7" s="3156"/>
      <c r="J7" s="3156"/>
      <c r="K7" s="3160">
        <f t="shared" si="2"/>
        <v>4788</v>
      </c>
    </row>
    <row r="8" spans="1:19" ht="14.25">
      <c r="A8" s="3106" t="s">
        <v>3479</v>
      </c>
      <c r="B8" s="3155">
        <f t="shared" si="0"/>
        <v>4788</v>
      </c>
      <c r="C8" s="3158">
        <v>4788</v>
      </c>
      <c r="D8" s="3156"/>
      <c r="E8" s="3158"/>
      <c r="F8" s="3156"/>
      <c r="G8" s="3156">
        <f t="shared" si="1"/>
        <v>0</v>
      </c>
      <c r="H8" s="3156"/>
      <c r="I8" s="3156"/>
      <c r="J8" s="3156"/>
      <c r="K8" s="3160">
        <f t="shared" si="2"/>
        <v>4788</v>
      </c>
    </row>
    <row r="9" spans="1:19" ht="14.25">
      <c r="A9" s="3106" t="s">
        <v>3480</v>
      </c>
      <c r="B9" s="3155">
        <f t="shared" si="0"/>
        <v>32401</v>
      </c>
      <c r="C9" s="3158"/>
      <c r="D9" s="3156">
        <v>8892</v>
      </c>
      <c r="E9" s="3158"/>
      <c r="F9" s="3156">
        <f>31289.43-7780.43</f>
        <v>23509</v>
      </c>
      <c r="G9" s="3156">
        <f t="shared" si="1"/>
        <v>6222.15</v>
      </c>
      <c r="H9" s="3156">
        <f>577.58</f>
        <v>577.58000000000004</v>
      </c>
      <c r="I9" s="3156">
        <f>2041.57+2194+1409</f>
        <v>5644.57</v>
      </c>
      <c r="J9" s="3156">
        <f>7780.43+67.42</f>
        <v>7847.85</v>
      </c>
      <c r="K9" s="3160">
        <f>B9+G9</f>
        <v>38623.15</v>
      </c>
    </row>
    <row r="10" spans="1:19" ht="14.25">
      <c r="A10" s="3106" t="s">
        <v>3481</v>
      </c>
      <c r="B10" s="3155">
        <f t="shared" si="0"/>
        <v>100611</v>
      </c>
      <c r="C10" s="3158">
        <f>SUM(C3:C9)</f>
        <v>22839</v>
      </c>
      <c r="D10" s="3158">
        <f t="shared" ref="D10:J10" si="3">SUM(D3:D9)</f>
        <v>8892</v>
      </c>
      <c r="E10" s="3158">
        <f t="shared" si="3"/>
        <v>45371</v>
      </c>
      <c r="F10" s="3158">
        <f t="shared" si="3"/>
        <v>23509</v>
      </c>
      <c r="G10" s="3156">
        <f t="shared" si="1"/>
        <v>7830.15</v>
      </c>
      <c r="H10" s="3158">
        <f t="shared" si="3"/>
        <v>2185.58</v>
      </c>
      <c r="I10" s="3158">
        <f t="shared" si="3"/>
        <v>5644.57</v>
      </c>
      <c r="J10" s="3158">
        <f t="shared" si="3"/>
        <v>7863.85</v>
      </c>
      <c r="K10" s="3161">
        <f t="shared" si="2"/>
        <v>108441.15</v>
      </c>
    </row>
    <row r="11" spans="1:19" ht="14.25">
      <c r="A11" s="3162"/>
      <c r="B11" s="3162"/>
      <c r="C11" s="3162"/>
      <c r="D11" s="3162"/>
      <c r="E11" s="3162"/>
      <c r="F11" s="3162"/>
      <c r="G11" s="3162"/>
      <c r="H11" s="3162"/>
      <c r="I11" s="3162"/>
      <c r="J11" s="3162" t="s">
        <v>3482</v>
      </c>
      <c r="K11" s="3160">
        <f>K10+J10</f>
        <v>116305</v>
      </c>
    </row>
    <row r="12" spans="1:19" ht="14.25">
      <c r="O12" s="3059" t="s">
        <v>3483</v>
      </c>
      <c r="P12" s="3059"/>
      <c r="Q12" s="3059"/>
    </row>
    <row r="13" spans="1:19" ht="14.25">
      <c r="A13" s="3256" t="s">
        <v>3484</v>
      </c>
      <c r="B13" s="3252" t="s">
        <v>3463</v>
      </c>
      <c r="C13" s="3252"/>
      <c r="D13" s="3252"/>
      <c r="E13" s="3252"/>
      <c r="F13" s="3252"/>
      <c r="G13" s="3252" t="s">
        <v>3464</v>
      </c>
      <c r="H13" s="3252"/>
      <c r="I13" s="3252"/>
      <c r="J13" s="3252" t="s">
        <v>3465</v>
      </c>
      <c r="K13" s="3257" t="s">
        <v>3466</v>
      </c>
      <c r="L13" s="3251" t="s">
        <v>3643</v>
      </c>
      <c r="N13" s="3253" t="s">
        <v>3485</v>
      </c>
      <c r="O13" s="3250" t="s">
        <v>3486</v>
      </c>
      <c r="P13" s="3250" t="s">
        <v>3487</v>
      </c>
      <c r="Q13" s="3250" t="s">
        <v>3488</v>
      </c>
      <c r="R13" s="3250" t="s">
        <v>3489</v>
      </c>
    </row>
    <row r="14" spans="1:19" ht="14.25">
      <c r="A14" s="3256"/>
      <c r="B14" s="3158" t="s">
        <v>3467</v>
      </c>
      <c r="C14" s="3158" t="s">
        <v>3468</v>
      </c>
      <c r="D14" s="3158" t="s">
        <v>3469</v>
      </c>
      <c r="E14" s="3158" t="s">
        <v>3470</v>
      </c>
      <c r="F14" s="3158" t="s">
        <v>3471</v>
      </c>
      <c r="G14" s="3158" t="s">
        <v>3467</v>
      </c>
      <c r="H14" s="3158" t="s">
        <v>3472</v>
      </c>
      <c r="I14" s="3158" t="s">
        <v>3473</v>
      </c>
      <c r="J14" s="3252"/>
      <c r="K14" s="3258"/>
      <c r="L14" s="3252"/>
      <c r="N14" s="3253"/>
      <c r="O14" s="3250"/>
      <c r="P14" s="3250"/>
      <c r="Q14" s="3250"/>
      <c r="R14" s="3250"/>
    </row>
    <row r="15" spans="1:19" ht="14.25">
      <c r="A15" s="3106" t="s">
        <v>3474</v>
      </c>
      <c r="B15" s="3155">
        <f t="shared" ref="B15:B22" si="4">SUM(C15:F15)</f>
        <v>17707.080000000002</v>
      </c>
      <c r="C15" s="3158">
        <v>4193.82</v>
      </c>
      <c r="D15" s="3156"/>
      <c r="E15" s="3156">
        <v>13513.26</v>
      </c>
      <c r="F15" s="3156"/>
      <c r="G15" s="3156">
        <f t="shared" ref="G15:G22" si="5">SUM(H15:I15)</f>
        <v>48.53</v>
      </c>
      <c r="H15" s="3156">
        <v>48.53</v>
      </c>
      <c r="I15" s="3156"/>
      <c r="J15" s="3156"/>
      <c r="K15" s="3160">
        <f t="shared" ref="K15:K21" si="6">H15+B15</f>
        <v>17755.61</v>
      </c>
      <c r="L15" s="3158">
        <v>11</v>
      </c>
      <c r="O15" s="3059">
        <f>346.4+384.97</f>
        <v>731.37</v>
      </c>
      <c r="P15" s="3059">
        <v>1733.54</v>
      </c>
      <c r="Q15" s="3059">
        <v>1728.91</v>
      </c>
      <c r="R15" s="3059">
        <f t="shared" ref="R15:R20" si="7">O15+P15+Q15</f>
        <v>4193.82</v>
      </c>
      <c r="S15" s="3059"/>
    </row>
    <row r="16" spans="1:19" ht="14.25">
      <c r="A16" s="3106" t="s">
        <v>3475</v>
      </c>
      <c r="B16" s="3155">
        <f t="shared" si="4"/>
        <v>13424.98</v>
      </c>
      <c r="C16" s="3158">
        <v>3335.52</v>
      </c>
      <c r="D16" s="3156"/>
      <c r="E16" s="3156">
        <v>10089.459999999999</v>
      </c>
      <c r="F16" s="3156"/>
      <c r="G16" s="3156">
        <f t="shared" si="5"/>
        <v>0</v>
      </c>
      <c r="H16" s="3156"/>
      <c r="I16" s="3156"/>
      <c r="J16" s="3156"/>
      <c r="K16" s="3160">
        <f t="shared" si="6"/>
        <v>13424.98</v>
      </c>
      <c r="L16" s="3158">
        <v>11</v>
      </c>
      <c r="O16" s="3059">
        <v>953.94</v>
      </c>
      <c r="P16" s="3059">
        <f>483.83+266.23+15.46+299.91</f>
        <v>1065.43</v>
      </c>
      <c r="Q16" s="3059">
        <f>1303.91+12.24</f>
        <v>1316.15</v>
      </c>
      <c r="R16" s="3059">
        <f t="shared" si="7"/>
        <v>3335.5200000000004</v>
      </c>
      <c r="S16" s="3059"/>
    </row>
    <row r="17" spans="1:19" ht="14.25">
      <c r="A17" s="3106" t="s">
        <v>3476</v>
      </c>
      <c r="B17" s="3155">
        <f t="shared" si="4"/>
        <v>13190.16</v>
      </c>
      <c r="C17" s="3158">
        <v>3131.29</v>
      </c>
      <c r="D17" s="3156"/>
      <c r="E17" s="3156">
        <v>10058.870000000001</v>
      </c>
      <c r="F17" s="3156"/>
      <c r="G17" s="3156">
        <f t="shared" si="5"/>
        <v>0</v>
      </c>
      <c r="H17" s="3156"/>
      <c r="I17" s="3156"/>
      <c r="J17" s="3156">
        <v>16.62</v>
      </c>
      <c r="K17" s="3160">
        <f t="shared" si="6"/>
        <v>13190.16</v>
      </c>
      <c r="L17" s="3158">
        <v>11</v>
      </c>
      <c r="O17" s="3059">
        <v>708.74</v>
      </c>
      <c r="P17" s="3059">
        <f>496.62+269.46+15.65+303.43</f>
        <v>1085.1599999999999</v>
      </c>
      <c r="Q17" s="3059">
        <f>1324.95+12.44</f>
        <v>1337.39</v>
      </c>
      <c r="R17" s="3059">
        <f t="shared" si="7"/>
        <v>3131.29</v>
      </c>
      <c r="S17" s="3059"/>
    </row>
    <row r="18" spans="1:19" ht="14.25">
      <c r="A18" s="3106" t="s">
        <v>3477</v>
      </c>
      <c r="B18" s="3155">
        <f t="shared" si="4"/>
        <v>17842.8</v>
      </c>
      <c r="C18" s="3158">
        <v>4170.38</v>
      </c>
      <c r="D18" s="3156"/>
      <c r="E18" s="3156">
        <v>13672.42</v>
      </c>
      <c r="F18" s="3156"/>
      <c r="G18" s="3156">
        <f t="shared" si="5"/>
        <v>33.85</v>
      </c>
      <c r="H18" s="3156">
        <v>33.85</v>
      </c>
      <c r="I18" s="3156"/>
      <c r="J18" s="3156"/>
      <c r="K18" s="3160">
        <f t="shared" si="6"/>
        <v>17876.649999999998</v>
      </c>
      <c r="L18" s="3158">
        <v>11</v>
      </c>
      <c r="O18" s="3059">
        <f>346.39+377.48</f>
        <v>723.87</v>
      </c>
      <c r="P18" s="3059">
        <v>1729.51</v>
      </c>
      <c r="Q18" s="3059">
        <v>1717</v>
      </c>
      <c r="R18" s="3059">
        <f t="shared" si="7"/>
        <v>4170.38</v>
      </c>
      <c r="S18" s="3059"/>
    </row>
    <row r="19" spans="1:19" ht="14.25">
      <c r="A19" s="3106" t="s">
        <v>3478</v>
      </c>
      <c r="B19" s="3155">
        <f t="shared" si="4"/>
        <v>4915.22</v>
      </c>
      <c r="C19" s="3158">
        <v>4915.22</v>
      </c>
      <c r="D19" s="3156"/>
      <c r="E19" s="3158"/>
      <c r="F19" s="3156"/>
      <c r="G19" s="3156">
        <f t="shared" si="5"/>
        <v>0</v>
      </c>
      <c r="H19" s="3156"/>
      <c r="I19" s="3156"/>
      <c r="J19" s="3156"/>
      <c r="K19" s="3160">
        <f t="shared" si="6"/>
        <v>4915.22</v>
      </c>
      <c r="L19" s="3158">
        <v>3</v>
      </c>
      <c r="O19" s="3059">
        <f>1772.88+26.23+68.5</f>
        <v>1867.6100000000001</v>
      </c>
      <c r="P19" s="3059">
        <f>2186.86+43.88+80.79</f>
        <v>2311.5300000000002</v>
      </c>
      <c r="Q19" s="3059">
        <v>736.08</v>
      </c>
      <c r="R19" s="3059">
        <f t="shared" si="7"/>
        <v>4915.22</v>
      </c>
      <c r="S19" s="3059"/>
    </row>
    <row r="20" spans="1:19" ht="14.25">
      <c r="A20" s="3106" t="s">
        <v>3479</v>
      </c>
      <c r="B20" s="3155">
        <f t="shared" si="4"/>
        <v>4909.79</v>
      </c>
      <c r="C20" s="3158">
        <v>4909.79</v>
      </c>
      <c r="D20" s="3156"/>
      <c r="E20" s="3158"/>
      <c r="F20" s="3156"/>
      <c r="G20" s="3156">
        <f t="shared" si="5"/>
        <v>0</v>
      </c>
      <c r="H20" s="3156"/>
      <c r="I20" s="3156"/>
      <c r="J20" s="3156"/>
      <c r="K20" s="3160">
        <f t="shared" si="6"/>
        <v>4909.79</v>
      </c>
      <c r="L20" s="3158">
        <v>3</v>
      </c>
      <c r="O20" s="3059">
        <f>1766.71+26.21+68.47</f>
        <v>1861.39</v>
      </c>
      <c r="P20" s="3059">
        <f>2190.04+41.52+80.97</f>
        <v>2312.5299999999997</v>
      </c>
      <c r="Q20" s="3059">
        <v>735.87</v>
      </c>
      <c r="R20" s="3059">
        <f t="shared" si="7"/>
        <v>4909.79</v>
      </c>
      <c r="S20" s="3059"/>
    </row>
    <row r="21" spans="1:19" ht="14.25">
      <c r="A21" s="3106" t="s">
        <v>3480</v>
      </c>
      <c r="B21" s="3155">
        <f t="shared" si="4"/>
        <v>35406.410000000003</v>
      </c>
      <c r="C21" s="3158"/>
      <c r="D21" s="3156">
        <v>9103.08</v>
      </c>
      <c r="E21" s="3158"/>
      <c r="F21" s="3156">
        <v>26303.33</v>
      </c>
      <c r="G21" s="3156">
        <f t="shared" si="5"/>
        <v>1160.53</v>
      </c>
      <c r="H21" s="3156"/>
      <c r="I21" s="3156">
        <f>161.38+999.15</f>
        <v>1160.53</v>
      </c>
      <c r="J21" s="3157">
        <v>7545.93</v>
      </c>
      <c r="K21" s="3160">
        <f t="shared" si="6"/>
        <v>35406.410000000003</v>
      </c>
      <c r="L21" s="3158"/>
      <c r="N21" s="3059">
        <v>9103.08</v>
      </c>
      <c r="O21" s="3059"/>
      <c r="P21" s="3059"/>
      <c r="Q21" s="3059"/>
      <c r="R21" s="3059">
        <f>N21+O21+P21+Q21</f>
        <v>9103.08</v>
      </c>
      <c r="S21" s="3059"/>
    </row>
    <row r="22" spans="1:19" ht="14.25">
      <c r="A22" s="3106" t="s">
        <v>3481</v>
      </c>
      <c r="B22" s="3155">
        <f t="shared" si="4"/>
        <v>107396.44000000002</v>
      </c>
      <c r="C22" s="3158">
        <f>SUM(C15:C21)</f>
        <v>24656.020000000004</v>
      </c>
      <c r="D22" s="3158">
        <f>SUM(D15:D21)</f>
        <v>9103.08</v>
      </c>
      <c r="E22" s="3158">
        <f>SUM(E15:E21)</f>
        <v>47334.01</v>
      </c>
      <c r="F22" s="3158">
        <f>SUM(F15:F21)</f>
        <v>26303.33</v>
      </c>
      <c r="G22" s="3156">
        <f t="shared" si="5"/>
        <v>1242.9099999999999</v>
      </c>
      <c r="H22" s="3158">
        <f>SUM(H15:H21)</f>
        <v>82.38</v>
      </c>
      <c r="I22" s="3158">
        <f>SUM(I15:I21)</f>
        <v>1160.53</v>
      </c>
      <c r="J22" s="3158">
        <f>SUM(J15:J21)</f>
        <v>7562.55</v>
      </c>
      <c r="K22" s="3161">
        <f>G22+B22</f>
        <v>108639.35000000002</v>
      </c>
      <c r="L22" s="3158"/>
      <c r="M22" s="3159" t="s">
        <v>3467</v>
      </c>
      <c r="N22" s="3059">
        <f>SUM(N15:N21)</f>
        <v>9103.08</v>
      </c>
      <c r="O22" s="3059">
        <f>SUM(O15:O21)</f>
        <v>6846.920000000001</v>
      </c>
      <c r="P22" s="3059">
        <f>SUM(P15:P21)</f>
        <v>10237.700000000001</v>
      </c>
      <c r="Q22" s="3059">
        <f>SUM(Q15:Q21)</f>
        <v>7571.4000000000005</v>
      </c>
      <c r="R22" s="3059">
        <f>SUM(R15:R21)</f>
        <v>33759.100000000006</v>
      </c>
    </row>
    <row r="23" spans="1:19" ht="14.25">
      <c r="A23" s="3158"/>
      <c r="B23" s="3158"/>
      <c r="C23" s="3158"/>
      <c r="D23" s="3158"/>
      <c r="E23" s="3158"/>
      <c r="F23" s="3158"/>
      <c r="G23" s="3158"/>
      <c r="H23" s="3158"/>
      <c r="I23" s="3158"/>
      <c r="J23" s="3162" t="s">
        <v>3482</v>
      </c>
      <c r="K23" s="3160">
        <f>G22+B22+J22</f>
        <v>116201.90000000002</v>
      </c>
      <c r="L23" s="3158"/>
    </row>
    <row r="24" spans="1:19" ht="14.25">
      <c r="B24" s="3059"/>
      <c r="C24" s="3059" t="str">
        <f>C2</f>
        <v>地上商业</v>
      </c>
      <c r="D24" s="3059" t="str">
        <f>D2</f>
        <v>地下商业</v>
      </c>
      <c r="E24" s="3059" t="str">
        <f>E2</f>
        <v>办公</v>
      </c>
      <c r="F24" s="3059" t="str">
        <f>F2</f>
        <v>地下车库</v>
      </c>
      <c r="G24" s="3059" t="s">
        <v>3489</v>
      </c>
    </row>
    <row r="25" spans="1:19" ht="14.25">
      <c r="B25" s="3059" t="s">
        <v>3490</v>
      </c>
      <c r="C25" s="3059">
        <f>C22-C10</f>
        <v>1817.0200000000041</v>
      </c>
      <c r="D25" s="3059">
        <f>D22-D10</f>
        <v>211.07999999999993</v>
      </c>
      <c r="E25" s="3059">
        <f>E22-E10</f>
        <v>1963.010000000002</v>
      </c>
      <c r="F25" s="3059">
        <f>F22-F10</f>
        <v>2794.3300000000017</v>
      </c>
      <c r="G25" s="3059">
        <f>SUM(C25:F25)</f>
        <v>6785.4400000000078</v>
      </c>
    </row>
    <row r="26" spans="1:19" ht="14.25">
      <c r="B26" s="3059" t="s">
        <v>3491</v>
      </c>
      <c r="C26" s="3059">
        <v>8003</v>
      </c>
      <c r="D26" s="3059">
        <v>2668</v>
      </c>
      <c r="E26" s="3059">
        <v>8003</v>
      </c>
      <c r="F26" s="3059">
        <v>400</v>
      </c>
      <c r="G26" s="3059"/>
    </row>
    <row r="27" spans="1:19" ht="14.25">
      <c r="B27" s="3059" t="s">
        <v>3492</v>
      </c>
      <c r="C27" s="3059">
        <f>ROUND(C25*C26*1.0305/10000,0)</f>
        <v>1499</v>
      </c>
      <c r="D27" s="3059">
        <f>ROUND(D25*D26*1.0305/10000,0)</f>
        <v>58</v>
      </c>
      <c r="E27" s="3059">
        <f>ROUND(E25*E26*1.0305/10000,0)</f>
        <v>1619</v>
      </c>
      <c r="F27" s="3059">
        <f>ROUND(F25*F26*1.0305/10000,0)</f>
        <v>115</v>
      </c>
      <c r="G27" s="3059">
        <f>SUM(C27:F27)</f>
        <v>3291</v>
      </c>
    </row>
    <row r="30" spans="1:19" ht="12.75" customHeight="1">
      <c r="A30" s="3172" t="s">
        <v>3648</v>
      </c>
      <c r="B30" s="3171" t="s">
        <v>3645</v>
      </c>
      <c r="C30" s="3171" t="s">
        <v>3646</v>
      </c>
      <c r="D30" s="3158" t="s">
        <v>2808</v>
      </c>
      <c r="E30" s="3158" t="s">
        <v>3469</v>
      </c>
      <c r="F30" s="3158" t="s">
        <v>3647</v>
      </c>
      <c r="G30" s="3160" t="s">
        <v>3644</v>
      </c>
      <c r="H30" s="3158"/>
      <c r="J30" s="3059" t="s">
        <v>3483</v>
      </c>
      <c r="K30" s="3173" t="s">
        <v>3655</v>
      </c>
      <c r="L30" s="3173" t="s">
        <v>3653</v>
      </c>
    </row>
    <row r="31" spans="1:19" ht="14.25">
      <c r="A31" s="3106" t="s">
        <v>3474</v>
      </c>
      <c r="B31" s="3155">
        <v>17601.650000000001</v>
      </c>
      <c r="C31" s="3158">
        <f>ROUND(C15/B15*B31,2)</f>
        <v>4168.8500000000004</v>
      </c>
      <c r="D31" s="3156">
        <f>B31-C31</f>
        <v>13432.800000000001</v>
      </c>
      <c r="E31" s="3156"/>
      <c r="F31" s="3156"/>
      <c r="G31" s="3158">
        <v>11</v>
      </c>
      <c r="H31" s="3158"/>
      <c r="I31" s="3173" t="s">
        <v>3649</v>
      </c>
      <c r="J31" s="3159">
        <f>ROUND(O22/C22*C38,2)</f>
        <v>6661.04</v>
      </c>
      <c r="K31" s="3159">
        <v>1</v>
      </c>
      <c r="L31" s="3159">
        <v>8.8000000000000007</v>
      </c>
    </row>
    <row r="32" spans="1:19" ht="14.25">
      <c r="A32" s="3106" t="s">
        <v>3475</v>
      </c>
      <c r="B32" s="3155">
        <v>13048.4</v>
      </c>
      <c r="C32" s="3158">
        <f t="shared" ref="C32:C34" si="8">ROUND(C16/B16*B32,2)</f>
        <v>3241.96</v>
      </c>
      <c r="D32" s="3156">
        <f t="shared" ref="D32:D36" si="9">B32-C32</f>
        <v>9806.4399999999987</v>
      </c>
      <c r="E32" s="3156"/>
      <c r="F32" s="3156"/>
      <c r="G32" s="3158">
        <v>11</v>
      </c>
      <c r="H32" s="3158"/>
      <c r="I32" s="3173" t="s">
        <v>3650</v>
      </c>
      <c r="J32" s="3159">
        <f>ROUND(P22/C22*C38,2)</f>
        <v>9959.77</v>
      </c>
      <c r="K32" s="3159">
        <v>0.7</v>
      </c>
      <c r="L32" s="3159">
        <f>K32*L31</f>
        <v>6.16</v>
      </c>
    </row>
    <row r="33" spans="1:12" ht="14.25">
      <c r="A33" s="3106" t="s">
        <v>3476</v>
      </c>
      <c r="B33" s="3155">
        <v>12726.56</v>
      </c>
      <c r="C33" s="3158">
        <f t="shared" si="8"/>
        <v>3021.23</v>
      </c>
      <c r="D33" s="3156">
        <f t="shared" si="9"/>
        <v>9705.33</v>
      </c>
      <c r="E33" s="3156"/>
      <c r="F33" s="3156"/>
      <c r="G33" s="3158">
        <v>11</v>
      </c>
      <c r="H33" s="3158"/>
      <c r="I33" s="3173" t="s">
        <v>3651</v>
      </c>
      <c r="J33" s="3159">
        <f>C38-J31-J32</f>
        <v>7365.8499999999985</v>
      </c>
      <c r="K33" s="3159">
        <v>0.6</v>
      </c>
      <c r="L33" s="3159">
        <f>K33*L31</f>
        <v>5.28</v>
      </c>
    </row>
    <row r="34" spans="1:12" ht="14.25">
      <c r="A34" s="3106" t="s">
        <v>3477</v>
      </c>
      <c r="B34" s="3155">
        <v>17652.419999999998</v>
      </c>
      <c r="C34" s="3158">
        <f t="shared" si="8"/>
        <v>4125.88</v>
      </c>
      <c r="D34" s="3156">
        <f t="shared" si="9"/>
        <v>13526.539999999997</v>
      </c>
      <c r="E34" s="3156"/>
      <c r="F34" s="3156"/>
      <c r="G34" s="3158">
        <v>11</v>
      </c>
      <c r="H34" s="3158"/>
      <c r="I34" s="3173" t="s">
        <v>3652</v>
      </c>
      <c r="J34" s="3159">
        <f>E37</f>
        <v>9849.01</v>
      </c>
      <c r="K34" s="3159">
        <v>0.5</v>
      </c>
      <c r="L34" s="3159">
        <f>K34*L31</f>
        <v>4.4000000000000004</v>
      </c>
    </row>
    <row r="35" spans="1:12" ht="14.25">
      <c r="A35" s="3106" t="s">
        <v>3478</v>
      </c>
      <c r="B35" s="3158">
        <v>4714.37</v>
      </c>
      <c r="C35" s="3158">
        <f>B35</f>
        <v>4714.37</v>
      </c>
      <c r="D35" s="3156">
        <f t="shared" si="9"/>
        <v>0</v>
      </c>
      <c r="E35" s="3158"/>
      <c r="F35" s="3156"/>
      <c r="G35" s="3158">
        <v>3</v>
      </c>
      <c r="H35" s="3158"/>
      <c r="I35" s="3173" t="s">
        <v>3654</v>
      </c>
      <c r="J35" s="3159">
        <f>SUM(J31:J34)</f>
        <v>33835.67</v>
      </c>
      <c r="L35" s="3174">
        <f>SUMPRODUCT(L31:L34,J31:J34)/J35</f>
        <v>5.9758434575109645</v>
      </c>
    </row>
    <row r="36" spans="1:12" ht="14.25">
      <c r="A36" s="3106" t="s">
        <v>3479</v>
      </c>
      <c r="B36" s="3158">
        <v>4714.37</v>
      </c>
      <c r="C36" s="3158">
        <f>B36</f>
        <v>4714.37</v>
      </c>
      <c r="D36" s="3156">
        <f t="shared" si="9"/>
        <v>0</v>
      </c>
      <c r="E36" s="3158"/>
      <c r="F36" s="3156"/>
      <c r="G36" s="3158">
        <v>3</v>
      </c>
      <c r="H36" s="3158"/>
    </row>
    <row r="37" spans="1:12" ht="14.25">
      <c r="A37" s="3106" t="s">
        <v>3480</v>
      </c>
      <c r="B37" s="3155">
        <v>38307.71</v>
      </c>
      <c r="C37" s="3158"/>
      <c r="D37" s="3156"/>
      <c r="E37" s="3158">
        <f>ROUND(D21/B21*B37,2)</f>
        <v>9849.01</v>
      </c>
      <c r="F37" s="3156">
        <f>B37-E37</f>
        <v>28458.699999999997</v>
      </c>
      <c r="G37" s="3160"/>
      <c r="H37" s="3158"/>
    </row>
    <row r="38" spans="1:12">
      <c r="A38" s="2967" t="s">
        <v>3654</v>
      </c>
      <c r="B38" s="3155">
        <f>SUM(B31:B37)</f>
        <v>108765.47999999998</v>
      </c>
      <c r="C38" s="3155">
        <f t="shared" ref="C38:F38" si="10">SUM(C31:C37)</f>
        <v>23986.66</v>
      </c>
      <c r="D38" s="3155">
        <f t="shared" si="10"/>
        <v>46471.11</v>
      </c>
      <c r="E38" s="3155">
        <f t="shared" si="10"/>
        <v>9849.01</v>
      </c>
      <c r="F38" s="3155">
        <f t="shared" si="10"/>
        <v>28458.699999999997</v>
      </c>
      <c r="G38" s="3161"/>
      <c r="H38" s="3158"/>
    </row>
    <row r="39" spans="1:12">
      <c r="A39" s="3158"/>
      <c r="B39" s="3158"/>
      <c r="C39" s="3158"/>
      <c r="D39" s="3158"/>
      <c r="E39" s="3158"/>
      <c r="F39" s="3158"/>
      <c r="G39" s="3160"/>
      <c r="H39" s="3158"/>
    </row>
    <row r="40" spans="1:12" ht="14.25">
      <c r="B40" s="3059"/>
      <c r="C40" s="3059" t="s">
        <v>3672</v>
      </c>
      <c r="D40" s="3059" t="s">
        <v>3658</v>
      </c>
      <c r="E40" s="3059" t="s">
        <v>21</v>
      </c>
      <c r="F40" s="3059" t="s">
        <v>3420</v>
      </c>
      <c r="G40" s="3059" t="s">
        <v>3489</v>
      </c>
    </row>
    <row r="41" spans="1:12" ht="14.25">
      <c r="B41" s="3059" t="s">
        <v>3490</v>
      </c>
      <c r="C41" s="3059">
        <f>C38-C10</f>
        <v>1147.6599999999999</v>
      </c>
      <c r="D41" s="3059">
        <f>E38-D10</f>
        <v>957.01000000000022</v>
      </c>
      <c r="E41" s="3059">
        <f>D38-E10</f>
        <v>1100.1100000000006</v>
      </c>
      <c r="F41" s="3059">
        <f>F38-F10</f>
        <v>4949.6999999999971</v>
      </c>
      <c r="G41" s="3059">
        <f>SUM(C41:F41)</f>
        <v>8154.4799999999977</v>
      </c>
    </row>
    <row r="42" spans="1:12" ht="14.25">
      <c r="B42" s="3059" t="s">
        <v>3491</v>
      </c>
      <c r="C42" s="3059">
        <v>8003</v>
      </c>
      <c r="D42" s="3059">
        <v>2668</v>
      </c>
      <c r="E42" s="3059">
        <v>8003</v>
      </c>
      <c r="F42" s="3059">
        <v>400</v>
      </c>
      <c r="G42" s="3059"/>
    </row>
    <row r="43" spans="1:12" ht="14.25">
      <c r="B43" s="3059" t="s">
        <v>3492</v>
      </c>
      <c r="C43" s="3059">
        <f>ROUND(C41*C42*1.0305/10000,0)</f>
        <v>946</v>
      </c>
      <c r="D43" s="3059">
        <f>ROUND(D41*D42*1.0305/10000,0)</f>
        <v>263</v>
      </c>
      <c r="E43" s="3059">
        <f>ROUND(E41*E42*1.0305/10000,0)</f>
        <v>907</v>
      </c>
      <c r="F43" s="3059">
        <f>ROUND(F41*F42*1.0305/10000,0)</f>
        <v>204</v>
      </c>
      <c r="G43" s="3059">
        <f>SUM(C43:F43)</f>
        <v>2320</v>
      </c>
    </row>
    <row r="47" spans="1:12">
      <c r="A47" s="2968" t="s">
        <v>3671</v>
      </c>
      <c r="B47" s="2968" t="s">
        <v>3666</v>
      </c>
      <c r="C47" s="2968" t="s">
        <v>3665</v>
      </c>
      <c r="D47" s="2968" t="s">
        <v>3668</v>
      </c>
      <c r="E47" s="3176"/>
      <c r="F47" s="3176"/>
      <c r="G47" s="3176"/>
      <c r="H47" s="3176"/>
      <c r="I47" s="3176"/>
    </row>
    <row r="48" spans="1:12">
      <c r="A48" s="3177" t="s">
        <v>3659</v>
      </c>
      <c r="B48" s="3177">
        <v>11</v>
      </c>
      <c r="C48" s="3177">
        <v>17601.650000000001</v>
      </c>
      <c r="D48" s="3178" t="s">
        <v>3641</v>
      </c>
      <c r="E48" s="3176"/>
      <c r="F48" s="3176"/>
      <c r="G48" s="3176"/>
      <c r="H48" s="3176"/>
      <c r="I48" s="3176"/>
    </row>
    <row r="49" spans="1:9">
      <c r="A49" s="3177" t="s">
        <v>3660</v>
      </c>
      <c r="B49" s="3177">
        <v>11</v>
      </c>
      <c r="C49" s="3177">
        <v>13048.4</v>
      </c>
      <c r="D49" s="3178" t="s">
        <v>3641</v>
      </c>
      <c r="E49" s="3176"/>
      <c r="F49" s="3176"/>
      <c r="G49" s="3176"/>
      <c r="H49" s="3176"/>
      <c r="I49" s="3176"/>
    </row>
    <row r="50" spans="1:9">
      <c r="A50" s="3177" t="s">
        <v>3661</v>
      </c>
      <c r="B50" s="3177">
        <v>11</v>
      </c>
      <c r="C50" s="3177">
        <v>12726.56</v>
      </c>
      <c r="D50" s="3178" t="s">
        <v>3641</v>
      </c>
      <c r="E50" s="3176"/>
      <c r="F50" s="3176"/>
      <c r="G50" s="3176"/>
      <c r="H50" s="3176"/>
      <c r="I50" s="3176"/>
    </row>
    <row r="51" spans="1:9">
      <c r="A51" s="3177" t="s">
        <v>3662</v>
      </c>
      <c r="B51" s="3177">
        <v>11</v>
      </c>
      <c r="C51" s="3177">
        <v>17652.419999999998</v>
      </c>
      <c r="D51" s="3178" t="s">
        <v>3641</v>
      </c>
      <c r="E51" s="3176"/>
      <c r="F51" s="3176"/>
      <c r="G51" s="3176"/>
      <c r="H51" s="3176"/>
      <c r="I51" s="3176"/>
    </row>
    <row r="52" spans="1:9">
      <c r="A52" s="3177" t="s">
        <v>3663</v>
      </c>
      <c r="B52" s="3177">
        <v>3</v>
      </c>
      <c r="C52" s="3177">
        <v>4714.37</v>
      </c>
      <c r="D52" s="3178" t="s">
        <v>3642</v>
      </c>
      <c r="E52" s="3176"/>
      <c r="F52" s="3176"/>
      <c r="G52" s="3176"/>
      <c r="H52" s="3176"/>
      <c r="I52" s="3176"/>
    </row>
    <row r="53" spans="1:9">
      <c r="A53" s="3177" t="s">
        <v>3664</v>
      </c>
      <c r="B53" s="3177">
        <v>3</v>
      </c>
      <c r="C53" s="3177">
        <v>4714.37</v>
      </c>
      <c r="D53" s="3178" t="s">
        <v>3642</v>
      </c>
      <c r="E53" s="3176"/>
      <c r="F53" s="3176"/>
      <c r="G53" s="3176"/>
      <c r="H53" s="3176"/>
      <c r="I53" s="3176"/>
    </row>
    <row r="54" spans="1:9">
      <c r="A54" s="3177" t="s">
        <v>3669</v>
      </c>
      <c r="B54" s="3177" t="s">
        <v>3667</v>
      </c>
      <c r="C54" s="3177">
        <v>38307.71</v>
      </c>
      <c r="D54" s="3178" t="s">
        <v>3670</v>
      </c>
      <c r="E54" s="3176"/>
      <c r="F54" s="3176"/>
      <c r="G54" s="3176"/>
      <c r="H54" s="3176"/>
      <c r="I54" s="3176"/>
    </row>
    <row r="55" spans="1:9">
      <c r="A55" s="2967" t="s">
        <v>3654</v>
      </c>
      <c r="B55" s="3177"/>
      <c r="C55" s="3177">
        <f>SUM(C48:C54)</f>
        <v>108765.47999999998</v>
      </c>
      <c r="D55" s="3177"/>
      <c r="E55" s="3176"/>
      <c r="F55" s="3176"/>
      <c r="G55" s="3176"/>
      <c r="H55" s="3176"/>
      <c r="I55" s="3176"/>
    </row>
  </sheetData>
  <mergeCells count="16">
    <mergeCell ref="K1:K2"/>
    <mergeCell ref="A13:A14"/>
    <mergeCell ref="B13:F13"/>
    <mergeCell ref="G13:I13"/>
    <mergeCell ref="J13:J14"/>
    <mergeCell ref="K13:K14"/>
    <mergeCell ref="A1:A2"/>
    <mergeCell ref="B1:F1"/>
    <mergeCell ref="G1:I1"/>
    <mergeCell ref="J1:J2"/>
    <mergeCell ref="R13:R14"/>
    <mergeCell ref="L13:L14"/>
    <mergeCell ref="N13:N14"/>
    <mergeCell ref="O13:O14"/>
    <mergeCell ref="P13:P14"/>
    <mergeCell ref="Q13:Q14"/>
  </mergeCells>
  <phoneticPr fontId="13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59" customWidth="1"/>
    <col min="2" max="2" width="11" style="1459" customWidth="1"/>
    <col min="3" max="3" width="16.12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23493.01</v>
      </c>
      <c r="B3" s="11">
        <f>IF(C3="否",G5-AT5,G5)</f>
        <v>108765.47999999998</v>
      </c>
      <c r="C3" s="1465" t="s">
        <v>3391</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1070</v>
      </c>
      <c r="B5" s="1255"/>
      <c r="C5" s="1255"/>
      <c r="D5" s="1256"/>
      <c r="E5" s="13" t="s">
        <v>0</v>
      </c>
      <c r="F5" s="13">
        <f>SUM(F13:F587)</f>
        <v>0</v>
      </c>
      <c r="G5" s="13">
        <f>SUM(G13:G587)</f>
        <v>108765.47999999998</v>
      </c>
      <c r="H5" s="13">
        <f t="shared" ref="H5:AT5" si="0">SUM(H13:H656)</f>
        <v>108765.47999999998</v>
      </c>
      <c r="I5" s="13">
        <f t="shared" si="0"/>
        <v>23986.66</v>
      </c>
      <c r="J5" s="13">
        <f t="shared" si="0"/>
        <v>0</v>
      </c>
      <c r="K5" s="13">
        <f t="shared" si="0"/>
        <v>46471.11</v>
      </c>
      <c r="L5" s="13">
        <f t="shared" si="0"/>
        <v>0</v>
      </c>
      <c r="M5" s="13">
        <f t="shared" si="0"/>
        <v>9849.01</v>
      </c>
      <c r="N5" s="13">
        <f t="shared" si="0"/>
        <v>0</v>
      </c>
      <c r="O5" s="13">
        <f t="shared" si="0"/>
        <v>28458.699999999997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1070</v>
      </c>
      <c r="AW5" s="1255"/>
      <c r="AX5" s="1255"/>
      <c r="AY5" s="14" t="s">
        <v>2</v>
      </c>
      <c r="AZ5" s="15">
        <f t="shared" ref="AZ5:BT5" si="1">SUM(AZ13:AZ656)</f>
        <v>108765.47999999998</v>
      </c>
      <c r="BA5" s="15">
        <f t="shared" si="1"/>
        <v>108765.47999999998</v>
      </c>
      <c r="BB5" s="15">
        <f t="shared" si="1"/>
        <v>23986.66</v>
      </c>
      <c r="BC5" s="15">
        <f t="shared" si="1"/>
        <v>46471.11</v>
      </c>
      <c r="BD5" s="15">
        <f t="shared" si="1"/>
        <v>9849.01</v>
      </c>
      <c r="BE5" s="15">
        <f t="shared" si="1"/>
        <v>28458.699999999997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1071</v>
      </c>
      <c r="B6" s="1470"/>
      <c r="C6" s="1470"/>
      <c r="D6" s="1471"/>
      <c r="E6" s="13">
        <f>H6+AC6+AT6</f>
        <v>23493.010000000002</v>
      </c>
      <c r="F6" s="13" t="s">
        <v>0</v>
      </c>
      <c r="G6" s="13" t="s">
        <v>1</v>
      </c>
      <c r="H6" s="17">
        <f>SUMIF(I$12:AB$12,"总值",I6:AB6)</f>
        <v>23493.010000000002</v>
      </c>
      <c r="I6" s="13">
        <f t="shared" ref="I6:AB6" si="2">ROUND($A$3*I5/$B$3,2)</f>
        <v>5181.04</v>
      </c>
      <c r="J6" s="13">
        <f t="shared" si="2"/>
        <v>0</v>
      </c>
      <c r="K6" s="13">
        <f t="shared" si="2"/>
        <v>10037.620000000001</v>
      </c>
      <c r="L6" s="13">
        <f t="shared" si="2"/>
        <v>0</v>
      </c>
      <c r="M6" s="13">
        <f t="shared" si="2"/>
        <v>2127.36</v>
      </c>
      <c r="N6" s="13">
        <f t="shared" si="2"/>
        <v>0</v>
      </c>
      <c r="O6" s="13">
        <f t="shared" si="2"/>
        <v>6146.99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1071</v>
      </c>
      <c r="AW6" s="1470"/>
      <c r="AX6" s="1470"/>
      <c r="AY6" s="18">
        <f>IF(AY3&gt;0,AY3,ROUND($A$3*AZ5/$B$3,2))</f>
        <v>23493.01</v>
      </c>
      <c r="AZ6" s="13" t="s">
        <v>2</v>
      </c>
      <c r="BA6" s="13">
        <f>ROUND($AY$6*BA5/$AZ$5,2)</f>
        <v>23493.01</v>
      </c>
      <c r="BB6" s="13">
        <f>ROUND($AY$6*BB5/$AZ$5,2)</f>
        <v>5181.04</v>
      </c>
      <c r="BC6" s="13">
        <f t="shared" ref="BC6:BH6" si="4">ROUND($AY$6*BC5/$AZ$5,2)</f>
        <v>10037.620000000001</v>
      </c>
      <c r="BD6" s="13">
        <f t="shared" si="4"/>
        <v>2127.36</v>
      </c>
      <c r="BE6" s="13">
        <f t="shared" si="4"/>
        <v>6146.99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1072</v>
      </c>
      <c r="B7" s="1457" t="s">
        <v>1073</v>
      </c>
      <c r="C7" s="1457" t="s">
        <v>1074</v>
      </c>
      <c r="D7" s="1457" t="s">
        <v>1075</v>
      </c>
      <c r="E7" s="1457" t="s">
        <v>1076</v>
      </c>
      <c r="F7" s="1457" t="s">
        <v>1077</v>
      </c>
      <c r="G7" s="1474" t="s">
        <v>1078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1079</v>
      </c>
      <c r="AV7" s="20" t="s">
        <v>1080</v>
      </c>
      <c r="AW7" s="1462" t="s">
        <v>1081</v>
      </c>
      <c r="AX7" s="20" t="s">
        <v>1074</v>
      </c>
      <c r="AY7" s="1255" t="s">
        <v>1082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1083</v>
      </c>
      <c r="H8" s="1480" t="s">
        <v>1084</v>
      </c>
      <c r="I8" s="1481"/>
      <c r="J8" s="1265"/>
      <c r="K8" s="1265"/>
      <c r="L8" s="1265"/>
      <c r="M8" s="1265"/>
      <c r="N8" s="1265"/>
      <c r="O8" s="1265"/>
      <c r="P8" s="1265"/>
      <c r="Q8" s="1265"/>
      <c r="R8" s="1265"/>
      <c r="S8" s="1265"/>
      <c r="T8" s="1265"/>
      <c r="U8" s="1265"/>
      <c r="V8" s="1482"/>
      <c r="W8" s="1265"/>
      <c r="X8" s="1265"/>
      <c r="Y8" s="1265"/>
      <c r="Z8" s="1265"/>
      <c r="AA8" s="1482"/>
      <c r="AB8" s="1483"/>
      <c r="AC8" s="758" t="s">
        <v>1085</v>
      </c>
      <c r="AD8" s="1484"/>
      <c r="AE8" s="1476"/>
      <c r="AF8" s="1265"/>
      <c r="AG8" s="1265"/>
      <c r="AH8" s="1265"/>
      <c r="AI8" s="1265"/>
      <c r="AJ8" s="1265"/>
      <c r="AK8" s="1265"/>
      <c r="AL8" s="1265"/>
      <c r="AM8" s="1265"/>
      <c r="AN8" s="1265"/>
      <c r="AO8" s="1265"/>
      <c r="AP8" s="1265"/>
      <c r="AQ8" s="1265"/>
      <c r="AR8" s="1265"/>
      <c r="AS8" s="1265"/>
      <c r="AT8" s="1004" t="s">
        <v>1086</v>
      </c>
      <c r="AU8" s="1478" t="s">
        <v>1087</v>
      </c>
      <c r="AV8" s="1004"/>
      <c r="AW8" s="1463"/>
      <c r="AX8" s="1004"/>
      <c r="AY8" s="1462" t="s">
        <v>1088</v>
      </c>
      <c r="AZ8" s="1264" t="s">
        <v>1089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1090</v>
      </c>
      <c r="I9" s="1487" t="s">
        <v>3392</v>
      </c>
      <c r="J9" s="758"/>
      <c r="K9" s="1487" t="s">
        <v>3392</v>
      </c>
      <c r="L9" s="758"/>
      <c r="M9" s="1487" t="s">
        <v>3394</v>
      </c>
      <c r="N9" s="758"/>
      <c r="O9" s="1487" t="s">
        <v>3394</v>
      </c>
      <c r="P9" s="758"/>
      <c r="Q9" s="1487"/>
      <c r="R9" s="758"/>
      <c r="S9" s="1487"/>
      <c r="T9" s="758"/>
      <c r="U9" s="1487"/>
      <c r="V9" s="758"/>
      <c r="W9" s="1487"/>
      <c r="X9" s="1488"/>
      <c r="Y9" s="1487"/>
      <c r="Z9" s="758"/>
      <c r="AA9" s="1487"/>
      <c r="AB9" s="758"/>
      <c r="AC9" s="1479"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89"/>
      <c r="AT9" s="1478"/>
      <c r="AU9" s="1478" t="s">
        <v>1093</v>
      </c>
      <c r="AV9" s="1004"/>
      <c r="AW9" s="1463"/>
      <c r="AX9" s="1004"/>
      <c r="AY9" s="25"/>
      <c r="AZ9" s="25" t="s">
        <v>1083</v>
      </c>
      <c r="BA9" s="1490" t="s">
        <v>1094</v>
      </c>
      <c r="BB9" s="1491"/>
      <c r="BC9" s="1022"/>
      <c r="BD9" s="1022"/>
      <c r="BE9" s="1022"/>
      <c r="BF9" s="1022"/>
      <c r="BG9" s="1022"/>
      <c r="BH9" s="1022"/>
      <c r="BI9" s="1022"/>
      <c r="BJ9" s="1022"/>
      <c r="BK9" s="1492"/>
      <c r="BL9" s="12" t="s">
        <v>1095</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8"/>
      <c r="K10" s="1493" t="s">
        <v>21</v>
      </c>
      <c r="L10" s="758"/>
      <c r="M10" s="1493" t="s">
        <v>673</v>
      </c>
      <c r="N10" s="758"/>
      <c r="O10" s="1493" t="s">
        <v>3329</v>
      </c>
      <c r="P10" s="758"/>
      <c r="Q10" s="1493"/>
      <c r="R10" s="758"/>
      <c r="S10" s="1493"/>
      <c r="T10" s="758"/>
      <c r="U10" s="1493"/>
      <c r="V10" s="758"/>
      <c r="W10" s="1493"/>
      <c r="X10" s="758"/>
      <c r="Y10" s="1493"/>
      <c r="Z10" s="758"/>
      <c r="AA10" s="1493"/>
      <c r="AB10" s="758"/>
      <c r="AC10" s="1004"/>
      <c r="AD10" s="12" t="s">
        <v>1096</v>
      </c>
      <c r="AE10" s="1494"/>
      <c r="AF10" s="12" t="s">
        <v>1096</v>
      </c>
      <c r="AG10" s="1494"/>
      <c r="AH10" s="12" t="s">
        <v>1097</v>
      </c>
      <c r="AI10" s="1494"/>
      <c r="AJ10" s="12" t="s">
        <v>1097</v>
      </c>
      <c r="AK10" s="1494"/>
      <c r="AL10" s="12" t="s">
        <v>1098</v>
      </c>
      <c r="AM10" s="1010"/>
      <c r="AN10" s="12" t="s">
        <v>1098</v>
      </c>
      <c r="AO10" s="1010"/>
      <c r="AP10" s="12" t="s">
        <v>1099</v>
      </c>
      <c r="AQ10" s="1010"/>
      <c r="AR10" s="12" t="s">
        <v>1099</v>
      </c>
      <c r="AS10" s="1010"/>
      <c r="AT10" s="1478"/>
      <c r="AU10" s="1478"/>
      <c r="AV10" s="1004"/>
      <c r="AW10" s="1463"/>
      <c r="AX10" s="1004"/>
      <c r="AY10" s="25"/>
      <c r="AZ10" s="25"/>
      <c r="BA10" s="1495" t="s">
        <v>1090</v>
      </c>
      <c r="BB10" s="149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t="s">
        <v>673</v>
      </c>
      <c r="J11" s="1499"/>
      <c r="K11" s="1498" t="s">
        <v>3393</v>
      </c>
      <c r="L11" s="1499"/>
      <c r="M11" s="1498"/>
      <c r="N11" s="1499"/>
      <c r="O11" s="1498"/>
      <c r="P11" s="1499"/>
      <c r="Q11" s="1498"/>
      <c r="R11" s="1499"/>
      <c r="S11" s="1498"/>
      <c r="T11" s="1499"/>
      <c r="U11" s="1498"/>
      <c r="V11" s="1499"/>
      <c r="W11" s="1498"/>
      <c r="X11" s="1499"/>
      <c r="Y11" s="1498"/>
      <c r="Z11" s="1499"/>
      <c r="AA11" s="1498"/>
      <c r="AB11" s="1499"/>
      <c r="AC11" s="1004"/>
      <c r="AD11" s="1500" t="s">
        <v>1100</v>
      </c>
      <c r="AE11" s="1266"/>
      <c r="AF11" s="1500" t="s">
        <v>1100</v>
      </c>
      <c r="AG11" s="1266"/>
      <c r="AH11" s="1500" t="s">
        <v>1101</v>
      </c>
      <c r="AI11" s="1501"/>
      <c r="AJ11" s="1500" t="s">
        <v>1101</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办公</v>
      </c>
      <c r="BD11" s="1483" t="str">
        <f>M10</f>
        <v>商业</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4" t="s">
        <v>1103</v>
      </c>
      <c r="W12" s="8" t="s">
        <v>1102</v>
      </c>
      <c r="X12" s="8" t="s">
        <v>1103</v>
      </c>
      <c r="Y12" s="8" t="s">
        <v>1102</v>
      </c>
      <c r="Z12" s="8" t="s">
        <v>1103</v>
      </c>
      <c r="AA12" s="8" t="s">
        <v>1102</v>
      </c>
      <c r="AB12" s="8" t="s">
        <v>1103</v>
      </c>
      <c r="AC12" s="1505"/>
      <c r="AD12" s="125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3" t="s">
        <v>1103</v>
      </c>
      <c r="AT12" s="1506"/>
      <c r="AU12" s="1503"/>
      <c r="AV12" s="28"/>
      <c r="AW12" s="1462"/>
      <c r="AX12" s="28"/>
      <c r="AY12" s="1507"/>
      <c r="AZ12" s="25"/>
      <c r="BA12" s="1495"/>
      <c r="BB12" s="21" t="str">
        <f>I11</f>
        <v>商业</v>
      </c>
      <c r="BC12" s="1508" t="str">
        <f>K11</f>
        <v>办公楼</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5" customHeight="1">
      <c r="A13" s="628"/>
      <c r="B13" s="628"/>
      <c r="C13" s="628" t="e">
        <f>#REF!</f>
        <v>#REF!</v>
      </c>
      <c r="D13" s="1509" t="s">
        <v>3391</v>
      </c>
      <c r="E13" s="13">
        <f>IF($C$3="是",ROUND($A$3*G13/$B$3,2),ROUND($A$3*(G13-AT13)/$B$3,2))</f>
        <v>3801.9</v>
      </c>
      <c r="F13" s="29"/>
      <c r="G13" s="30">
        <f>H13+AC13+AT13</f>
        <v>17601.650000000001</v>
      </c>
      <c r="H13" s="17">
        <f>SUMIF(I$12:AB$12,"总值",I13:AB13)</f>
        <v>17601.650000000001</v>
      </c>
      <c r="I13" s="1510">
        <f>面积表!C31</f>
        <v>4168.8500000000004</v>
      </c>
      <c r="J13" s="1510"/>
      <c r="K13" s="1510">
        <f>面积表!D31</f>
        <v>13432.800000000001</v>
      </c>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e">
        <f t="shared" si="6"/>
        <v>#REF!</v>
      </c>
      <c r="AY13" s="1256">
        <f>ROUND($AY$6*AZ13/$AZ$5,2)</f>
        <v>3801.9</v>
      </c>
      <c r="AZ13" s="13">
        <f>BA13+BL13</f>
        <v>17601.650000000001</v>
      </c>
      <c r="BA13" s="13">
        <f>SUM(BB13:BK13)</f>
        <v>17601.650000000001</v>
      </c>
      <c r="BB13" s="13">
        <f>IF($D13="是",I13-J13,0)</f>
        <v>4168.8500000000004</v>
      </c>
      <c r="BC13" s="13">
        <f>IF($D13="是",K13-L13,0)</f>
        <v>13432.800000000001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5" customHeight="1">
      <c r="A14" s="628"/>
      <c r="B14" s="628"/>
      <c r="C14" s="628" t="e">
        <f>#REF!</f>
        <v>#REF!</v>
      </c>
      <c r="D14" s="1509" t="s">
        <v>3391</v>
      </c>
      <c r="E14" s="13">
        <f>IF($C$3="是",ROUND($A$3*G14/$B$3,2),ROUND($A$3*(G14-AT14)/$B$3,2))</f>
        <v>2818.41</v>
      </c>
      <c r="F14" s="29"/>
      <c r="G14" s="30">
        <f>H14+AC14+AT14</f>
        <v>13048.399999999998</v>
      </c>
      <c r="H14" s="17">
        <f>SUMIF(I$12:AB$12,"总值",I14:AB14)</f>
        <v>13048.399999999998</v>
      </c>
      <c r="I14" s="1510">
        <f>面积表!C32</f>
        <v>3241.96</v>
      </c>
      <c r="J14" s="1510"/>
      <c r="K14" s="1510">
        <f>面积表!D32</f>
        <v>9806.4399999999987</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e">
        <f t="shared" si="6"/>
        <v>#REF!</v>
      </c>
      <c r="AY14" s="1256">
        <f>ROUND($AY$6*AZ14/$AZ$5,2)</f>
        <v>2818.41</v>
      </c>
      <c r="AZ14" s="13">
        <f>BA14+BL14</f>
        <v>13048.399999999998</v>
      </c>
      <c r="BA14" s="13">
        <f>SUM(BB14:BK14)</f>
        <v>13048.399999999998</v>
      </c>
      <c r="BB14" s="13">
        <f>IF($D14="是",I14-J14,0)</f>
        <v>3241.96</v>
      </c>
      <c r="BC14" s="13">
        <f>IF($D14="是",K14-L14,0)</f>
        <v>9806.4399999999987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5" customHeight="1">
      <c r="A15" s="628"/>
      <c r="B15" s="628"/>
      <c r="C15" s="628" t="e">
        <f>#REF!</f>
        <v>#REF!</v>
      </c>
      <c r="D15" s="1509" t="s">
        <v>3391</v>
      </c>
      <c r="E15" s="13">
        <f>IF($C$3="是",ROUND($A$3*G15/$B$3,2),ROUND($A$3*(G15-AT15)/$B$3,2))</f>
        <v>2748.9</v>
      </c>
      <c r="F15" s="29"/>
      <c r="G15" s="30">
        <f>H15+AC15+AT15</f>
        <v>12726.56</v>
      </c>
      <c r="H15" s="17">
        <f>SUMIF(I$12:AB$12,"总值",I15:AB15)</f>
        <v>12726.56</v>
      </c>
      <c r="I15" s="1510">
        <f>面积表!C33</f>
        <v>3021.23</v>
      </c>
      <c r="J15" s="1510"/>
      <c r="K15" s="1510">
        <f>面积表!D33</f>
        <v>9705.33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e">
        <f t="shared" si="6"/>
        <v>#REF!</v>
      </c>
      <c r="AY15" s="1256">
        <f>ROUND($AY$6*AZ15/$AZ$5,2)</f>
        <v>2748.9</v>
      </c>
      <c r="AZ15" s="13">
        <f>BA15+BL15</f>
        <v>12726.56</v>
      </c>
      <c r="BA15" s="13">
        <f>SUM(BB15:BK15)</f>
        <v>12726.56</v>
      </c>
      <c r="BB15" s="13">
        <f>IF($D15="是",I15-J15,0)</f>
        <v>3021.23</v>
      </c>
      <c r="BC15" s="13">
        <f>IF($D15="是",K15-L15,0)</f>
        <v>9705.33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5" customHeight="1">
      <c r="A16" s="628"/>
      <c r="B16" s="628"/>
      <c r="C16" s="628" t="e">
        <f>#REF!</f>
        <v>#REF!</v>
      </c>
      <c r="D16" s="1509" t="s">
        <v>3391</v>
      </c>
      <c r="E16" s="13">
        <f>IF($C$3="是",ROUND($A$3*G16/$B$3,2),ROUND($A$3*(G16-AT16)/$B$3,2))</f>
        <v>3812.87</v>
      </c>
      <c r="F16" s="29"/>
      <c r="G16" s="30">
        <f>H16+AC16+AT16</f>
        <v>17652.419999999998</v>
      </c>
      <c r="H16" s="17">
        <f>SUMIF(I$12:AB$12,"总值",I16:AB16)</f>
        <v>17652.419999999998</v>
      </c>
      <c r="I16" s="1510">
        <f>面积表!C34</f>
        <v>4125.88</v>
      </c>
      <c r="J16" s="1510"/>
      <c r="K16" s="1510">
        <f>面积表!D34</f>
        <v>13526.539999999997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e">
        <f t="shared" si="6"/>
        <v>#REF!</v>
      </c>
      <c r="AY16" s="1256">
        <f>ROUND($AY$6*AZ16/$AZ$5,2)</f>
        <v>3812.87</v>
      </c>
      <c r="AZ16" s="13">
        <f>BA16+BL16</f>
        <v>17652.419999999998</v>
      </c>
      <c r="BA16" s="13">
        <f>SUM(BB16:BK16)</f>
        <v>17652.419999999998</v>
      </c>
      <c r="BB16" s="13">
        <f>IF($D16="是",I16-J16,0)</f>
        <v>4125.88</v>
      </c>
      <c r="BC16" s="13">
        <f>IF($D16="是",K16-L16,0)</f>
        <v>13526.539999999997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5" customHeight="1">
      <c r="A17" s="628"/>
      <c r="B17" s="628"/>
      <c r="C17" s="628" t="e">
        <f>#REF!</f>
        <v>#REF!</v>
      </c>
      <c r="D17" s="1509" t="s">
        <v>3391</v>
      </c>
      <c r="E17" s="13">
        <f>IF($C$3="是",ROUND($A$3*G17/$B$3,2),ROUND($A$3*(G17-AT17)/$B$3,2))</f>
        <v>1018.29</v>
      </c>
      <c r="F17" s="29"/>
      <c r="G17" s="30">
        <f>H17+AC17+AT17</f>
        <v>4714.37</v>
      </c>
      <c r="H17" s="17">
        <f>SUMIF(I$12:AB$12,"总值",I17:AB17)</f>
        <v>4714.37</v>
      </c>
      <c r="I17" s="1510">
        <f>面积表!C35</f>
        <v>4714.37</v>
      </c>
      <c r="J17" s="1510"/>
      <c r="K17" s="1510">
        <f>面积表!D35</f>
        <v>0</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t="e">
        <f t="shared" si="6"/>
        <v>#REF!</v>
      </c>
      <c r="AY17" s="1256">
        <f>ROUND($AY$6*AZ17/$AZ$5,2)</f>
        <v>1018.29</v>
      </c>
      <c r="AZ17" s="13">
        <f>BA17+BL17</f>
        <v>4714.37</v>
      </c>
      <c r="BA17" s="13">
        <f>SUM(BB17:BK17)</f>
        <v>4714.37</v>
      </c>
      <c r="BB17" s="13">
        <f>IF($D17="是",I17-J17,0)</f>
        <v>4714.37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ustomHeight="1">
      <c r="A18" s="6"/>
      <c r="B18" s="31"/>
      <c r="C18" s="628" t="e">
        <f>#REF!</f>
        <v>#REF!</v>
      </c>
      <c r="D18" s="1512" t="s">
        <v>3391</v>
      </c>
      <c r="E18" s="32">
        <f t="shared" ref="E18:E112" si="7">IF($C$3="是",ROUND($A$3*G18/$B$3,2),ROUND($A$3*(G18-AT18)/$B$3,2))</f>
        <v>1018.29</v>
      </c>
      <c r="F18" s="33"/>
      <c r="G18" s="34">
        <f t="shared" ref="G18:G109" si="8">H18+AC18+AT18</f>
        <v>4714.37</v>
      </c>
      <c r="H18" s="35">
        <f t="shared" ref="H18:H109" si="9">SUMIF(I$12:AB$12,"总值",I18:AB18)</f>
        <v>4714.37</v>
      </c>
      <c r="I18" s="1510">
        <f>面积表!C36</f>
        <v>4714.37</v>
      </c>
      <c r="J18" s="36"/>
      <c r="K18" s="1510">
        <f>面积表!D36</f>
        <v>0</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986"/>
      <c r="AM18" s="37"/>
      <c r="AN18" s="986"/>
      <c r="AO18" s="37"/>
      <c r="AP18" s="37"/>
      <c r="AQ18" s="37"/>
      <c r="AR18" s="37"/>
      <c r="AS18" s="37"/>
      <c r="AT18" s="29"/>
      <c r="AU18" s="1513"/>
      <c r="AV18" s="530">
        <f t="shared" ref="AV18:AV112" si="11">A18</f>
        <v>0</v>
      </c>
      <c r="AW18" s="530">
        <f t="shared" ref="AW18:AW112" si="12">B18</f>
        <v>0</v>
      </c>
      <c r="AX18" s="530" t="e">
        <f t="shared" ref="AX18:AX112" si="13">C18</f>
        <v>#REF!</v>
      </c>
      <c r="AY18" s="38">
        <f t="shared" ref="AY18:AY109" si="14">ROUND($AY$6*AZ18/$AZ$5,2)</f>
        <v>1018.29</v>
      </c>
      <c r="AZ18" s="32">
        <f t="shared" ref="AZ18:AZ109" si="15">BA18+BL18</f>
        <v>4714.37</v>
      </c>
      <c r="BA18" s="32">
        <f t="shared" ref="BA18:BA109" si="16">SUM(BB18:BK18)</f>
        <v>4714.37</v>
      </c>
      <c r="BB18" s="32">
        <f t="shared" ref="BB18:BB109" si="17">IF($D18="是",I18-J18,0)</f>
        <v>4714.37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5" customHeight="1">
      <c r="A19" s="6"/>
      <c r="B19" s="31"/>
      <c r="C19" s="628" t="e">
        <f>#REF!</f>
        <v>#REF!</v>
      </c>
      <c r="D19" s="1512" t="s">
        <v>3391</v>
      </c>
      <c r="E19" s="32">
        <f t="shared" si="7"/>
        <v>8274.35</v>
      </c>
      <c r="F19" s="33"/>
      <c r="G19" s="34">
        <f t="shared" si="8"/>
        <v>38307.71</v>
      </c>
      <c r="H19" s="35">
        <f t="shared" si="9"/>
        <v>38307.71</v>
      </c>
      <c r="I19" s="1510">
        <f>面积表!C37</f>
        <v>0</v>
      </c>
      <c r="J19" s="36"/>
      <c r="K19" s="1510">
        <f>面积表!D37</f>
        <v>0</v>
      </c>
      <c r="L19" s="36"/>
      <c r="M19" s="36">
        <f>面积表!E37</f>
        <v>9849.01</v>
      </c>
      <c r="N19" s="36"/>
      <c r="O19" s="36">
        <f>面积表!F37</f>
        <v>28458.699999999997</v>
      </c>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986"/>
      <c r="AM19" s="37"/>
      <c r="AN19" s="986"/>
      <c r="AO19" s="37"/>
      <c r="AP19" s="37"/>
      <c r="AQ19" s="37"/>
      <c r="AR19" s="37"/>
      <c r="AS19" s="37"/>
      <c r="AT19" s="29"/>
      <c r="AU19" s="1513"/>
      <c r="AV19" s="530">
        <f t="shared" si="11"/>
        <v>0</v>
      </c>
      <c r="AW19" s="530">
        <f t="shared" si="12"/>
        <v>0</v>
      </c>
      <c r="AX19" s="530" t="e">
        <f t="shared" si="13"/>
        <v>#REF!</v>
      </c>
      <c r="AY19" s="38">
        <f t="shared" si="14"/>
        <v>8274.35</v>
      </c>
      <c r="AZ19" s="32">
        <f t="shared" si="15"/>
        <v>38307.71</v>
      </c>
      <c r="BA19" s="32">
        <f t="shared" si="16"/>
        <v>38307.71</v>
      </c>
      <c r="BB19" s="32">
        <f t="shared" si="17"/>
        <v>0</v>
      </c>
      <c r="BC19" s="32">
        <f t="shared" si="18"/>
        <v>0</v>
      </c>
      <c r="BD19" s="32">
        <f t="shared" si="19"/>
        <v>9849.01</v>
      </c>
      <c r="BE19" s="32">
        <f t="shared" si="20"/>
        <v>28458.699999999997</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0" zoomScale="85" zoomScaleNormal="100" zoomScaleSheetLayoutView="85" workbookViewId="0">
      <selection activeCell="H11" sqref="H11"/>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1129</v>
      </c>
      <c r="B1" s="1068"/>
      <c r="C1" s="1068"/>
      <c r="D1" s="1068"/>
      <c r="E1" s="1068"/>
      <c r="F1" s="1068"/>
      <c r="G1" s="1068"/>
      <c r="H1" s="1068"/>
      <c r="I1" s="1068"/>
      <c r="J1" s="1068"/>
      <c r="K1" s="1068"/>
      <c r="L1" s="1068"/>
      <c r="M1" s="1068"/>
      <c r="N1" s="1068"/>
      <c r="O1" s="1068"/>
      <c r="P1" s="1068"/>
    </row>
    <row r="2" spans="1:16" ht="15">
      <c r="A2" s="3268" t="s">
        <v>1130</v>
      </c>
      <c r="B2" s="3268"/>
      <c r="C2" s="3268"/>
      <c r="D2" s="745" t="s">
        <v>1106</v>
      </c>
      <c r="E2" s="1519" t="s">
        <v>1107</v>
      </c>
      <c r="F2" s="2431"/>
      <c r="G2" s="2424"/>
      <c r="H2" s="2425"/>
      <c r="I2" s="2141" t="s">
        <v>1131</v>
      </c>
      <c r="J2" s="2431"/>
      <c r="K2" s="2431"/>
      <c r="L2" s="2431"/>
      <c r="M2" s="2431"/>
      <c r="N2" s="2432"/>
      <c r="O2" s="2431"/>
      <c r="P2" s="2431"/>
    </row>
    <row r="3" spans="1:16" ht="15.75" thickBot="1">
      <c r="A3" s="3269" t="s">
        <v>1104</v>
      </c>
      <c r="B3" s="3269"/>
      <c r="C3" s="3269"/>
      <c r="D3" s="41">
        <f>'数据-基础表'!AY6</f>
        <v>23493.01</v>
      </c>
      <c r="E3" s="41">
        <f>'数据-基础表'!AZ5</f>
        <v>108765.47999999998</v>
      </c>
      <c r="F3" s="2431"/>
      <c r="G3" s="42"/>
      <c r="H3" s="43" t="s">
        <v>1105</v>
      </c>
      <c r="I3" s="799">
        <f>ROUND('数据-基础表'!B3/'数据-基础表'!A3,2)</f>
        <v>4.63</v>
      </c>
      <c r="J3" s="2431"/>
      <c r="K3" s="2431"/>
      <c r="L3" s="2431"/>
      <c r="M3" s="2431"/>
      <c r="N3" s="2432"/>
      <c r="O3" s="2431"/>
      <c r="P3" s="2431"/>
    </row>
    <row r="4" spans="1:16" ht="15">
      <c r="A4" s="3270"/>
      <c r="B4" s="3271"/>
      <c r="C4" s="3272"/>
      <c r="D4" s="1520" t="s">
        <v>1106</v>
      </c>
      <c r="E4" s="1521" t="s">
        <v>1107</v>
      </c>
      <c r="F4" s="2431"/>
      <c r="G4" s="2426" t="s">
        <v>1132</v>
      </c>
      <c r="H4" s="43" t="s">
        <v>1112</v>
      </c>
      <c r="I4" s="799">
        <f>ROUND(SUMIF('数据-基础表'!I9:AS9,"地上",'数据-基础表'!I5:AS5)/'数据-基础表'!A3,2)</f>
        <v>3</v>
      </c>
      <c r="J4" s="2431"/>
      <c r="K4" s="2431"/>
      <c r="L4" s="2431"/>
      <c r="M4" s="2431"/>
      <c r="N4" s="2432"/>
      <c r="O4" s="2431"/>
      <c r="P4" s="2431"/>
    </row>
    <row r="5" spans="1:16">
      <c r="A5" s="42" t="s">
        <v>1108</v>
      </c>
      <c r="B5" s="3273" t="s">
        <v>1109</v>
      </c>
      <c r="C5" s="3273"/>
      <c r="D5" s="43">
        <f>ROUND($D$3*E5/$E$3,2)</f>
        <v>0</v>
      </c>
      <c r="E5" s="44">
        <f>SUMIF('数据-基础表'!$11:$11,"住宅",'数据-基础表'!$5:$5)</f>
        <v>0</v>
      </c>
      <c r="F5" s="2431"/>
      <c r="G5" s="42"/>
      <c r="H5" s="43" t="s">
        <v>1105</v>
      </c>
      <c r="I5" s="799">
        <f>ROUND(E31/D31,2)</f>
        <v>4.63</v>
      </c>
      <c r="J5" s="2431"/>
      <c r="K5" s="2431"/>
      <c r="L5" s="2431"/>
      <c r="M5" s="2431"/>
      <c r="N5" s="2431"/>
      <c r="O5" s="2431"/>
      <c r="P5" s="2431"/>
    </row>
    <row r="6" spans="1:16" ht="15" thickBot="1">
      <c r="A6" s="1523"/>
      <c r="B6" s="3273" t="s">
        <v>1110</v>
      </c>
      <c r="C6" s="3273"/>
      <c r="D6" s="43">
        <f>ROUND($D$3*E6/$E$3,2)</f>
        <v>23493.01</v>
      </c>
      <c r="E6" s="44">
        <f>E3-E5</f>
        <v>108765.47999999998</v>
      </c>
      <c r="F6" s="2431"/>
      <c r="G6" s="1525" t="s">
        <v>1111</v>
      </c>
      <c r="H6" s="45" t="s">
        <v>1112</v>
      </c>
      <c r="I6" s="2427">
        <f>ROUND(F31/D31,2)</f>
        <v>3</v>
      </c>
      <c r="J6" s="2431"/>
      <c r="K6" s="2431"/>
      <c r="L6" s="2431"/>
      <c r="M6" s="2431"/>
      <c r="N6" s="2431"/>
      <c r="O6" s="2431"/>
      <c r="P6" s="2431"/>
    </row>
    <row r="7" spans="1:16" ht="15.75" thickBot="1">
      <c r="A7" s="3265"/>
      <c r="B7" s="3266"/>
      <c r="C7" s="3267"/>
      <c r="D7" s="1520" t="s">
        <v>1106</v>
      </c>
      <c r="E7" s="1524" t="s">
        <v>1113</v>
      </c>
      <c r="F7" s="2431"/>
      <c r="G7" s="2428" t="s">
        <v>1114</v>
      </c>
      <c r="H7" s="95"/>
      <c r="I7" s="2429">
        <f>I4</f>
        <v>3</v>
      </c>
      <c r="J7" s="2431"/>
      <c r="K7" s="2431"/>
      <c r="L7" s="2431"/>
      <c r="M7" s="2431"/>
      <c r="N7" s="2431"/>
      <c r="O7" s="2431"/>
      <c r="P7" s="2431"/>
    </row>
    <row r="8" spans="1:16">
      <c r="A8" s="42" t="s">
        <v>1115</v>
      </c>
      <c r="B8" s="45" t="s">
        <v>1116</v>
      </c>
      <c r="C8" s="43" t="s">
        <v>1117</v>
      </c>
      <c r="D8" s="43">
        <f t="shared" ref="D8:D15" si="0">ROUND($D$3*E8/$E$3,2)</f>
        <v>15218.66</v>
      </c>
      <c r="E8" s="46">
        <f>SUMIF('数据-基础表'!BB10:BK10,"地上",'数据-基础表'!BB5:BK5)</f>
        <v>70457.77</v>
      </c>
      <c r="F8" s="2431"/>
      <c r="G8" s="2431"/>
      <c r="H8" s="2431"/>
      <c r="I8" s="2431"/>
      <c r="J8" s="2431"/>
      <c r="K8" s="2431"/>
      <c r="L8" s="2431"/>
      <c r="M8" s="2431"/>
      <c r="N8" s="2431"/>
      <c r="O8" s="2431"/>
      <c r="P8" s="2431"/>
    </row>
    <row r="9" spans="1:16">
      <c r="A9" s="1525"/>
      <c r="B9" s="1526"/>
      <c r="C9" s="43" t="s">
        <v>1118</v>
      </c>
      <c r="D9" s="43">
        <f t="shared" si="0"/>
        <v>0</v>
      </c>
      <c r="E9" s="47">
        <v>0</v>
      </c>
      <c r="F9" s="2431"/>
      <c r="G9" s="2431"/>
      <c r="H9" s="2431"/>
      <c r="I9" s="2431"/>
      <c r="J9" s="2431"/>
      <c r="K9" s="2431"/>
      <c r="L9" s="2431"/>
      <c r="M9" s="2431"/>
      <c r="N9" s="2431"/>
      <c r="O9" s="2431"/>
      <c r="P9" s="2431"/>
    </row>
    <row r="10" spans="1:16">
      <c r="A10" s="1525"/>
      <c r="B10" s="1526"/>
      <c r="C10" s="43" t="s">
        <v>1127</v>
      </c>
      <c r="D10" s="43">
        <f t="shared" si="0"/>
        <v>2127.36</v>
      </c>
      <c r="E10" s="46">
        <f>SUMPRODUCT(('数据-基础表'!BB10:BK10="地下")*('数据-基础表'!BB11:BK11="商业")*('数据-基础表'!BB5:BK5))</f>
        <v>9849.01</v>
      </c>
      <c r="F10" s="2431"/>
      <c r="G10" s="2431"/>
      <c r="H10" s="2431"/>
      <c r="I10" s="2431"/>
      <c r="J10" s="2431"/>
      <c r="K10" s="2431"/>
      <c r="L10" s="2431"/>
      <c r="M10" s="2431"/>
      <c r="N10" s="2431"/>
      <c r="O10" s="2431"/>
      <c r="P10" s="2431"/>
    </row>
    <row r="11" spans="1:16">
      <c r="A11" s="1525"/>
      <c r="B11" s="1526"/>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1121</v>
      </c>
      <c r="D13" s="43">
        <f t="shared" si="0"/>
        <v>6146.99</v>
      </c>
      <c r="E13" s="46">
        <f>SUMPRODUCT(('数据-基础表'!BB10:BK10="地下")*('数据-基础表'!BB11:BK11="车库")*('数据-基础表'!BB5:BK5))</f>
        <v>28458.699999999997</v>
      </c>
      <c r="F13" s="2431"/>
      <c r="G13" s="2431"/>
      <c r="H13" s="2431"/>
      <c r="I13" s="2431"/>
      <c r="J13" s="2431"/>
      <c r="K13" s="2431"/>
      <c r="L13" s="2431"/>
      <c r="M13" s="2431"/>
      <c r="N13" s="2431"/>
      <c r="O13" s="2431"/>
      <c r="P13" s="2431"/>
    </row>
    <row r="14" spans="1:16">
      <c r="A14" s="1525"/>
      <c r="B14" s="1526"/>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1122</v>
      </c>
      <c r="D16" s="45">
        <f>SUM(D8:D15)</f>
        <v>23493.010000000002</v>
      </c>
      <c r="E16" s="48">
        <f>SUM(E8:E15)</f>
        <v>108765.48</v>
      </c>
      <c r="F16" s="2431"/>
      <c r="G16" s="2431"/>
      <c r="H16" s="1527" t="s">
        <v>1134</v>
      </c>
      <c r="I16" s="1528"/>
      <c r="J16" s="1068"/>
      <c r="K16" s="3262" t="s">
        <v>1134</v>
      </c>
      <c r="L16" s="3263"/>
      <c r="M16" s="3263"/>
      <c r="N16" s="3263"/>
      <c r="O16" s="3263"/>
      <c r="P16" s="3264"/>
    </row>
    <row r="17" spans="1:19" ht="15">
      <c r="A17" s="1529" t="s">
        <v>1135</v>
      </c>
      <c r="B17" s="1530" t="s">
        <v>1136</v>
      </c>
      <c r="C17" s="1531" t="s">
        <v>1137</v>
      </c>
      <c r="D17" s="1532" t="s">
        <v>1125</v>
      </c>
      <c r="E17" s="1533" t="s">
        <v>1126</v>
      </c>
      <c r="F17" s="1534"/>
      <c r="G17" s="1535"/>
      <c r="H17" s="1536" t="s">
        <v>1138</v>
      </c>
      <c r="I17" s="1537" t="s">
        <v>1123</v>
      </c>
      <c r="J17" s="1068"/>
      <c r="K17" s="3259" t="s">
        <v>1139</v>
      </c>
      <c r="L17" s="3260"/>
      <c r="M17" s="3261"/>
      <c r="N17" s="3259" t="s">
        <v>1140</v>
      </c>
      <c r="O17" s="3260"/>
      <c r="P17" s="3261"/>
      <c r="R17" s="766" t="s">
        <v>1141</v>
      </c>
      <c r="S17" s="54"/>
    </row>
    <row r="18" spans="1:19" ht="15">
      <c r="A18" s="1525"/>
      <c r="B18" s="1522"/>
      <c r="C18" s="1538"/>
      <c r="D18" s="1539"/>
      <c r="E18" s="1540" t="s">
        <v>1142</v>
      </c>
      <c r="F18" s="1541" t="s">
        <v>1143</v>
      </c>
      <c r="G18" s="1542" t="s">
        <v>1144</v>
      </c>
      <c r="H18" s="977" t="s">
        <v>1145</v>
      </c>
      <c r="I18" s="1543" t="s">
        <v>1146</v>
      </c>
      <c r="J18" s="1068"/>
      <c r="K18" s="977" t="s">
        <v>1147</v>
      </c>
      <c r="L18" s="1544" t="s">
        <v>1148</v>
      </c>
      <c r="M18" s="799" t="s">
        <v>1149</v>
      </c>
      <c r="N18" s="977" t="s">
        <v>1147</v>
      </c>
      <c r="O18" s="1544" t="s">
        <v>1148</v>
      </c>
      <c r="P18" s="799" t="s">
        <v>1149</v>
      </c>
      <c r="R18" s="43" t="s">
        <v>1150</v>
      </c>
      <c r="S18" s="43" t="s">
        <v>1151</v>
      </c>
    </row>
    <row r="19" spans="1:19">
      <c r="A19" s="1545"/>
      <c r="B19" s="45" t="s">
        <v>1124</v>
      </c>
      <c r="C19" s="3078" t="s">
        <v>2603</v>
      </c>
      <c r="D19" s="43">
        <f>ROUND($D$3*E19/$E$3,2)</f>
        <v>7308.4</v>
      </c>
      <c r="E19" s="51">
        <f t="shared" ref="E19:E26" si="1">SUM(F19:G19)</f>
        <v>33835.67</v>
      </c>
      <c r="F19" s="2549">
        <f>'数据-基础表'!I5</f>
        <v>23986.66</v>
      </c>
      <c r="G19" s="1239">
        <f>'数据-基础表'!M19</f>
        <v>9849.01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6"/>
      <c r="O19" s="1547"/>
      <c r="P19" s="46">
        <f>N19+O19</f>
        <v>0</v>
      </c>
      <c r="R19" s="43">
        <f t="shared" ref="R19:S26" si="5">D19+H19</f>
        <v>7308.4</v>
      </c>
      <c r="S19" s="51">
        <f t="shared" si="5"/>
        <v>33835.67</v>
      </c>
    </row>
    <row r="20" spans="1:19">
      <c r="A20" s="1545"/>
      <c r="B20" s="45" t="s">
        <v>1152</v>
      </c>
      <c r="C20" s="3078" t="s">
        <v>460</v>
      </c>
      <c r="D20" s="43">
        <f t="shared" ref="D20:D26" si="6">ROUND($D$3*E20/$E$3,2)</f>
        <v>10037.620000000001</v>
      </c>
      <c r="E20" s="51">
        <f t="shared" si="1"/>
        <v>46471.11</v>
      </c>
      <c r="F20" s="2549">
        <f>'数据-基础表'!K5</f>
        <v>46471.11</v>
      </c>
      <c r="G20" s="1239"/>
      <c r="H20" s="637">
        <f t="shared" ref="H20:H26" si="7">ROUND($D$3*I20/$E$3,2)</f>
        <v>0</v>
      </c>
      <c r="I20" s="46">
        <f t="shared" si="2"/>
        <v>0</v>
      </c>
      <c r="J20" s="1068"/>
      <c r="K20" s="637">
        <f t="shared" si="3"/>
        <v>0</v>
      </c>
      <c r="L20" s="43">
        <f t="shared" si="4"/>
        <v>0</v>
      </c>
      <c r="M20" s="46">
        <f t="shared" ref="M20:M26" si="8">K20+L20</f>
        <v>0</v>
      </c>
      <c r="N20" s="1546"/>
      <c r="O20" s="1547"/>
      <c r="P20" s="46">
        <f t="shared" ref="P20:P26" si="9">N20+O20</f>
        <v>0</v>
      </c>
      <c r="R20" s="43">
        <f t="shared" si="5"/>
        <v>10037.620000000001</v>
      </c>
      <c r="S20" s="51">
        <f t="shared" si="5"/>
        <v>46471.11</v>
      </c>
    </row>
    <row r="21" spans="1:19">
      <c r="A21" s="1545"/>
      <c r="B21" s="45" t="s">
        <v>1152</v>
      </c>
      <c r="C21" s="3078" t="s">
        <v>3395</v>
      </c>
      <c r="D21" s="43">
        <f t="shared" si="6"/>
        <v>6146.99</v>
      </c>
      <c r="E21" s="51">
        <f t="shared" si="1"/>
        <v>28458.699999999997</v>
      </c>
      <c r="F21" s="2549"/>
      <c r="G21" s="1239">
        <f>'数据-基础表'!O19</f>
        <v>28458.699999999997</v>
      </c>
      <c r="H21" s="637">
        <f t="shared" si="7"/>
        <v>0</v>
      </c>
      <c r="I21" s="46">
        <f t="shared" si="2"/>
        <v>0</v>
      </c>
      <c r="J21" s="1068"/>
      <c r="K21" s="637">
        <f t="shared" si="3"/>
        <v>0</v>
      </c>
      <c r="L21" s="43">
        <f t="shared" si="4"/>
        <v>0</v>
      </c>
      <c r="M21" s="46">
        <f t="shared" si="8"/>
        <v>0</v>
      </c>
      <c r="N21" s="1546"/>
      <c r="O21" s="1547"/>
      <c r="P21" s="46">
        <f t="shared" si="9"/>
        <v>0</v>
      </c>
      <c r="R21" s="43">
        <f t="shared" si="5"/>
        <v>6146.99</v>
      </c>
      <c r="S21" s="51">
        <f t="shared" si="5"/>
        <v>28458.699999999997</v>
      </c>
    </row>
    <row r="22" spans="1:19">
      <c r="A22" s="1545"/>
      <c r="B22" s="45" t="s">
        <v>1152</v>
      </c>
      <c r="C22" s="3079"/>
      <c r="D22" s="43">
        <f t="shared" si="6"/>
        <v>0</v>
      </c>
      <c r="E22" s="51">
        <f t="shared" si="1"/>
        <v>0</v>
      </c>
      <c r="F22" s="2550"/>
      <c r="G22" s="2551"/>
      <c r="H22" s="637">
        <f t="shared" si="7"/>
        <v>0</v>
      </c>
      <c r="I22" s="46">
        <f t="shared" si="2"/>
        <v>0</v>
      </c>
      <c r="J22" s="1068"/>
      <c r="K22" s="637">
        <f t="shared" si="3"/>
        <v>0</v>
      </c>
      <c r="L22" s="43">
        <f t="shared" si="4"/>
        <v>0</v>
      </c>
      <c r="M22" s="46">
        <f t="shared" si="8"/>
        <v>0</v>
      </c>
      <c r="N22" s="1546"/>
      <c r="O22" s="1547"/>
      <c r="P22" s="46">
        <f t="shared" si="9"/>
        <v>0</v>
      </c>
      <c r="R22" s="43">
        <f t="shared" si="5"/>
        <v>0</v>
      </c>
      <c r="S22" s="51">
        <f t="shared" si="5"/>
        <v>0</v>
      </c>
    </row>
    <row r="23" spans="1:19">
      <c r="A23" s="1545"/>
      <c r="B23" s="45" t="s">
        <v>1152</v>
      </c>
      <c r="C23" s="3079"/>
      <c r="D23" s="43">
        <f>ROUND($D$3*E23/$E$3,2)</f>
        <v>0</v>
      </c>
      <c r="E23" s="51">
        <f>SUM(F23:G23)</f>
        <v>0</v>
      </c>
      <c r="F23" s="2550"/>
      <c r="G23" s="2551"/>
      <c r="H23" s="637">
        <f>ROUND($D$3*I23/$E$3,2)</f>
        <v>0</v>
      </c>
      <c r="I23" s="46">
        <f t="shared" si="2"/>
        <v>0</v>
      </c>
      <c r="J23" s="1068"/>
      <c r="K23" s="637">
        <f t="shared" si="3"/>
        <v>0</v>
      </c>
      <c r="L23" s="43">
        <f t="shared" si="4"/>
        <v>0</v>
      </c>
      <c r="M23" s="46">
        <f t="shared" si="8"/>
        <v>0</v>
      </c>
      <c r="N23" s="1546"/>
      <c r="O23" s="1547"/>
      <c r="P23" s="46">
        <f t="shared" si="9"/>
        <v>0</v>
      </c>
      <c r="R23" s="43">
        <f t="shared" si="5"/>
        <v>0</v>
      </c>
      <c r="S23" s="51">
        <f t="shared" si="5"/>
        <v>0</v>
      </c>
    </row>
    <row r="24" spans="1:19">
      <c r="A24" s="1545"/>
      <c r="B24" s="45" t="s">
        <v>1152</v>
      </c>
      <c r="C24" s="3079"/>
      <c r="D24" s="43">
        <f>ROUND($D$3*E24/$E$3,2)</f>
        <v>0</v>
      </c>
      <c r="E24" s="51">
        <f>SUM(F24:G24)</f>
        <v>0</v>
      </c>
      <c r="F24" s="2550"/>
      <c r="G24" s="2551"/>
      <c r="H24" s="637">
        <f>ROUND($D$3*I24/$E$3,2)</f>
        <v>0</v>
      </c>
      <c r="I24" s="46">
        <f t="shared" si="2"/>
        <v>0</v>
      </c>
      <c r="J24" s="1068"/>
      <c r="K24" s="637">
        <f t="shared" si="3"/>
        <v>0</v>
      </c>
      <c r="L24" s="43">
        <f t="shared" si="4"/>
        <v>0</v>
      </c>
      <c r="M24" s="46">
        <f t="shared" si="8"/>
        <v>0</v>
      </c>
      <c r="N24" s="1546"/>
      <c r="O24" s="1547"/>
      <c r="P24" s="46">
        <f t="shared" si="9"/>
        <v>0</v>
      </c>
      <c r="R24" s="43">
        <f t="shared" si="5"/>
        <v>0</v>
      </c>
      <c r="S24" s="51">
        <f t="shared" si="5"/>
        <v>0</v>
      </c>
    </row>
    <row r="25" spans="1:19">
      <c r="A25" s="1545"/>
      <c r="B25" s="45" t="s">
        <v>1152</v>
      </c>
      <c r="C25" s="3079"/>
      <c r="D25" s="43">
        <f t="shared" si="6"/>
        <v>0</v>
      </c>
      <c r="E25" s="51">
        <f t="shared" si="1"/>
        <v>0</v>
      </c>
      <c r="F25" s="2550"/>
      <c r="G25" s="2551"/>
      <c r="H25" s="42">
        <f t="shared" si="7"/>
        <v>0</v>
      </c>
      <c r="I25" s="46">
        <f t="shared" si="2"/>
        <v>0</v>
      </c>
      <c r="J25" s="1068"/>
      <c r="K25" s="637">
        <f t="shared" si="3"/>
        <v>0</v>
      </c>
      <c r="L25" s="43">
        <f t="shared" si="4"/>
        <v>0</v>
      </c>
      <c r="M25" s="46">
        <f t="shared" si="8"/>
        <v>0</v>
      </c>
      <c r="N25" s="1546"/>
      <c r="O25" s="1547"/>
      <c r="P25" s="46">
        <f t="shared" si="9"/>
        <v>0</v>
      </c>
      <c r="R25" s="43">
        <f t="shared" si="5"/>
        <v>0</v>
      </c>
      <c r="S25" s="51">
        <f t="shared" si="5"/>
        <v>0</v>
      </c>
    </row>
    <row r="26" spans="1:19">
      <c r="A26" s="1545"/>
      <c r="B26" s="45" t="s">
        <v>1152</v>
      </c>
      <c r="C26" s="53"/>
      <c r="D26" s="43">
        <f t="shared" si="6"/>
        <v>0</v>
      </c>
      <c r="E26" s="51">
        <f t="shared" si="1"/>
        <v>0</v>
      </c>
      <c r="F26" s="2550"/>
      <c r="G26" s="2551"/>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1153</v>
      </c>
      <c r="D27" s="1069">
        <f>SUM(D19:D26)</f>
        <v>23493.010000000002</v>
      </c>
      <c r="E27" s="1070">
        <f>IF(SUM(E19:E26)='数据-基础表'!BA5,SUM(E19:E26),IF(F27="地上面积有误","面积有误","地下面积有误"))</f>
        <v>108765.48</v>
      </c>
      <c r="F27" s="1069">
        <f>IF(SUM(F19:F26)=E8,SUM(F19:F26),"地上面积有误")</f>
        <v>70457.77</v>
      </c>
      <c r="G27" s="1071">
        <f>SUM(G19:G26)</f>
        <v>38307.71</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23493.010000000002</v>
      </c>
      <c r="S27" s="43">
        <f>IF(SUM(S19:S26)=$E$3,SUM(S19:S26),SUM(S19:S26)&amp;"误差"&amp;ROUND(SUM(S19:S26)-E3,2))</f>
        <v>108765.48</v>
      </c>
    </row>
    <row r="28" spans="1:19">
      <c r="A28" s="1545"/>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1154</v>
      </c>
      <c r="C29" s="1551"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1153</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1157</v>
      </c>
      <c r="D31" s="643">
        <f>D27+D30</f>
        <v>23493.010000000002</v>
      </c>
      <c r="E31" s="643">
        <f>E27+E30</f>
        <v>108765.48</v>
      </c>
      <c r="F31" s="644">
        <f>F27+F30</f>
        <v>70457.77</v>
      </c>
      <c r="G31" s="645">
        <f>G27+G30</f>
        <v>38307.71</v>
      </c>
      <c r="H31" s="2431"/>
      <c r="I31" s="2431"/>
      <c r="J31" s="2431"/>
      <c r="K31" s="2431"/>
      <c r="L31" s="2431"/>
      <c r="M31" s="2431"/>
      <c r="N31" s="2431"/>
      <c r="O31" s="2431"/>
      <c r="P31" s="2431"/>
    </row>
    <row r="32" spans="1:19">
      <c r="A32" s="1522"/>
      <c r="B32" s="1522" t="s">
        <v>1158</v>
      </c>
      <c r="C32" s="1522"/>
      <c r="D32" s="1522"/>
      <c r="E32" s="987">
        <f>SUMIF(C19:C26,"*住宅*",E19:E26)</f>
        <v>0</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9.1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1159</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0"/>
      <c r="AO1" s="2440"/>
      <c r="AP1" s="2440"/>
      <c r="AQ1" s="2440"/>
      <c r="AR1" s="2440"/>
    </row>
    <row r="2" spans="1:67" s="1447" customFormat="1" ht="15.75" thickBot="1">
      <c r="A2" s="1558" t="s">
        <v>1160</v>
      </c>
      <c r="B2" s="981">
        <f>项目基本情况!D3</f>
        <v>45635</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1161</v>
      </c>
      <c r="B4" s="1560"/>
      <c r="C4" s="1561"/>
      <c r="D4" s="1562"/>
      <c r="E4" s="1561" t="s">
        <v>1162</v>
      </c>
      <c r="F4" s="1561"/>
      <c r="G4" s="1561"/>
      <c r="H4" s="1561"/>
      <c r="I4" s="1561"/>
      <c r="J4" s="1563"/>
      <c r="K4" s="1564"/>
      <c r="L4" s="1565"/>
      <c r="M4" s="1561"/>
      <c r="N4" s="1561" t="s">
        <v>1163</v>
      </c>
      <c r="O4" s="1561"/>
      <c r="P4" s="1561"/>
      <c r="Q4" s="1561"/>
      <c r="R4" s="1561"/>
      <c r="S4" s="1563"/>
      <c r="T4" s="2430" t="str">
        <f>'数据-汇总表'!I17</f>
        <v>按面积比例</v>
      </c>
      <c r="U4" s="1560" t="s">
        <v>1164</v>
      </c>
      <c r="V4" s="1561"/>
      <c r="W4" s="1561"/>
      <c r="X4" s="1561"/>
      <c r="Y4" s="1563"/>
      <c r="Z4" s="1531" t="s">
        <v>1165</v>
      </c>
      <c r="AA4" s="1531"/>
      <c r="AB4" s="1531"/>
      <c r="AC4" s="1531"/>
      <c r="AD4" s="1531"/>
      <c r="AE4" s="1529" t="s">
        <v>1166</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1167</v>
      </c>
      <c r="B5" s="1568" t="s">
        <v>1168</v>
      </c>
      <c r="C5" s="1569" t="s">
        <v>1169</v>
      </c>
      <c r="D5" s="1570" t="s">
        <v>1170</v>
      </c>
      <c r="E5" s="504" t="s">
        <v>1171</v>
      </c>
      <c r="F5" s="1571" t="s">
        <v>1172</v>
      </c>
      <c r="G5" s="504" t="s">
        <v>1173</v>
      </c>
      <c r="H5" s="504" t="s">
        <v>1174</v>
      </c>
      <c r="I5" s="504" t="s">
        <v>1175</v>
      </c>
      <c r="J5" s="1243" t="s">
        <v>1176</v>
      </c>
      <c r="K5" s="1572" t="s">
        <v>1177</v>
      </c>
      <c r="L5" s="1573" t="s">
        <v>1178</v>
      </c>
      <c r="M5" s="1574" t="s">
        <v>1179</v>
      </c>
      <c r="N5" s="1575" t="s">
        <v>3636</v>
      </c>
      <c r="O5" s="1573" t="s">
        <v>1180</v>
      </c>
      <c r="P5" s="1576" t="s">
        <v>1181</v>
      </c>
      <c r="Q5" s="58" t="s">
        <v>1182</v>
      </c>
      <c r="R5" s="1577" t="s">
        <v>1183</v>
      </c>
      <c r="S5" s="1578" t="s">
        <v>1184</v>
      </c>
      <c r="T5" s="1579" t="s">
        <v>1185</v>
      </c>
      <c r="U5" s="982" t="s">
        <v>1186</v>
      </c>
      <c r="V5" s="504" t="s">
        <v>1187</v>
      </c>
      <c r="W5" s="504" t="s">
        <v>1188</v>
      </c>
      <c r="X5" s="60"/>
      <c r="Y5" s="59" t="s">
        <v>1189</v>
      </c>
      <c r="Z5" s="1097" t="s">
        <v>1186</v>
      </c>
      <c r="AA5" s="504" t="s">
        <v>1187</v>
      </c>
      <c r="AB5" s="504" t="s">
        <v>1188</v>
      </c>
      <c r="AC5" s="60"/>
      <c r="AD5" s="60" t="s">
        <v>1189</v>
      </c>
      <c r="AE5" s="982" t="s">
        <v>1190</v>
      </c>
      <c r="AF5" s="504" t="s">
        <v>1191</v>
      </c>
      <c r="AG5" s="59" t="s">
        <v>1192</v>
      </c>
      <c r="AH5" s="982" t="s">
        <v>1193</v>
      </c>
      <c r="AI5" s="1097" t="s">
        <v>1194</v>
      </c>
      <c r="AJ5" s="1097" t="s">
        <v>1195</v>
      </c>
      <c r="AK5" s="504" t="s">
        <v>1196</v>
      </c>
      <c r="AL5" s="504" t="s">
        <v>1197</v>
      </c>
      <c r="AM5" s="59" t="s">
        <v>1198</v>
      </c>
      <c r="AN5" s="1580" t="s">
        <v>1199</v>
      </c>
      <c r="AO5" s="1450" t="s">
        <v>1200</v>
      </c>
      <c r="AP5" s="965" t="s">
        <v>1201</v>
      </c>
      <c r="AQ5" s="1581" t="s">
        <v>1202</v>
      </c>
      <c r="AR5" s="1581"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商业</v>
      </c>
      <c r="B6" s="1583" t="str">
        <f>IF(A6=0,"","经营性")</f>
        <v>经营性</v>
      </c>
      <c r="C6" s="1584" t="s">
        <v>673</v>
      </c>
      <c r="D6" s="802">
        <f>SUMIF(项目基本情况!C$12:I$12,C6,项目基本情况!C$14:I$14)</f>
        <v>40</v>
      </c>
      <c r="E6" s="801">
        <f>IF(B6="","",SUMIF(项目基本情况!C$12:I$12,C6,项目基本情况!C$13:I$13))</f>
        <v>56366</v>
      </c>
      <c r="F6" s="61">
        <f>SUMIF(项目基本情况!C$12:I$12,C6,项目基本情况!C$15:I$15)</f>
        <v>29.4</v>
      </c>
      <c r="G6" s="62">
        <f t="shared" ref="G6:G13" si="0">IF(ISERROR(ROUND(POWER(1+H6,D6-F6)*(POWER(1+H6,F6)-1)/(POWER(1+H6,D6)-1),3)),0,ROUND(POWER(1+H6,D6-F6)*(POWER(1+H6,F6)-1)/(POWER(1+H6,D6)-1),3))</f>
        <v>0.88800000000000001</v>
      </c>
      <c r="H6" s="691">
        <v>0.05</v>
      </c>
      <c r="I6" s="691">
        <v>5.5E-2</v>
      </c>
      <c r="J6" s="63">
        <v>7.0000000000000007E-2</v>
      </c>
      <c r="K6" s="967">
        <f>SUMIF('数据-汇总表'!C$19:C$33,A6,'数据-汇总表'!E$19:E$33)</f>
        <v>33835.67</v>
      </c>
      <c r="L6" s="692">
        <v>5500</v>
      </c>
      <c r="M6" s="64">
        <f t="shared" ref="M6:M14" si="1">ROUND(K6*L6/10000,0)</f>
        <v>18610</v>
      </c>
      <c r="N6" s="690">
        <v>0.99</v>
      </c>
      <c r="O6" s="64">
        <f>IF($N$5="成新度","——",ROUND(M6*N6,0))</f>
        <v>18424</v>
      </c>
      <c r="P6" s="65">
        <f>IF($N$5="成新度","——",M6-O6)</f>
        <v>186</v>
      </c>
      <c r="Q6" s="693">
        <v>0.2</v>
      </c>
      <c r="R6" s="66">
        <f ca="1">SUMIF('数据-汇总表'!C$19:C$33,A6,'数据-汇总表'!R$19:R$27)</f>
        <v>7308.4</v>
      </c>
      <c r="S6" s="49">
        <f>IF('数据-汇总表'!$I$17="按面积比例",SUMIF('数据-汇总表'!C$19:C$33,A6,'数据-汇总表'!K$19:K$33),SUMIF('数据-汇总表'!C$19:C$33,A6,'数据-汇总表'!N$19:N$33))</f>
        <v>0</v>
      </c>
      <c r="T6" s="1089">
        <f>ROUND($L$14*S6/10000,0)</f>
        <v>0</v>
      </c>
      <c r="U6" s="3175">
        <v>6</v>
      </c>
      <c r="V6" s="68">
        <v>0.02</v>
      </c>
      <c r="W6" s="68">
        <v>0.1</v>
      </c>
      <c r="X6" s="976"/>
      <c r="Y6" s="68">
        <v>1</v>
      </c>
      <c r="Z6" s="69"/>
      <c r="AA6" s="63"/>
      <c r="AB6" s="63"/>
      <c r="AC6" s="976"/>
      <c r="AD6" s="70"/>
      <c r="AE6" s="977">
        <f ca="1">IF(AN6="",0,SUMIF(INDIRECT("'"&amp;AN6&amp;"'"&amp;"!E:E"),$AE$5,INDIRECT("'"&amp;AN6&amp;"'"&amp;"!F:F")))</f>
        <v>29.4</v>
      </c>
      <c r="AF6" s="74"/>
      <c r="AG6" s="130">
        <f>IF(AF6="",0,AE6-AF6)</f>
        <v>0</v>
      </c>
      <c r="AH6" s="71"/>
      <c r="AI6" s="73">
        <v>365</v>
      </c>
      <c r="AJ6" s="74"/>
      <c r="AK6" s="75">
        <v>5.0000000000000001E-3</v>
      </c>
      <c r="AL6" s="76">
        <v>1E-3</v>
      </c>
      <c r="AM6" s="77">
        <v>5.0000000000000001E-3</v>
      </c>
      <c r="AN6" s="1585" t="s">
        <v>3396</v>
      </c>
      <c r="AO6" s="50">
        <f ca="1">SUMIF(INDIRECT("'"&amp;AN6&amp;"'"&amp;"!A:A"),"总价",INDIRECT("'"&amp;AN6&amp;"'"&amp;"!B:B"))</f>
        <v>96023</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办公</v>
      </c>
      <c r="B7" s="1583" t="str">
        <f t="shared" ref="B7:B13" si="2">IF(A7=0,"","经营性")</f>
        <v>经营性</v>
      </c>
      <c r="C7" s="1584" t="s">
        <v>21</v>
      </c>
      <c r="D7" s="802">
        <f>SUMIF(项目基本情况!C$12:I$12,C7,项目基本情况!C$14:I$14)</f>
        <v>50</v>
      </c>
      <c r="E7" s="801">
        <f>IF(B7="","",SUMIF(项目基本情况!C$12:I$12,C7,项目基本情况!C$13:I$13))</f>
        <v>60019</v>
      </c>
      <c r="F7" s="61">
        <f>SUMIF(项目基本情况!C$12:I$12,C7,项目基本情况!C$15:I$15)</f>
        <v>39.4</v>
      </c>
      <c r="G7" s="62">
        <f t="shared" si="0"/>
        <v>0.93500000000000005</v>
      </c>
      <c r="H7" s="691">
        <v>0.05</v>
      </c>
      <c r="I7" s="691">
        <v>5.5E-2</v>
      </c>
      <c r="J7" s="63">
        <v>7.0000000000000007E-2</v>
      </c>
      <c r="K7" s="967">
        <f>SUMIF('数据-汇总表'!C$19:C$33,A7,'数据-汇总表'!E$19:E$33)</f>
        <v>46471.11</v>
      </c>
      <c r="L7" s="692">
        <f>L6</f>
        <v>5500</v>
      </c>
      <c r="M7" s="64">
        <f t="shared" si="1"/>
        <v>25559</v>
      </c>
      <c r="N7" s="690">
        <f>N6</f>
        <v>0.99</v>
      </c>
      <c r="O7" s="64">
        <f t="shared" ref="O7:O14" si="3">IF($N$5="成新度","——",ROUND(M7*N7,0))</f>
        <v>25303</v>
      </c>
      <c r="P7" s="65">
        <f t="shared" ref="P7:P14" si="4">IF($N$5="成新度","——",M7-O7)</f>
        <v>256</v>
      </c>
      <c r="Q7" s="693">
        <v>0.15</v>
      </c>
      <c r="R7" s="66">
        <f ca="1">SUMIF('数据-汇总表'!C$19:C$33,A7,'数据-汇总表'!R$19:R$27)</f>
        <v>10037.620000000001</v>
      </c>
      <c r="S7" s="49">
        <f>IF('数据-汇总表'!$I$17="按面积比例",SUMIF('数据-汇总表'!C$19:C$33,A7,'数据-汇总表'!K$19:K$33),SUMIF('数据-汇总表'!C$19:C$33,A7,'数据-汇总表'!N$19:N$33))</f>
        <v>0</v>
      </c>
      <c r="T7" s="1089">
        <f t="shared" ref="T7:T13" si="5">ROUND($L$14*S7/10000,0)</f>
        <v>0</v>
      </c>
      <c r="U7" s="3175">
        <v>4</v>
      </c>
      <c r="V7" s="68">
        <v>0.02</v>
      </c>
      <c r="W7" s="68">
        <v>0.1</v>
      </c>
      <c r="X7" s="976"/>
      <c r="Y7" s="68">
        <v>1</v>
      </c>
      <c r="Z7" s="69"/>
      <c r="AA7" s="63"/>
      <c r="AB7" s="63"/>
      <c r="AC7" s="976"/>
      <c r="AD7" s="70"/>
      <c r="AE7" s="977">
        <f t="shared" ref="AE7:AE13" ca="1" si="6">IF(AN7="",0,SUMIF(INDIRECT("'"&amp;AN7&amp;"'"&amp;"!E:E"),$AE$5,INDIRECT("'"&amp;AN7&amp;"'"&amp;"!F:F")))</f>
        <v>39.4</v>
      </c>
      <c r="AF7" s="74"/>
      <c r="AG7" s="130">
        <f t="shared" ref="AG7:AG13" si="7">IF(AF7="",0,AE7-AF7)</f>
        <v>0</v>
      </c>
      <c r="AH7" s="71"/>
      <c r="AI7" s="73">
        <v>365</v>
      </c>
      <c r="AJ7" s="74"/>
      <c r="AK7" s="75">
        <f>AK6</f>
        <v>5.0000000000000001E-3</v>
      </c>
      <c r="AL7" s="76">
        <v>1E-3</v>
      </c>
      <c r="AM7" s="77">
        <v>5.0000000000000001E-3</v>
      </c>
      <c r="AN7" s="1585" t="s">
        <v>3397</v>
      </c>
      <c r="AO7" s="50">
        <f t="shared" ref="AO7:AO13" ca="1" si="8">SUMIF(INDIRECT("'"&amp;AN7&amp;"'"&amp;"!A:A"),"总价",INDIRECT("'"&amp;AN7&amp;"'"&amp;"!B:B"))</f>
        <v>101224</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2"/>
        <v>经营性</v>
      </c>
      <c r="C8" s="1584" t="s">
        <v>3329</v>
      </c>
      <c r="D8" s="802">
        <f>SUMIF(项目基本情况!C$12:I$12,C8,项目基本情况!C$14:I$14)</f>
        <v>50</v>
      </c>
      <c r="E8" s="801">
        <f>IF(B8="","",SUMIF(项目基本情况!C$12:I$12,C8,项目基本情况!C$13:I$13))</f>
        <v>60019</v>
      </c>
      <c r="F8" s="61">
        <f>SUMIF(项目基本情况!C$12:I$12,C8,项目基本情况!C$15:I$15)</f>
        <v>39.4</v>
      </c>
      <c r="G8" s="62">
        <f t="shared" si="0"/>
        <v>0.92600000000000005</v>
      </c>
      <c r="H8" s="691">
        <v>4.4999999999999998E-2</v>
      </c>
      <c r="I8" s="691">
        <v>0.05</v>
      </c>
      <c r="J8" s="63">
        <v>7.0000000000000007E-2</v>
      </c>
      <c r="K8" s="967">
        <f>SUMIF('数据-汇总表'!C$19:C$33,A8,'数据-汇总表'!E$19:E$33)</f>
        <v>28458.699999999997</v>
      </c>
      <c r="L8" s="692">
        <v>5000</v>
      </c>
      <c r="M8" s="64">
        <f>ROUND(K8*L8/10000,0)</f>
        <v>14229</v>
      </c>
      <c r="N8" s="690">
        <f>N7</f>
        <v>0.99</v>
      </c>
      <c r="O8" s="64">
        <f t="shared" si="3"/>
        <v>14087</v>
      </c>
      <c r="P8" s="65">
        <f t="shared" si="4"/>
        <v>142</v>
      </c>
      <c r="Q8" s="693">
        <v>0.08</v>
      </c>
      <c r="R8" s="66">
        <f ca="1">SUMIF('数据-汇总表'!C$19:C$33,A8,'数据-汇总表'!R$19:R$27)</f>
        <v>6146.99</v>
      </c>
      <c r="S8" s="49">
        <f>IF('数据-汇总表'!$I$17="按面积比例",SUMIF('数据-汇总表'!C$19:C$33,A8,'数据-汇总表'!K$19:K$33),SUMIF('数据-汇总表'!C$19:C$33,A8,'数据-汇总表'!N$19:N$33))</f>
        <v>0</v>
      </c>
      <c r="T8" s="1089">
        <f t="shared" si="5"/>
        <v>0</v>
      </c>
      <c r="U8" s="3175">
        <v>900</v>
      </c>
      <c r="V8" s="68">
        <v>0.02</v>
      </c>
      <c r="W8" s="68">
        <v>0.1</v>
      </c>
      <c r="X8" s="976"/>
      <c r="Y8" s="68">
        <v>1</v>
      </c>
      <c r="Z8" s="69"/>
      <c r="AA8" s="63"/>
      <c r="AB8" s="63"/>
      <c r="AC8" s="976"/>
      <c r="AD8" s="70"/>
      <c r="AE8" s="977">
        <f t="shared" ca="1" si="6"/>
        <v>39.4</v>
      </c>
      <c r="AF8" s="74"/>
      <c r="AG8" s="130">
        <f t="shared" si="7"/>
        <v>0</v>
      </c>
      <c r="AH8" s="694">
        <v>826</v>
      </c>
      <c r="AI8" s="73">
        <v>12</v>
      </c>
      <c r="AJ8" s="74"/>
      <c r="AK8" s="75">
        <f>AK6</f>
        <v>5.0000000000000001E-3</v>
      </c>
      <c r="AL8" s="76">
        <v>1E-3</v>
      </c>
      <c r="AM8" s="77">
        <v>5.0000000000000001E-3</v>
      </c>
      <c r="AN8" s="1585" t="s">
        <v>3398</v>
      </c>
      <c r="AO8" s="50">
        <f t="shared" ca="1" si="8"/>
        <v>12165</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92"/>
      <c r="M9" s="64">
        <f t="shared" si="1"/>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089"/>
      <c r="V9" s="67"/>
      <c r="W9" s="67"/>
      <c r="X9" s="976"/>
      <c r="Y9" s="68"/>
      <c r="Z9" s="69"/>
      <c r="AA9" s="63"/>
      <c r="AB9" s="63"/>
      <c r="AC9" s="976"/>
      <c r="AD9" s="70"/>
      <c r="AE9" s="977">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92"/>
      <c r="M10" s="64">
        <f t="shared" si="1"/>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89"/>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89"/>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89"/>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0"/>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1204</v>
      </c>
      <c r="B14" s="1583" t="s">
        <v>1205</v>
      </c>
      <c r="C14" s="1588" t="s">
        <v>1204</v>
      </c>
      <c r="D14" s="802"/>
      <c r="E14" s="801"/>
      <c r="F14" s="61"/>
      <c r="G14" s="62"/>
      <c r="H14" s="966"/>
      <c r="I14" s="966"/>
      <c r="J14" s="966"/>
      <c r="K14" s="967">
        <f>SUMIF('数据-汇总表'!C$19:C$33,A14,'数据-汇总表'!E$19:E$33)</f>
        <v>0</v>
      </c>
      <c r="L14" s="79">
        <f>L8</f>
        <v>5000</v>
      </c>
      <c r="M14" s="64">
        <f t="shared" si="1"/>
        <v>0</v>
      </c>
      <c r="N14" s="80">
        <f>N8</f>
        <v>0.99</v>
      </c>
      <c r="O14" s="64">
        <f t="shared" si="3"/>
        <v>0</v>
      </c>
      <c r="P14" s="65">
        <f t="shared" si="4"/>
        <v>0</v>
      </c>
      <c r="Q14" s="970"/>
      <c r="R14" s="66"/>
      <c r="S14" s="49"/>
      <c r="T14" s="1089"/>
      <c r="U14" s="637"/>
      <c r="V14" s="972"/>
      <c r="W14" s="972"/>
      <c r="X14" s="973"/>
      <c r="Y14" s="974"/>
      <c r="Z14" s="54"/>
      <c r="AA14" s="975"/>
      <c r="AB14" s="975"/>
      <c r="AC14" s="976"/>
      <c r="AD14" s="973"/>
      <c r="AE14" s="977"/>
      <c r="AF14" s="50"/>
      <c r="AG14" s="130"/>
      <c r="AH14" s="977"/>
      <c r="AI14" s="1262"/>
      <c r="AJ14" s="50"/>
      <c r="AK14" s="978"/>
      <c r="AL14" s="979"/>
      <c r="AM14" s="980"/>
      <c r="AN14" s="2440"/>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1206</v>
      </c>
      <c r="B15" s="1583" t="s">
        <v>1205</v>
      </c>
      <c r="C15" s="1588" t="s">
        <v>1207</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2"/>
      <c r="AJ15" s="50"/>
      <c r="AK15" s="978"/>
      <c r="AL15" s="979"/>
      <c r="AM15" s="980"/>
      <c r="AN15" s="2440"/>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1208</v>
      </c>
      <c r="B16" s="82"/>
      <c r="C16" s="780"/>
      <c r="D16" s="1590"/>
      <c r="E16" s="82"/>
      <c r="F16" s="82"/>
      <c r="G16" s="83">
        <f>ROUND(SUMPRODUCT(G6:G13,K6:K13)/SUMPRODUCT((G6:G13&gt;0)*(K6:K13)),3)</f>
        <v>0.91800000000000004</v>
      </c>
      <c r="H16" s="84">
        <f>ROUND(SUMPRODUCT(H6:H13,K6:K13)/SUMPRODUCT((H6:H13&gt;0)*(K6:K13)),3)</f>
        <v>4.9000000000000002E-2</v>
      </c>
      <c r="I16" s="85"/>
      <c r="J16" s="85"/>
      <c r="K16" s="86">
        <f>SUM(K6:K15)</f>
        <v>108765.48</v>
      </c>
      <c r="L16" s="87">
        <f>ROUND(M16*10000/SUM(K6:K14),0)</f>
        <v>5369</v>
      </c>
      <c r="M16" s="87">
        <f>SUM(M6:M14)</f>
        <v>58398</v>
      </c>
      <c r="N16" s="88">
        <f>ROUND(SUMPRODUCT(M6:M14,N6:N14)/M16,3)</f>
        <v>0.99</v>
      </c>
      <c r="O16" s="87">
        <f>SUM(O6:O14)</f>
        <v>57814</v>
      </c>
      <c r="P16" s="87">
        <f>SUM(P6:P14)</f>
        <v>584</v>
      </c>
      <c r="Q16" s="89">
        <f>ROUND(SUMPRODUCT(Q6:Q13,K6:K13)/SUMPRODUCT((Q6:Q13&gt;0)*(K6:K13)),2)</f>
        <v>0.15</v>
      </c>
      <c r="R16" s="971">
        <f ca="1">SUM(R6:R13)</f>
        <v>23493.010000000002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0"/>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9"/>
      <c r="C17" s="2440"/>
      <c r="D17" s="2442"/>
      <c r="E17" s="2442"/>
      <c r="F17" s="2440"/>
      <c r="G17" s="2440"/>
      <c r="H17" s="2440"/>
      <c r="I17" s="2440"/>
      <c r="J17" s="2440"/>
      <c r="K17" s="2441"/>
      <c r="L17" s="244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1209</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spans="1:44" ht="14.25">
      <c r="A19" s="1592" t="s">
        <v>1210</v>
      </c>
      <c r="B19" s="97">
        <v>0</v>
      </c>
      <c r="C19" s="2552" t="s">
        <v>2297</v>
      </c>
      <c r="D19" s="2443"/>
      <c r="E19" s="2431"/>
      <c r="F19" s="2431"/>
      <c r="G19" s="2431"/>
      <c r="H19" s="2431"/>
      <c r="I19" s="2431"/>
      <c r="J19" s="2431"/>
      <c r="K19" s="2441"/>
      <c r="L19" s="2441"/>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25">
      <c r="A20" s="1593" t="s">
        <v>1211</v>
      </c>
      <c r="B20" s="98">
        <v>2.5</v>
      </c>
      <c r="C20" s="2553" t="s">
        <v>2295</v>
      </c>
      <c r="D20" s="2443"/>
      <c r="E20" s="2431"/>
      <c r="F20" s="2431"/>
      <c r="G20" s="2431"/>
      <c r="H20" s="2431"/>
      <c r="I20" s="2431"/>
      <c r="J20" s="2431"/>
      <c r="K20" s="2441"/>
      <c r="L20" s="2441"/>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spans="1:44" ht="14.25">
      <c r="A21" s="1594" t="s">
        <v>1212</v>
      </c>
      <c r="B21" s="98">
        <f>B20*N16</f>
        <v>2.4750000000000001</v>
      </c>
      <c r="C21" s="2431"/>
      <c r="D21" s="2443"/>
      <c r="E21" s="2431"/>
      <c r="F21" s="2431"/>
      <c r="G21" s="2431"/>
      <c r="H21" s="2431"/>
      <c r="I21" s="2431"/>
      <c r="J21" s="2431"/>
      <c r="K21" s="2441"/>
      <c r="L21" s="244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spans="1:44" ht="14.25">
      <c r="A22" s="1593" t="s">
        <v>1213</v>
      </c>
      <c r="B22" s="99">
        <f>B19+B20</f>
        <v>2.5</v>
      </c>
      <c r="C22" s="2431"/>
      <c r="D22" s="2443"/>
      <c r="E22" s="2431"/>
      <c r="F22" s="2431"/>
      <c r="G22" s="2431"/>
      <c r="H22" s="2431"/>
      <c r="I22" s="2431"/>
      <c r="J22" s="2431"/>
      <c r="K22" s="2441"/>
      <c r="L22" s="2441"/>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spans="1:44" ht="14.25">
      <c r="A23" s="1594" t="s">
        <v>1214</v>
      </c>
      <c r="B23" s="99">
        <f>B19+B21</f>
        <v>2.4750000000000001</v>
      </c>
      <c r="C23" s="2431"/>
      <c r="D23" s="2443"/>
      <c r="E23" s="2431"/>
      <c r="F23" s="2431"/>
      <c r="G23" s="2431"/>
      <c r="H23" s="2431"/>
      <c r="I23" s="2431"/>
      <c r="J23" s="2431"/>
      <c r="K23" s="2441"/>
      <c r="L23" s="244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spans="1:44" ht="15" thickBot="1">
      <c r="A24" s="1595" t="s">
        <v>1215</v>
      </c>
      <c r="B24" s="100">
        <f>B20-B21</f>
        <v>2.4999999999999911E-2</v>
      </c>
      <c r="C24" s="2431"/>
      <c r="D24" s="2443"/>
      <c r="E24" s="2431"/>
      <c r="F24" s="2431"/>
      <c r="G24" s="2431"/>
      <c r="H24" s="2431"/>
      <c r="I24" s="2431"/>
      <c r="J24" s="2431"/>
      <c r="K24" s="2441"/>
      <c r="L24" s="244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5" thickBot="1">
      <c r="A25" s="1445"/>
      <c r="B25" s="1538"/>
      <c r="C25" s="2431"/>
      <c r="D25" s="2443"/>
      <c r="E25" s="2431"/>
      <c r="F25" s="2431"/>
      <c r="G25" s="2431"/>
      <c r="H25" s="2431"/>
      <c r="I25" s="2431"/>
      <c r="J25" s="2431"/>
      <c r="K25" s="2441"/>
      <c r="L25" s="244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8" t="s">
        <v>1216</v>
      </c>
      <c r="B26" s="1596" t="s">
        <v>1217</v>
      </c>
      <c r="C26" s="2444" t="s">
        <v>1218</v>
      </c>
      <c r="D26" s="2443"/>
      <c r="E26" s="2431"/>
      <c r="F26" s="2431"/>
      <c r="G26" s="2431"/>
      <c r="H26" s="2431"/>
      <c r="I26" s="2431"/>
      <c r="J26" s="2431"/>
      <c r="K26" s="2441"/>
      <c r="L26" s="244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7.75">
      <c r="A27" s="1597" t="s">
        <v>1219</v>
      </c>
      <c r="B27" s="101">
        <v>160</v>
      </c>
      <c r="C27" s="2554" t="s">
        <v>2299</v>
      </c>
      <c r="D27" s="2446"/>
      <c r="E27" s="2432"/>
      <c r="F27" s="2432"/>
      <c r="G27" s="2431"/>
      <c r="H27" s="2431"/>
      <c r="I27" s="2431"/>
      <c r="J27" s="2431"/>
      <c r="K27" s="2441"/>
      <c r="L27" s="244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7.75">
      <c r="A28" s="1598" t="s">
        <v>1220</v>
      </c>
      <c r="B28" s="103">
        <v>200</v>
      </c>
      <c r="C28" s="2447"/>
      <c r="D28" s="2446"/>
      <c r="E28" s="2432"/>
      <c r="F28" s="2432"/>
      <c r="G28" s="2431"/>
      <c r="H28" s="2431"/>
      <c r="I28" s="2431"/>
      <c r="J28" s="2431"/>
      <c r="K28" s="2441"/>
      <c r="L28" s="244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8.5" thickBot="1">
      <c r="A29" s="1599" t="s">
        <v>1221</v>
      </c>
      <c r="B29" s="105">
        <f ca="1">成本法!C10</f>
        <v>2175</v>
      </c>
      <c r="C29" s="2555" t="s">
        <v>2288</v>
      </c>
      <c r="D29" s="2446"/>
      <c r="E29" s="2432"/>
      <c r="F29" s="2432"/>
      <c r="G29" s="2431"/>
      <c r="H29" s="2431"/>
      <c r="I29" s="2431"/>
      <c r="J29" s="2431"/>
      <c r="K29" s="2441"/>
      <c r="L29" s="244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7">
      <c r="A30" s="1600" t="s">
        <v>1222</v>
      </c>
      <c r="B30" s="638">
        <v>200</v>
      </c>
      <c r="C30" s="2447"/>
      <c r="D30" s="2446"/>
      <c r="E30" s="2432"/>
      <c r="F30" s="2432"/>
      <c r="G30" s="2431"/>
      <c r="H30" s="2431"/>
      <c r="I30" s="2431"/>
      <c r="J30" s="2431"/>
      <c r="K30" s="2441"/>
      <c r="L30" s="244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7">
      <c r="A31" s="1598" t="s">
        <v>1223</v>
      </c>
      <c r="B31" s="104">
        <f>B30-B32</f>
        <v>200</v>
      </c>
      <c r="C31" s="2445"/>
      <c r="D31" s="2446"/>
      <c r="E31" s="2432"/>
      <c r="F31" s="2432"/>
      <c r="G31" s="2431"/>
      <c r="H31" s="2431"/>
      <c r="I31" s="2431"/>
      <c r="J31" s="2431"/>
      <c r="K31" s="2441"/>
      <c r="L31" s="244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7.75" thickBot="1">
      <c r="A32" s="1601" t="s">
        <v>1224</v>
      </c>
      <c r="B32" s="639">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25">
      <c r="A33" s="1597" t="s">
        <v>1225</v>
      </c>
      <c r="B33" s="640">
        <v>0.05</v>
      </c>
      <c r="C33" s="2556" t="s">
        <v>3372</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25">
      <c r="A34" s="1598" t="s">
        <v>1226</v>
      </c>
      <c r="B34" s="106">
        <v>0</v>
      </c>
      <c r="C34" s="2556" t="s">
        <v>2289</v>
      </c>
      <c r="D34" s="2451" t="s">
        <v>2296</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25">
      <c r="A35" s="1598" t="s">
        <v>1227</v>
      </c>
      <c r="B35" s="103">
        <v>200</v>
      </c>
      <c r="C35" s="2556" t="s">
        <v>2290</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599" t="s">
        <v>1228</v>
      </c>
      <c r="B36" s="107">
        <v>0.03</v>
      </c>
      <c r="C36" s="2556" t="s">
        <v>3373</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25">
      <c r="A37" s="1600" t="s">
        <v>1229</v>
      </c>
      <c r="B37" s="108">
        <v>0.03</v>
      </c>
      <c r="C37" s="2556" t="s">
        <v>2291</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25">
      <c r="A38" s="1598" t="s">
        <v>1230</v>
      </c>
      <c r="B38" s="106">
        <v>0.03</v>
      </c>
      <c r="C38" s="2556" t="s">
        <v>2291</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25">
      <c r="A39" s="1601" t="s">
        <v>1231</v>
      </c>
      <c r="B39" s="309">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5" thickBot="1">
      <c r="A40" s="2565" t="s">
        <v>2306</v>
      </c>
      <c r="B40" s="1012">
        <f ca="1">IF(A40="利息：取LPR",存贷款利率!G1,存贷款利率!G1+C40)</f>
        <v>3.1E-2</v>
      </c>
      <c r="C40" s="2564">
        <v>5.0000000000000001E-3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25">
      <c r="A41" s="1597" t="s">
        <v>1232</v>
      </c>
      <c r="B41" s="109">
        <f>B42+B43</f>
        <v>5.6000000000000001E-2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25">
      <c r="A42" s="1602" t="s">
        <v>1233</v>
      </c>
      <c r="B42" s="110">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25">
      <c r="A43" s="1602" t="s">
        <v>1234</v>
      </c>
      <c r="B43" s="111">
        <f>B42*(B44+B45+B46)+B47</f>
        <v>6.000000000000001E-3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25">
      <c r="A44" s="1603" t="s">
        <v>1235</v>
      </c>
      <c r="B44" s="112">
        <v>7.0000000000000007E-2</v>
      </c>
      <c r="C44" s="2556" t="s">
        <v>2300</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25">
      <c r="A45" s="1603" t="s">
        <v>1236</v>
      </c>
      <c r="B45" s="110">
        <v>0.03</v>
      </c>
      <c r="C45" s="2555" t="s">
        <v>2292</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25">
      <c r="A46" s="1603" t="s">
        <v>1237</v>
      </c>
      <c r="B46" s="110">
        <v>0.02</v>
      </c>
      <c r="C46" s="2555" t="s">
        <v>2293</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4" t="s">
        <v>1238</v>
      </c>
      <c r="B47" s="113">
        <v>0</v>
      </c>
      <c r="C47" s="2558" t="s">
        <v>2301</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25">
      <c r="A48" s="1605" t="s">
        <v>1239</v>
      </c>
      <c r="B48" s="114">
        <v>0.03</v>
      </c>
      <c r="C48" s="2555" t="s">
        <v>2292</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1" t="s">
        <v>1240</v>
      </c>
      <c r="B49" s="110">
        <v>5.0000000000000001E-4</v>
      </c>
      <c r="C49" s="2555" t="s">
        <v>2294</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25">
      <c r="A50" s="1606" t="s">
        <v>1241</v>
      </c>
      <c r="B50" s="115">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599" t="s">
        <v>1242</v>
      </c>
      <c r="B51" s="116">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25">
      <c r="A52" s="1606" t="s">
        <v>1243</v>
      </c>
      <c r="B52" s="117">
        <f>SUMIF(A54:A63,B53,B54:B63)</f>
        <v>12</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7">
      <c r="A53" s="1598" t="s">
        <v>1244</v>
      </c>
      <c r="B53" s="1607" t="s">
        <v>110</v>
      </c>
      <c r="C53" s="2432" t="s">
        <v>1245</v>
      </c>
      <c r="D53" s="2557" t="s">
        <v>2298</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25">
      <c r="A54" s="1608" t="s">
        <v>1246</v>
      </c>
      <c r="B54" s="72">
        <v>30</v>
      </c>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25">
      <c r="A55" s="1608" t="s">
        <v>1247</v>
      </c>
      <c r="B55" s="72">
        <v>24</v>
      </c>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25">
      <c r="A56" s="1608" t="s">
        <v>1248</v>
      </c>
      <c r="B56" s="72">
        <v>18</v>
      </c>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25">
      <c r="A57" s="1608" t="s">
        <v>1249</v>
      </c>
      <c r="B57" s="72">
        <v>12</v>
      </c>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25">
      <c r="A58" s="1608" t="s">
        <v>1250</v>
      </c>
      <c r="B58" s="72">
        <v>3</v>
      </c>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25">
      <c r="A59" s="1608" t="s">
        <v>1251</v>
      </c>
      <c r="B59" s="72">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25">
      <c r="A60" s="1608" t="s">
        <v>1252</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25">
      <c r="A61" s="1608" t="s">
        <v>1253</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25">
      <c r="A62" s="1608" t="s">
        <v>1254</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9" t="s">
        <v>1255</v>
      </c>
      <c r="B63" s="118"/>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4"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4"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4"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4"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4"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8" customWidth="1"/>
    <col min="19" max="29" width="9" style="748"/>
    <col min="30" max="16384" width="9" style="1518"/>
  </cols>
  <sheetData>
    <row r="1" spans="1:29" s="2254" customFormat="1" ht="18.75" thickBot="1">
      <c r="A1" s="3274" t="s">
        <v>2280</v>
      </c>
      <c r="B1" s="3275"/>
      <c r="C1" s="3275"/>
      <c r="D1" s="3275"/>
      <c r="E1" s="3275"/>
      <c r="F1" s="3275"/>
      <c r="G1" s="3275"/>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2276</v>
      </c>
      <c r="D2" s="1591"/>
      <c r="E2" s="2255"/>
      <c r="F2" s="2258"/>
      <c r="G2" s="2257" t="s">
        <v>2277</v>
      </c>
      <c r="H2" s="748"/>
      <c r="I2" s="748"/>
      <c r="J2" s="748"/>
      <c r="K2" s="748"/>
      <c r="L2" s="748"/>
      <c r="M2" s="748"/>
      <c r="N2" s="748"/>
      <c r="O2" s="748"/>
      <c r="P2" s="748"/>
      <c r="Q2" s="748"/>
    </row>
    <row r="3" spans="1:29" ht="25.5">
      <c r="A3" s="2242" t="s">
        <v>2278</v>
      </c>
      <c r="B3" s="2259" t="s">
        <v>2250</v>
      </c>
      <c r="C3" s="3107"/>
      <c r="D3" s="2260"/>
      <c r="E3" s="2243" t="s">
        <v>2278</v>
      </c>
      <c r="F3" s="2261" t="s">
        <v>2251</v>
      </c>
      <c r="G3" s="2262" t="s">
        <v>2279</v>
      </c>
      <c r="H3" s="748"/>
      <c r="I3" s="748"/>
      <c r="J3" s="748"/>
      <c r="K3" s="748"/>
      <c r="L3" s="748"/>
      <c r="M3" s="748"/>
      <c r="N3" s="748"/>
      <c r="O3" s="748"/>
      <c r="P3" s="748"/>
      <c r="Q3" s="748"/>
    </row>
    <row r="4" spans="1:29" ht="36">
      <c r="A4" s="2243"/>
      <c r="B4" s="315" t="s">
        <v>2252</v>
      </c>
      <c r="C4" s="3108" t="s">
        <v>3627</v>
      </c>
      <c r="D4" s="2260"/>
      <c r="E4" s="2263"/>
      <c r="F4" s="1277" t="s">
        <v>2253</v>
      </c>
      <c r="G4" s="2264" t="s">
        <v>2254</v>
      </c>
      <c r="H4" s="748"/>
      <c r="I4" s="748"/>
      <c r="J4" s="748"/>
      <c r="K4" s="748"/>
      <c r="L4" s="748"/>
      <c r="M4" s="748"/>
      <c r="N4" s="748"/>
      <c r="O4" s="748"/>
      <c r="P4" s="748"/>
      <c r="Q4" s="748"/>
    </row>
    <row r="5" spans="1:29" ht="27.75" customHeight="1">
      <c r="A5" s="2243"/>
      <c r="B5" s="315" t="s">
        <v>2255</v>
      </c>
      <c r="C5" s="3109" t="s">
        <v>3628</v>
      </c>
      <c r="D5" s="2260"/>
      <c r="E5" s="2263"/>
      <c r="F5" s="315" t="s">
        <v>2256</v>
      </c>
      <c r="G5" s="2264" t="s">
        <v>2257</v>
      </c>
      <c r="H5" s="748"/>
      <c r="I5" s="748"/>
      <c r="J5" s="748"/>
      <c r="K5" s="748"/>
      <c r="L5" s="748"/>
      <c r="M5" s="748"/>
      <c r="N5" s="748"/>
      <c r="O5" s="748"/>
      <c r="P5" s="748"/>
      <c r="Q5" s="748"/>
    </row>
    <row r="6" spans="1:29">
      <c r="A6" s="2243"/>
      <c r="B6" s="315" t="s">
        <v>2258</v>
      </c>
      <c r="C6" s="3109" t="s">
        <v>3629</v>
      </c>
      <c r="D6" s="2260"/>
      <c r="E6" s="2263"/>
      <c r="F6" s="315" t="s">
        <v>2259</v>
      </c>
      <c r="G6" s="2264" t="s">
        <v>2260</v>
      </c>
      <c r="H6" s="748"/>
      <c r="I6" s="748"/>
      <c r="J6" s="748"/>
      <c r="K6" s="748"/>
      <c r="L6" s="748"/>
      <c r="M6" s="748"/>
      <c r="N6" s="748"/>
      <c r="O6" s="748"/>
      <c r="P6" s="748"/>
      <c r="Q6" s="748"/>
    </row>
    <row r="7" spans="1:29" ht="24.75" thickBot="1">
      <c r="A7" s="2243"/>
      <c r="B7" s="315" t="s">
        <v>2256</v>
      </c>
      <c r="C7" s="3109" t="s">
        <v>3423</v>
      </c>
      <c r="D7" s="2240"/>
      <c r="E7" s="2265"/>
      <c r="F7" s="2266" t="s">
        <v>2261</v>
      </c>
      <c r="G7" s="2267" t="s">
        <v>2262</v>
      </c>
      <c r="H7" s="748"/>
      <c r="I7" s="748"/>
      <c r="J7" s="748"/>
      <c r="K7" s="748"/>
      <c r="L7" s="748"/>
      <c r="M7" s="748"/>
      <c r="N7" s="748"/>
      <c r="O7" s="748"/>
      <c r="P7" s="748"/>
      <c r="Q7" s="748"/>
    </row>
    <row r="8" spans="1:29">
      <c r="A8" s="2243"/>
      <c r="B8" s="315" t="s">
        <v>2259</v>
      </c>
      <c r="C8" s="3109" t="s">
        <v>3424</v>
      </c>
      <c r="D8" s="2240"/>
      <c r="E8" s="2240"/>
      <c r="F8" s="121"/>
      <c r="G8" s="121"/>
      <c r="H8" s="748"/>
      <c r="I8" s="748"/>
      <c r="J8" s="748"/>
      <c r="K8" s="748"/>
      <c r="L8" s="748"/>
      <c r="M8" s="748"/>
      <c r="N8" s="748"/>
      <c r="O8" s="748"/>
      <c r="P8" s="748"/>
      <c r="Q8" s="748"/>
    </row>
    <row r="9" spans="1:29" ht="24">
      <c r="A9" s="2243"/>
      <c r="B9" s="315" t="s">
        <v>2263</v>
      </c>
      <c r="C9" s="3109" t="s">
        <v>3631</v>
      </c>
      <c r="D9" s="2260"/>
      <c r="E9" s="2240"/>
      <c r="F9" s="121"/>
      <c r="G9" s="121"/>
      <c r="H9" s="748"/>
      <c r="I9" s="748"/>
      <c r="J9" s="748"/>
      <c r="K9" s="748"/>
      <c r="L9" s="748"/>
      <c r="M9" s="748"/>
      <c r="N9" s="748"/>
      <c r="O9" s="748"/>
      <c r="P9" s="748"/>
      <c r="Q9" s="748"/>
    </row>
    <row r="10" spans="1:29" ht="15" thickBot="1">
      <c r="A10" s="2244"/>
      <c r="B10" s="2268" t="s">
        <v>2264</v>
      </c>
      <c r="C10" s="3168" t="s">
        <v>3630</v>
      </c>
      <c r="D10" s="2260"/>
      <c r="E10" s="2260"/>
      <c r="F10" s="121"/>
      <c r="G10" s="121"/>
      <c r="J10" s="2270"/>
      <c r="M10" s="2270"/>
      <c r="P10" s="2270"/>
      <c r="R10" s="2269"/>
    </row>
    <row r="11" spans="1:29">
      <c r="A11" s="2271"/>
      <c r="B11" s="2240"/>
      <c r="C11" s="2260"/>
      <c r="D11" s="2260"/>
      <c r="E11" s="2260"/>
      <c r="F11" s="2240"/>
      <c r="G11" s="2240"/>
      <c r="J11" s="2270"/>
      <c r="M11" s="2270"/>
      <c r="P11" s="2270"/>
      <c r="R11" s="2269"/>
    </row>
    <row r="12" spans="1:29" s="2254" customFormat="1" ht="18">
      <c r="A12" s="2271"/>
      <c r="B12" s="2240"/>
      <c r="C12" s="2260"/>
      <c r="D12" s="2272"/>
      <c r="E12" s="2260"/>
      <c r="F12" s="2240"/>
      <c r="G12" s="2240"/>
      <c r="H12" s="2273"/>
      <c r="I12" s="2273"/>
      <c r="J12" s="2273"/>
      <c r="K12" s="2273"/>
      <c r="L12" s="2274"/>
      <c r="M12" s="2273"/>
      <c r="N12" s="2275"/>
      <c r="O12" s="2275"/>
      <c r="P12" s="2275"/>
      <c r="Q12" s="2275"/>
      <c r="R12" s="2253"/>
      <c r="S12" s="2253"/>
      <c r="T12" s="2253"/>
      <c r="U12" s="2253"/>
      <c r="V12" s="2253"/>
      <c r="W12" s="2253"/>
      <c r="X12" s="2253"/>
      <c r="Y12" s="2253"/>
      <c r="Z12" s="2253"/>
      <c r="AA12" s="2253"/>
      <c r="AB12" s="2253"/>
      <c r="AC12" s="2253"/>
    </row>
    <row r="13" spans="1:29" ht="15.75" thickBot="1">
      <c r="A13" s="2276" t="s">
        <v>2281</v>
      </c>
      <c r="B13" s="2272"/>
      <c r="C13" s="2272"/>
      <c r="D13" s="2271"/>
      <c r="E13" s="2272"/>
      <c r="F13" s="2272"/>
      <c r="G13" s="2272"/>
    </row>
    <row r="14" spans="1:29" ht="15" thickBot="1">
      <c r="A14" s="2277"/>
      <c r="B14" s="2277"/>
      <c r="C14" s="2278" t="s">
        <v>2265</v>
      </c>
      <c r="D14" s="2260"/>
      <c r="E14" s="2279"/>
      <c r="F14" s="2279"/>
      <c r="G14" s="2257" t="s">
        <v>2266</v>
      </c>
    </row>
    <row r="15" spans="1:29" ht="25.5">
      <c r="A15" s="2245" t="s">
        <v>2267</v>
      </c>
      <c r="B15" s="2280" t="s">
        <v>2250</v>
      </c>
      <c r="C15" s="2281">
        <f>C3</f>
        <v>0</v>
      </c>
      <c r="D15" s="2260"/>
      <c r="E15" s="2246" t="s">
        <v>2268</v>
      </c>
      <c r="F15" s="2280" t="s">
        <v>2269</v>
      </c>
      <c r="G15" s="2282" t="str">
        <f>G3</f>
        <v>估价对象位于XX开发区，园区建设成熟度XX，产业集聚程度XX</v>
      </c>
    </row>
    <row r="16" spans="1:29" ht="38.25">
      <c r="A16" s="2247"/>
      <c r="B16" s="2283" t="s">
        <v>2252</v>
      </c>
      <c r="C16" s="2284" t="str">
        <f>C4</f>
        <v>花乡奥莱村，万达广场，较好</v>
      </c>
      <c r="D16" s="2260"/>
      <c r="E16" s="2248"/>
      <c r="F16" s="2285" t="s">
        <v>2253</v>
      </c>
      <c r="G16" s="2286" t="str">
        <f>G4</f>
        <v>估价对象周边道路状况、公共交通通达情况、停车便捷程度，综合评价交通便捷度较好</v>
      </c>
    </row>
    <row r="17" spans="1:17" ht="25.5">
      <c r="A17" s="2247"/>
      <c r="B17" s="2283" t="s">
        <v>2255</v>
      </c>
      <c r="C17" s="2284" t="str">
        <f>C5</f>
        <v>东旭国际中心、交控大厦、旭阳大厦，较好</v>
      </c>
      <c r="D17" s="2240"/>
      <c r="E17" s="2248"/>
      <c r="F17" s="2285" t="s">
        <v>2270</v>
      </c>
      <c r="G17" s="2287"/>
    </row>
    <row r="18" spans="1:17" ht="25.5">
      <c r="A18" s="2247"/>
      <c r="B18" s="2285" t="s">
        <v>2258</v>
      </c>
      <c r="C18" s="2286" t="str">
        <f>C6</f>
        <v>9号线、房山线，较好</v>
      </c>
      <c r="D18" s="2240"/>
      <c r="E18" s="2248"/>
      <c r="F18" s="2285" t="s">
        <v>2261</v>
      </c>
      <c r="G18" s="2286" t="str">
        <f>G7</f>
        <v>该园区内是否有污染型企业，绿化情况，卫生条件，整体环境状况判断</v>
      </c>
    </row>
    <row r="19" spans="1:17" ht="25.5">
      <c r="A19" s="2247"/>
      <c r="B19" s="2285" t="s">
        <v>2271</v>
      </c>
      <c r="C19" s="2287"/>
      <c r="D19" s="2260"/>
      <c r="E19" s="2248"/>
      <c r="F19" s="315" t="s">
        <v>2256</v>
      </c>
      <c r="G19" s="2286" t="str">
        <f>G5</f>
        <v>估价对象所在区域公共配套设施齐备情况</v>
      </c>
    </row>
    <row r="20" spans="1:17" ht="25.5">
      <c r="A20" s="2247"/>
      <c r="B20" s="2285" t="s">
        <v>2272</v>
      </c>
      <c r="C20" s="2284" t="str">
        <f>C9</f>
        <v>白盆窑公园、国际法官学院，一般</v>
      </c>
      <c r="D20" s="2240"/>
      <c r="E20" s="2248"/>
      <c r="F20" s="315" t="s">
        <v>2259</v>
      </c>
      <c r="G20" s="2286" t="str">
        <f>G6</f>
        <v>估价对象所在区域基础设施水平</v>
      </c>
    </row>
    <row r="21" spans="1:17">
      <c r="A21" s="2247"/>
      <c r="B21" s="315" t="s">
        <v>2256</v>
      </c>
      <c r="C21" s="2286" t="str">
        <f>C7</f>
        <v>较好</v>
      </c>
      <c r="D21" s="2260"/>
      <c r="E21" s="2248"/>
      <c r="F21" s="2285" t="s">
        <v>2273</v>
      </c>
      <c r="G21" s="2288"/>
    </row>
    <row r="22" spans="1:17" ht="13.5" customHeight="1">
      <c r="A22" s="2247"/>
      <c r="B22" s="315" t="s">
        <v>2259</v>
      </c>
      <c r="C22" s="2286" t="str">
        <f>C8</f>
        <v>七通</v>
      </c>
      <c r="D22" s="2260"/>
      <c r="E22" s="2248"/>
      <c r="F22" s="2285" t="s">
        <v>2264</v>
      </c>
      <c r="G22" s="2287"/>
    </row>
    <row r="23" spans="1:17" s="748" customFormat="1" ht="15" thickBot="1">
      <c r="A23" s="2247"/>
      <c r="B23" s="2285" t="s">
        <v>2273</v>
      </c>
      <c r="C23" s="2288"/>
      <c r="D23" s="1610"/>
      <c r="E23" s="2249"/>
      <c r="F23" s="2289" t="s">
        <v>2274</v>
      </c>
      <c r="G23" s="2290"/>
      <c r="H23" s="2269"/>
      <c r="I23" s="2269"/>
      <c r="J23" s="2269"/>
      <c r="K23" s="2269"/>
      <c r="L23" s="2269"/>
      <c r="M23" s="2269"/>
      <c r="N23" s="2269"/>
      <c r="O23" s="2269"/>
      <c r="P23" s="2269"/>
      <c r="Q23" s="2269"/>
    </row>
    <row r="24" spans="1:17" s="748" customFormat="1" ht="15" thickBot="1">
      <c r="A24" s="2250"/>
      <c r="B24" s="2289" t="s">
        <v>2275</v>
      </c>
      <c r="C24" s="2291" t="str">
        <f>C10</f>
        <v>次干道-樊羊路</v>
      </c>
      <c r="D24" s="1610"/>
      <c r="E24" s="2240"/>
      <c r="F24" s="2240"/>
      <c r="G24" s="2240"/>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108765.47999999998</v>
      </c>
      <c r="C1" s="2453"/>
      <c r="D1" s="2453"/>
      <c r="E1" s="2453"/>
      <c r="F1" s="2453"/>
      <c r="G1" s="2454"/>
      <c r="H1" s="2454"/>
      <c r="I1" s="2454"/>
      <c r="J1" s="2454"/>
      <c r="K1" s="2454"/>
    </row>
    <row r="2" spans="1:11" ht="16.5">
      <c r="A2" s="2292" t="s">
        <v>653</v>
      </c>
      <c r="B2" s="2292">
        <f>SUM(C14:C23)</f>
        <v>23493.01</v>
      </c>
      <c r="C2" s="2453"/>
      <c r="D2" s="2453"/>
      <c r="E2" s="2453"/>
      <c r="F2" s="2453"/>
      <c r="G2" s="2454"/>
      <c r="H2" s="2454"/>
      <c r="I2" s="2454"/>
      <c r="J2" s="2454"/>
      <c r="K2" s="2454"/>
    </row>
    <row r="3" spans="1:11" ht="16.5">
      <c r="A3" s="2292" t="s">
        <v>662</v>
      </c>
      <c r="B3" s="2294">
        <f>项目基本情况!D3</f>
        <v>45635</v>
      </c>
      <c r="C3" s="2453"/>
      <c r="D3" s="2453"/>
      <c r="E3" s="2453"/>
      <c r="F3" s="2453"/>
      <c r="G3" s="2454"/>
      <c r="H3" s="2454"/>
      <c r="I3" s="2454"/>
      <c r="J3" s="2454"/>
      <c r="K3" s="2454"/>
    </row>
    <row r="4" spans="1:11" ht="33">
      <c r="A4" s="2292" t="s">
        <v>661</v>
      </c>
      <c r="B4" s="2292" t="s">
        <v>660</v>
      </c>
      <c r="C4" s="2292" t="s">
        <v>659</v>
      </c>
      <c r="D4" s="2292" t="s">
        <v>658</v>
      </c>
      <c r="E4" s="2453"/>
      <c r="F4" s="2454"/>
      <c r="G4" s="2454"/>
      <c r="H4" s="2454"/>
      <c r="I4" s="2454"/>
      <c r="J4" s="2454"/>
      <c r="K4" s="2454"/>
    </row>
    <row r="5" spans="1:11" ht="16.5">
      <c r="A5" s="2292" t="s">
        <v>657</v>
      </c>
      <c r="B5" s="2292">
        <f ca="1">SUM(D14:D23)</f>
        <v>242485</v>
      </c>
      <c r="C5" s="2292">
        <f ca="1">IF(B5=D14,结果表!H102,ROUND(B5*10000/$B$1,0))</f>
        <v>22294</v>
      </c>
      <c r="D5" s="2292">
        <f ca="1">ROUND(B5*10000/$B$2,0)</f>
        <v>103216</v>
      </c>
      <c r="E5" s="2453"/>
      <c r="F5" s="2454"/>
      <c r="G5" s="2454"/>
      <c r="H5" s="2454"/>
      <c r="I5" s="2454"/>
      <c r="J5" s="2454"/>
      <c r="K5" s="2454"/>
    </row>
    <row r="6" spans="1:11" ht="16.5">
      <c r="A6" s="2292" t="s">
        <v>656</v>
      </c>
      <c r="B6" s="2292">
        <f ca="1">SUM(G14:G23)</f>
        <v>240165</v>
      </c>
      <c r="C6" s="2292">
        <f ca="1">IF(B6=G14,结果表!H108,ROUND(B6*10000/$B$1,0))</f>
        <v>22081</v>
      </c>
      <c r="D6" s="2292">
        <f ca="1">ROUND(B6*10000/$B$2,0)</f>
        <v>102228</v>
      </c>
      <c r="E6" s="2453"/>
      <c r="F6" s="2454"/>
      <c r="G6" s="2454"/>
      <c r="H6" s="2454"/>
      <c r="I6" s="2454"/>
      <c r="J6" s="2454"/>
      <c r="K6" s="2454"/>
    </row>
    <row r="7" spans="1:11" ht="16.5">
      <c r="A7" s="2292" t="s">
        <v>664</v>
      </c>
      <c r="B7" s="2292">
        <f>SUM(H14:H23)</f>
        <v>0</v>
      </c>
      <c r="C7" s="2292" t="str">
        <f>IF(B7=H14,结果表!H110,ROUND(B7*10000/$B$1,0))</f>
        <v>——</v>
      </c>
      <c r="D7" s="2292">
        <f>ROUND(B7*10000/$B$2,0)</f>
        <v>0</v>
      </c>
      <c r="E7" s="2453"/>
      <c r="F7" s="2454"/>
      <c r="G7" s="2454"/>
      <c r="H7" s="2454"/>
      <c r="I7" s="2454"/>
      <c r="J7" s="2454"/>
      <c r="K7" s="2454"/>
    </row>
    <row r="8" spans="1:11" ht="16.5">
      <c r="A8" s="2292" t="s">
        <v>587</v>
      </c>
      <c r="B8" s="2292">
        <f>SUM(I14:I23)</f>
        <v>0</v>
      </c>
      <c r="C8" s="2292" t="str">
        <f>IF(B8=I14,结果表!H112,ROUND(B8*10000/$B$1,0))</f>
        <v>——</v>
      </c>
      <c r="D8" s="2292">
        <f>ROUND(B8*10000/$B$2,0)</f>
        <v>0</v>
      </c>
      <c r="E8" s="2453"/>
      <c r="F8" s="2454"/>
      <c r="G8" s="2454"/>
      <c r="H8" s="2454"/>
      <c r="I8" s="2454"/>
      <c r="J8" s="2454"/>
      <c r="K8" s="2454"/>
    </row>
    <row r="9" spans="1:11" ht="16.5">
      <c r="A9" s="2292" t="s">
        <v>655</v>
      </c>
      <c r="B9" s="1240"/>
      <c r="C9" s="2453"/>
      <c r="D9" s="2453"/>
      <c r="E9" s="2453"/>
      <c r="F9" s="2454"/>
      <c r="G9" s="2454"/>
      <c r="H9" s="2454"/>
      <c r="I9" s="2454"/>
      <c r="J9" s="2454"/>
      <c r="K9" s="2454"/>
    </row>
    <row r="10" spans="1:11" ht="16.5">
      <c r="A10" s="2292" t="s">
        <v>654</v>
      </c>
      <c r="B10" s="2292">
        <f>IF(E10="",0,ROUND(B1*(E10*365/G10)/10000,0))</f>
        <v>0</v>
      </c>
      <c r="C10" s="2292" t="s">
        <v>3352</v>
      </c>
      <c r="D10" s="2292" t="s">
        <v>3353</v>
      </c>
      <c r="E10" s="3098"/>
      <c r="F10" s="3102" t="s">
        <v>3354</v>
      </c>
      <c r="G10" s="3099"/>
      <c r="H10" s="2454"/>
      <c r="I10" s="2454"/>
      <c r="J10" s="2454"/>
      <c r="K10" s="2454"/>
    </row>
    <row r="11" spans="1:11" ht="16.5">
      <c r="A11" s="2292" t="s">
        <v>670</v>
      </c>
      <c r="B11" s="1240"/>
      <c r="C11" s="2453"/>
      <c r="D11" s="2453"/>
      <c r="E11" s="2453"/>
      <c r="F11" s="2454"/>
      <c r="G11" s="2454"/>
      <c r="H11" s="2454"/>
      <c r="I11" s="2454"/>
      <c r="J11" s="2454"/>
      <c r="K11" s="2454"/>
    </row>
    <row r="12" spans="1:11" ht="16.5">
      <c r="A12" s="2453"/>
      <c r="B12" s="2453"/>
      <c r="C12" s="2453"/>
      <c r="D12" s="2453"/>
      <c r="E12" s="2453"/>
      <c r="F12" s="2454"/>
      <c r="G12" s="2454"/>
      <c r="H12" s="2454"/>
      <c r="I12" s="2454"/>
      <c r="J12" s="2454"/>
      <c r="K12" s="2454"/>
    </row>
    <row r="13" spans="1:11" ht="33">
      <c r="A13" s="2295" t="s">
        <v>669</v>
      </c>
      <c r="B13" s="2296" t="s">
        <v>666</v>
      </c>
      <c r="C13" s="2296" t="s">
        <v>668</v>
      </c>
      <c r="D13" s="2296" t="s">
        <v>667</v>
      </c>
      <c r="E13" s="2292" t="s">
        <v>659</v>
      </c>
      <c r="F13" s="2292" t="s">
        <v>658</v>
      </c>
      <c r="G13" s="2296" t="s">
        <v>652</v>
      </c>
      <c r="H13" s="2296" t="s">
        <v>663</v>
      </c>
      <c r="I13" s="2296" t="s">
        <v>651</v>
      </c>
      <c r="J13" s="2454"/>
      <c r="K13" s="2454"/>
    </row>
    <row r="14" spans="1:11" ht="16.5">
      <c r="A14" s="2297" t="s">
        <v>650</v>
      </c>
      <c r="B14" s="2298">
        <f>'数据-汇总表'!E3</f>
        <v>108765.47999999998</v>
      </c>
      <c r="C14" s="2298">
        <f>'数据-汇总表'!D3</f>
        <v>23493.01</v>
      </c>
      <c r="D14" s="2298">
        <f ca="1">结果表!H118</f>
        <v>242485</v>
      </c>
      <c r="E14" s="2298">
        <f ca="1">ROUND(D14*10000/B14,0)</f>
        <v>22294</v>
      </c>
      <c r="F14" s="2298">
        <f ca="1">ROUND(D14*10000/C14,0)</f>
        <v>103216</v>
      </c>
      <c r="G14" s="2298">
        <f ca="1">结果表!D122</f>
        <v>240165</v>
      </c>
      <c r="H14" s="2298"/>
      <c r="I14" s="2298"/>
      <c r="J14" s="2454"/>
      <c r="K14" s="2454"/>
    </row>
    <row r="15" spans="1:11" ht="16.5">
      <c r="A15" s="2297" t="s">
        <v>649</v>
      </c>
      <c r="B15" s="2299"/>
      <c r="C15" s="2299"/>
      <c r="D15" s="2299"/>
      <c r="E15" s="2298" t="e">
        <f t="shared" ref="E15:E23" si="0">ROUND(D15*10000/B15,0)</f>
        <v>#DIV/0!</v>
      </c>
      <c r="F15" s="2298" t="e">
        <f t="shared" ref="F15:F23" si="1">ROUND(D15*10000/C15,0)</f>
        <v>#DIV/0!</v>
      </c>
      <c r="G15" s="1240"/>
      <c r="H15" s="1240"/>
      <c r="I15" s="2299"/>
      <c r="J15" s="2454"/>
      <c r="K15" s="2454"/>
    </row>
    <row r="16" spans="1:11" ht="16.5">
      <c r="A16" s="2297" t="s">
        <v>648</v>
      </c>
      <c r="B16" s="2299"/>
      <c r="C16" s="2299"/>
      <c r="D16" s="2299"/>
      <c r="E16" s="2298" t="e">
        <f t="shared" si="0"/>
        <v>#DIV/0!</v>
      </c>
      <c r="F16" s="2298" t="e">
        <f t="shared" si="1"/>
        <v>#DIV/0!</v>
      </c>
      <c r="G16" s="1240"/>
      <c r="H16" s="1240"/>
      <c r="I16" s="2299"/>
      <c r="J16" s="2454"/>
      <c r="K16" s="2454"/>
    </row>
    <row r="17" spans="1:11" ht="16.5">
      <c r="A17" s="2297" t="s">
        <v>647</v>
      </c>
      <c r="B17" s="2299"/>
      <c r="C17" s="2299"/>
      <c r="D17" s="2299"/>
      <c r="E17" s="2298" t="e">
        <f t="shared" si="0"/>
        <v>#DIV/0!</v>
      </c>
      <c r="F17" s="2298" t="e">
        <f t="shared" si="1"/>
        <v>#DIV/0!</v>
      </c>
      <c r="G17" s="1240"/>
      <c r="H17" s="1240"/>
      <c r="I17" s="2299"/>
      <c r="J17" s="2454"/>
      <c r="K17" s="2454"/>
    </row>
    <row r="18" spans="1:11" ht="16.5">
      <c r="A18" s="2297" t="s">
        <v>646</v>
      </c>
      <c r="B18" s="2299"/>
      <c r="C18" s="2299"/>
      <c r="D18" s="2299"/>
      <c r="E18" s="2298" t="e">
        <f t="shared" si="0"/>
        <v>#DIV/0!</v>
      </c>
      <c r="F18" s="2298" t="e">
        <f t="shared" si="1"/>
        <v>#DIV/0!</v>
      </c>
      <c r="G18" s="2299"/>
      <c r="H18" s="2299"/>
      <c r="I18" s="2299"/>
      <c r="J18" s="2454"/>
      <c r="K18" s="2454"/>
    </row>
    <row r="19" spans="1:11" ht="16.5">
      <c r="A19" s="2297" t="s">
        <v>645</v>
      </c>
      <c r="B19" s="2299"/>
      <c r="C19" s="2299"/>
      <c r="D19" s="2299"/>
      <c r="E19" s="2298" t="e">
        <f t="shared" si="0"/>
        <v>#DIV/0!</v>
      </c>
      <c r="F19" s="2298" t="e">
        <f t="shared" si="1"/>
        <v>#DIV/0!</v>
      </c>
      <c r="G19" s="2299"/>
      <c r="H19" s="2299"/>
      <c r="I19" s="2299"/>
      <c r="J19" s="2454"/>
      <c r="K19" s="2454"/>
    </row>
    <row r="20" spans="1:11" ht="16.5">
      <c r="A20" s="2297" t="s">
        <v>644</v>
      </c>
      <c r="B20" s="2299"/>
      <c r="C20" s="2299"/>
      <c r="D20" s="2299"/>
      <c r="E20" s="2298" t="e">
        <f t="shared" si="0"/>
        <v>#DIV/0!</v>
      </c>
      <c r="F20" s="2298" t="e">
        <f t="shared" si="1"/>
        <v>#DIV/0!</v>
      </c>
      <c r="G20" s="2299"/>
      <c r="H20" s="2299"/>
      <c r="I20" s="2299"/>
      <c r="J20" s="2454"/>
      <c r="K20" s="2454"/>
    </row>
    <row r="21" spans="1:11" ht="16.5">
      <c r="A21" s="2297" t="s">
        <v>643</v>
      </c>
      <c r="B21" s="2299"/>
      <c r="C21" s="2299"/>
      <c r="D21" s="2299"/>
      <c r="E21" s="2298" t="e">
        <f t="shared" si="0"/>
        <v>#DIV/0!</v>
      </c>
      <c r="F21" s="2298" t="e">
        <f t="shared" si="1"/>
        <v>#DIV/0!</v>
      </c>
      <c r="G21" s="2299"/>
      <c r="H21" s="2299"/>
      <c r="I21" s="2299"/>
      <c r="J21" s="2454"/>
      <c r="K21" s="2454"/>
    </row>
    <row r="22" spans="1:11" ht="16.5">
      <c r="A22" s="2297" t="s">
        <v>642</v>
      </c>
      <c r="B22" s="2299"/>
      <c r="C22" s="2299"/>
      <c r="D22" s="2299"/>
      <c r="E22" s="2298" t="e">
        <f t="shared" si="0"/>
        <v>#DIV/0!</v>
      </c>
      <c r="F22" s="2298" t="e">
        <f t="shared" si="1"/>
        <v>#DIV/0!</v>
      </c>
      <c r="G22" s="2299"/>
      <c r="H22" s="2299"/>
      <c r="I22" s="2299"/>
      <c r="J22" s="2454"/>
      <c r="K22" s="2454"/>
    </row>
    <row r="23" spans="1:11" ht="16.5">
      <c r="A23" s="2297" t="s">
        <v>641</v>
      </c>
      <c r="B23" s="2299"/>
      <c r="C23" s="2299"/>
      <c r="D23" s="2299"/>
      <c r="E23" s="1240" t="e">
        <f t="shared" si="0"/>
        <v>#DIV/0!</v>
      </c>
      <c r="F23" s="1240" t="e">
        <f t="shared" si="1"/>
        <v>#DIV/0!</v>
      </c>
      <c r="G23" s="2299"/>
      <c r="H23" s="2299"/>
      <c r="I23" s="2299"/>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3" tint="0.39997558519241921"/>
    <pageSetUpPr fitToPage="1"/>
  </sheetPr>
  <dimension ref="A1:BH132"/>
  <sheetViews>
    <sheetView view="pageBreakPreview"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1809</v>
      </c>
      <c r="C1" s="1137" t="s">
        <v>1661</v>
      </c>
      <c r="D1" s="1138"/>
      <c r="E1" s="3093" t="s">
        <v>3452</v>
      </c>
      <c r="F1" s="1731" t="s">
        <v>3453</v>
      </c>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f>IF(E1="项目模式",IF(C2="——",ROUND(C50*D3/10000,0),ROUND(C50*D3/10000,0)-D2),IF(E1="单套模式",IF(C2="——",ROUND(C50*D3/10000,4),ROUND(C50*D3/10000,4)-D2)))</f>
        <v>791856</v>
      </c>
      <c r="C2" s="1733" t="s">
        <v>43</v>
      </c>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72804</v>
      </c>
      <c r="C3" s="344" t="s">
        <v>1767</v>
      </c>
      <c r="D3" s="343">
        <f>IF(D1="",'数据-汇总表'!E3,SUMIF('数据-汇总表'!$C19:$C33,D1,'数据-汇总表'!$E19:$E33))</f>
        <v>108765.47999999998</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5">
      <c r="A4" s="345" t="s">
        <v>1768</v>
      </c>
      <c r="B4" s="346"/>
      <c r="C4" s="3396" t="s">
        <v>1769</v>
      </c>
      <c r="D4" s="3397"/>
      <c r="E4" s="3398" t="s">
        <v>1770</v>
      </c>
      <c r="F4" s="3399"/>
      <c r="G4" s="3396" t="s">
        <v>1771</v>
      </c>
      <c r="H4" s="3397"/>
      <c r="I4" s="3396" t="s">
        <v>1772</v>
      </c>
      <c r="J4" s="3397"/>
      <c r="K4" s="537" t="s">
        <v>1773</v>
      </c>
      <c r="L4" s="2478"/>
      <c r="M4" s="2479"/>
      <c r="N4" s="2479"/>
      <c r="O4" s="2479"/>
      <c r="P4" s="3400" t="s">
        <v>1774</v>
      </c>
      <c r="Q4" s="3401"/>
      <c r="R4" s="3379" t="s">
        <v>1770</v>
      </c>
      <c r="S4" s="3380"/>
      <c r="T4" s="3379" t="s">
        <v>1771</v>
      </c>
      <c r="U4" s="3380"/>
      <c r="V4" s="3408" t="s">
        <v>1772</v>
      </c>
      <c r="W4" s="3408"/>
      <c r="X4" s="1805"/>
      <c r="Y4" s="3379" t="s">
        <v>1774</v>
      </c>
      <c r="Z4" s="3380"/>
      <c r="AA4" s="3374" t="s">
        <v>1770</v>
      </c>
      <c r="AB4" s="3374" t="s">
        <v>1771</v>
      </c>
      <c r="AC4" s="3393" t="s">
        <v>1772</v>
      </c>
    </row>
    <row r="5" spans="1:29" ht="15">
      <c r="A5" s="348"/>
      <c r="B5" s="349"/>
      <c r="C5" s="3385" t="s">
        <v>1672</v>
      </c>
      <c r="D5" s="3386"/>
      <c r="E5" s="3383" t="s">
        <v>3455</v>
      </c>
      <c r="F5" s="3384"/>
      <c r="G5" s="3410" t="s">
        <v>3456</v>
      </c>
      <c r="H5" s="3386"/>
      <c r="I5" s="3389" t="s">
        <v>3459</v>
      </c>
      <c r="J5" s="3386"/>
      <c r="K5" s="537"/>
      <c r="L5" s="2478"/>
      <c r="M5" s="2479"/>
      <c r="N5" s="2479"/>
      <c r="O5" s="2479"/>
      <c r="P5" s="3402"/>
      <c r="Q5" s="3403"/>
      <c r="R5" s="3381"/>
      <c r="S5" s="3382"/>
      <c r="T5" s="3381"/>
      <c r="U5" s="3382"/>
      <c r="V5" s="3409"/>
      <c r="W5" s="3409"/>
      <c r="X5" s="1261"/>
      <c r="Y5" s="3381"/>
      <c r="Z5" s="3382"/>
      <c r="AA5" s="3375"/>
      <c r="AB5" s="3375"/>
      <c r="AC5" s="3394"/>
    </row>
    <row r="6" spans="1:29" ht="15.75" thickBot="1">
      <c r="A6" s="350"/>
      <c r="B6" s="351"/>
      <c r="C6" s="3387" t="s">
        <v>1676</v>
      </c>
      <c r="D6" s="3388"/>
      <c r="E6" s="3390" t="s">
        <v>1676</v>
      </c>
      <c r="F6" s="3391"/>
      <c r="G6" s="3387" t="s">
        <v>1676</v>
      </c>
      <c r="H6" s="3388"/>
      <c r="I6" s="3387" t="s">
        <v>1676</v>
      </c>
      <c r="J6" s="3388"/>
      <c r="K6" s="537" t="s">
        <v>1677</v>
      </c>
      <c r="L6" s="2478"/>
      <c r="M6" s="2479"/>
      <c r="N6" s="2479"/>
      <c r="O6" s="2479"/>
      <c r="P6" s="3404"/>
      <c r="Q6" s="3405"/>
      <c r="R6" s="3381"/>
      <c r="S6" s="3382"/>
      <c r="T6" s="3406"/>
      <c r="U6" s="3407"/>
      <c r="V6" s="3409"/>
      <c r="W6" s="3409"/>
      <c r="X6" s="1261"/>
      <c r="Y6" s="3406"/>
      <c r="Z6" s="3407"/>
      <c r="AA6" s="3376"/>
      <c r="AB6" s="3376"/>
      <c r="AC6" s="3395"/>
    </row>
    <row r="7" spans="1:29" s="102" customFormat="1" ht="15.75" thickBot="1">
      <c r="A7" s="352" t="s">
        <v>1678</v>
      </c>
      <c r="B7" s="353"/>
      <c r="C7" s="354">
        <f>'数据-取费表'!B2</f>
        <v>45635</v>
      </c>
      <c r="D7" s="355">
        <v>100</v>
      </c>
      <c r="E7" s="356">
        <v>45286</v>
      </c>
      <c r="F7" s="357">
        <f>SUMIF(59:59,YEAR(E7)&amp;"-"&amp;MONTH(E7),60:60)</f>
        <v>100</v>
      </c>
      <c r="G7" s="356">
        <v>45393</v>
      </c>
      <c r="H7" s="355">
        <f>SUMIF(59:59,YEAR(G7)&amp;"-"&amp;MONTH(G7),60:60)</f>
        <v>100</v>
      </c>
      <c r="I7" s="356">
        <v>44224</v>
      </c>
      <c r="J7" s="355">
        <f>SUMIF(59:59,YEAR(I7)&amp;"-"&amp;MONTH(I7),60:60)</f>
        <v>100</v>
      </c>
      <c r="K7" s="38"/>
      <c r="L7" s="2480"/>
      <c r="M7" s="2432"/>
      <c r="N7" s="2432"/>
      <c r="O7" s="2432"/>
      <c r="P7" s="3411" t="s">
        <v>1679</v>
      </c>
      <c r="Q7" s="3412"/>
      <c r="R7" s="664" t="s">
        <v>14</v>
      </c>
      <c r="S7" s="665">
        <f t="shared" ref="S7:S15" si="0">F7</f>
        <v>100</v>
      </c>
      <c r="T7" s="664" t="s">
        <v>14</v>
      </c>
      <c r="U7" s="665">
        <f t="shared" ref="U7:U15" si="1">H7</f>
        <v>100</v>
      </c>
      <c r="V7" s="664" t="s">
        <v>14</v>
      </c>
      <c r="W7" s="665">
        <f t="shared" ref="W7:W15" si="2">J7</f>
        <v>100</v>
      </c>
      <c r="X7" s="666"/>
      <c r="Y7" s="3377" t="s">
        <v>1679</v>
      </c>
      <c r="Z7" s="3378"/>
      <c r="AA7" s="50">
        <f>D7/F7</f>
        <v>1</v>
      </c>
      <c r="AB7" s="50">
        <f>D7/H7</f>
        <v>1</v>
      </c>
      <c r="AC7" s="799">
        <f>D7/J7</f>
        <v>1</v>
      </c>
    </row>
    <row r="8" spans="1:29" s="102" customFormat="1" ht="15.75" thickBot="1">
      <c r="A8" s="352" t="s">
        <v>1680</v>
      </c>
      <c r="B8" s="353"/>
      <c r="C8" s="358" t="s">
        <v>3434</v>
      </c>
      <c r="D8" s="355">
        <v>100</v>
      </c>
      <c r="E8" s="358" t="s">
        <v>3434</v>
      </c>
      <c r="F8" s="357">
        <f>SUMIF(62:62,E8,63:63)-SUMIF(62:62,C8,63:63)+100</f>
        <v>100</v>
      </c>
      <c r="G8" s="358" t="s">
        <v>3434</v>
      </c>
      <c r="H8" s="355">
        <f>SUMIF(62:62,G8,63:63)-SUMIF(62:62,C8,63:63)+100</f>
        <v>100</v>
      </c>
      <c r="I8" s="358" t="s">
        <v>3434</v>
      </c>
      <c r="J8" s="355">
        <f>SUMIF(62:62,I8,63:63)-SUMIF(62:62,C8,63:63)+100</f>
        <v>100</v>
      </c>
      <c r="K8" s="38"/>
      <c r="L8" s="2480"/>
      <c r="M8" s="2432"/>
      <c r="N8" s="2432"/>
      <c r="O8" s="2432"/>
      <c r="P8" s="3411" t="s">
        <v>1682</v>
      </c>
      <c r="Q8" s="3378"/>
      <c r="R8" s="664" t="s">
        <v>14</v>
      </c>
      <c r="S8" s="665">
        <f t="shared" si="0"/>
        <v>100</v>
      </c>
      <c r="T8" s="664" t="s">
        <v>14</v>
      </c>
      <c r="U8" s="665">
        <f t="shared" si="1"/>
        <v>100</v>
      </c>
      <c r="V8" s="664" t="s">
        <v>14</v>
      </c>
      <c r="W8" s="665">
        <f t="shared" si="2"/>
        <v>100</v>
      </c>
      <c r="X8" s="666"/>
      <c r="Y8" s="3377" t="s">
        <v>1682</v>
      </c>
      <c r="Z8" s="3378"/>
      <c r="AA8" s="50">
        <f t="shared" ref="AA8:AA47" si="3">D8/F8</f>
        <v>1</v>
      </c>
      <c r="AB8" s="50">
        <f t="shared" ref="AB8:AB47" si="4">D8/H8</f>
        <v>1</v>
      </c>
      <c r="AC8" s="799">
        <f t="shared" ref="AC8:AC47" si="5">D8/J8</f>
        <v>1</v>
      </c>
    </row>
    <row r="9" spans="1:29" s="102" customFormat="1" ht="15">
      <c r="A9" s="359" t="s">
        <v>1683</v>
      </c>
      <c r="B9" s="60" t="s">
        <v>1684</v>
      </c>
      <c r="C9" s="360" t="s">
        <v>3421</v>
      </c>
      <c r="D9" s="59">
        <v>100</v>
      </c>
      <c r="E9" s="362" t="s">
        <v>21</v>
      </c>
      <c r="F9" s="59">
        <f>SUMIF(64:64,E9,65:65)-SUMIF(64:64,C9,65:65)+100</f>
        <v>95</v>
      </c>
      <c r="G9" s="361" t="s">
        <v>3421</v>
      </c>
      <c r="H9" s="59">
        <f>SUMIF(64:64,G9,65:65)-SUMIF(64:64,C9,65:65)+100</f>
        <v>100</v>
      </c>
      <c r="I9" s="361" t="s">
        <v>3421</v>
      </c>
      <c r="J9" s="59">
        <f>SUMIF(64:64,I9,65:65)-SUMIF(64:64,C9,65:65)+100</f>
        <v>100</v>
      </c>
      <c r="K9" s="38"/>
      <c r="L9" s="2480"/>
      <c r="M9" s="2432"/>
      <c r="N9" s="2432"/>
      <c r="O9" s="2432"/>
      <c r="P9" s="3392" t="s">
        <v>1685</v>
      </c>
      <c r="Q9" s="530" t="str">
        <f t="shared" ref="Q9:Q15" si="6">B9</f>
        <v>用途</v>
      </c>
      <c r="R9" s="664" t="s">
        <v>14</v>
      </c>
      <c r="S9" s="665">
        <f t="shared" si="0"/>
        <v>95</v>
      </c>
      <c r="T9" s="664" t="s">
        <v>14</v>
      </c>
      <c r="U9" s="665">
        <f t="shared" si="1"/>
        <v>100</v>
      </c>
      <c r="V9" s="664" t="s">
        <v>14</v>
      </c>
      <c r="W9" s="665">
        <f t="shared" si="2"/>
        <v>100</v>
      </c>
      <c r="X9" s="666"/>
      <c r="Y9" s="3346" t="s">
        <v>1686</v>
      </c>
      <c r="Z9" s="50" t="str">
        <f t="shared" ref="Z9:Z15" si="7">Q9</f>
        <v>用途</v>
      </c>
      <c r="AA9" s="50">
        <f t="shared" si="3"/>
        <v>1.0526315789473684</v>
      </c>
      <c r="AB9" s="50">
        <f t="shared" si="4"/>
        <v>1</v>
      </c>
      <c r="AC9" s="799">
        <f t="shared" si="5"/>
        <v>1</v>
      </c>
    </row>
    <row r="10" spans="1:29" s="366" customFormat="1" ht="27">
      <c r="A10" s="363"/>
      <c r="B10" s="364" t="s">
        <v>1687</v>
      </c>
      <c r="C10" s="3094" t="s">
        <v>3422</v>
      </c>
      <c r="D10" s="119">
        <v>100</v>
      </c>
      <c r="E10" s="3094" t="s">
        <v>3435</v>
      </c>
      <c r="F10" s="119">
        <f>SUMIF(66:66,E10,67:67)-SUMIF(66:66,C10,67:67)+100</f>
        <v>102</v>
      </c>
      <c r="G10" s="3095" t="s">
        <v>3435</v>
      </c>
      <c r="H10" s="119">
        <f>SUMIF(66:66,G10,67:67)-SUMIF(66:66,C10,67:67)+100</f>
        <v>102</v>
      </c>
      <c r="I10" s="3094" t="s">
        <v>3457</v>
      </c>
      <c r="J10" s="119">
        <f>SUMIF(66:66,I10,67:67)-SUMIF(66:66,C10,67:67)+100</f>
        <v>101</v>
      </c>
      <c r="K10" s="38"/>
      <c r="L10" s="2481"/>
      <c r="M10" s="2482"/>
      <c r="N10" s="2482"/>
      <c r="O10" s="2482"/>
      <c r="P10" s="3392"/>
      <c r="Q10" s="530" t="str">
        <f t="shared" si="6"/>
        <v>土地使用年限（年）</v>
      </c>
      <c r="R10" s="664" t="s">
        <v>14</v>
      </c>
      <c r="S10" s="665">
        <f t="shared" si="0"/>
        <v>102</v>
      </c>
      <c r="T10" s="664" t="s">
        <v>14</v>
      </c>
      <c r="U10" s="665">
        <f t="shared" si="1"/>
        <v>102</v>
      </c>
      <c r="V10" s="664" t="s">
        <v>14</v>
      </c>
      <c r="W10" s="665">
        <f t="shared" si="2"/>
        <v>101</v>
      </c>
      <c r="X10" s="666"/>
      <c r="Y10" s="3346"/>
      <c r="Z10" s="50" t="str">
        <f t="shared" si="7"/>
        <v>土地使用年限（年）</v>
      </c>
      <c r="AA10" s="50">
        <f t="shared" si="3"/>
        <v>0.98039215686274506</v>
      </c>
      <c r="AB10" s="50">
        <f t="shared" si="4"/>
        <v>0.98039215686274506</v>
      </c>
      <c r="AC10" s="799">
        <f t="shared" si="5"/>
        <v>0.99009900990099009</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3"/>
      <c r="M11" s="2479"/>
      <c r="N11" s="2479"/>
      <c r="O11" s="2479"/>
      <c r="P11" s="3392"/>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6">
        <v>2024</v>
      </c>
      <c r="H12" s="119">
        <f>SUMIF(71:71,G12,72:72)-SUMIF(71:71,C12,72:72)+100</f>
        <v>100</v>
      </c>
      <c r="I12" s="371">
        <v>2014</v>
      </c>
      <c r="J12" s="119">
        <f>SUMIF(71:71,I12,72:72)-SUMIF(71:71,C12,72:72)+100</f>
        <v>100</v>
      </c>
      <c r="K12" s="539"/>
      <c r="L12" s="2480"/>
      <c r="M12" s="2432"/>
      <c r="N12" s="2432"/>
      <c r="O12" s="2432"/>
      <c r="P12" s="3392"/>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4"/>
      <c r="M13" s="2479"/>
      <c r="N13" s="2479"/>
      <c r="O13" s="2479"/>
      <c r="P13" s="3392"/>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799">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392"/>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799">
        <f t="shared" si="5"/>
        <v>1</v>
      </c>
    </row>
    <row r="15" spans="1:29" ht="42.75">
      <c r="A15" s="379" t="s">
        <v>1689</v>
      </c>
      <c r="B15" s="554" t="s">
        <v>1810</v>
      </c>
      <c r="C15" s="1807" t="str">
        <f>估价对象房地状况!C5</f>
        <v>东旭国际中心、交控大厦、旭阳大厦，较好</v>
      </c>
      <c r="D15" s="380">
        <v>100</v>
      </c>
      <c r="E15" s="383" t="s">
        <v>3426</v>
      </c>
      <c r="F15" s="380">
        <f>SUMIF(77:77,E16,78:78)-SUMIF(77:77,C16,78:78)+100</f>
        <v>100</v>
      </c>
      <c r="G15" s="381" t="s">
        <v>3426</v>
      </c>
      <c r="H15" s="380">
        <f>SUMIF(77:77,G16,78:78)-SUMIF(77:77,C16,78:78)+100</f>
        <v>100</v>
      </c>
      <c r="I15" s="381" t="s">
        <v>3437</v>
      </c>
      <c r="J15" s="380">
        <f>SUMIF(77:77,I16,78:78)-SUMIF(77:77,C16,78:78)+100</f>
        <v>95</v>
      </c>
      <c r="K15" s="540">
        <v>5</v>
      </c>
      <c r="L15" s="2484"/>
      <c r="M15" s="2479"/>
      <c r="N15" s="2479"/>
      <c r="O15" s="2479"/>
      <c r="P15" s="3413" t="s">
        <v>1690</v>
      </c>
      <c r="Q15" s="1259" t="str">
        <f t="shared" si="6"/>
        <v>办公集聚程度</v>
      </c>
      <c r="R15" s="667" t="s">
        <v>14</v>
      </c>
      <c r="S15" s="668">
        <f t="shared" si="0"/>
        <v>100</v>
      </c>
      <c r="T15" s="667" t="s">
        <v>14</v>
      </c>
      <c r="U15" s="668">
        <f t="shared" si="1"/>
        <v>100</v>
      </c>
      <c r="V15" s="667" t="s">
        <v>14</v>
      </c>
      <c r="W15" s="668">
        <f t="shared" si="2"/>
        <v>95</v>
      </c>
      <c r="X15" s="1261"/>
      <c r="Y15" s="3415" t="s">
        <v>1690</v>
      </c>
      <c r="Z15" s="1260" t="str">
        <f t="shared" si="7"/>
        <v>办公集聚程度</v>
      </c>
      <c r="AA15" s="1260">
        <f t="shared" si="3"/>
        <v>1</v>
      </c>
      <c r="AB15" s="1260">
        <f t="shared" si="4"/>
        <v>1</v>
      </c>
      <c r="AC15" s="1808">
        <f t="shared" si="5"/>
        <v>1.0526315789473684</v>
      </c>
    </row>
    <row r="16" spans="1:29" ht="15">
      <c r="A16" s="367"/>
      <c r="B16" s="555"/>
      <c r="C16" s="1754" t="s">
        <v>3426</v>
      </c>
      <c r="D16" s="387"/>
      <c r="E16" s="386" t="s">
        <v>3426</v>
      </c>
      <c r="F16" s="387"/>
      <c r="G16" s="1754" t="s">
        <v>3426</v>
      </c>
      <c r="H16" s="389"/>
      <c r="I16" s="386" t="s">
        <v>3437</v>
      </c>
      <c r="J16" s="387"/>
      <c r="K16" s="541"/>
      <c r="L16" s="2484"/>
      <c r="M16" s="2479"/>
      <c r="N16" s="2479"/>
      <c r="O16" s="2479"/>
      <c r="P16" s="3414"/>
      <c r="Q16" s="1259"/>
      <c r="R16" s="667"/>
      <c r="S16" s="668"/>
      <c r="T16" s="667"/>
      <c r="U16" s="668"/>
      <c r="V16" s="667"/>
      <c r="W16" s="668"/>
      <c r="X16" s="1261"/>
      <c r="Y16" s="3416"/>
      <c r="Z16" s="1260"/>
      <c r="AA16" s="1260">
        <v>1</v>
      </c>
      <c r="AB16" s="1260">
        <v>1</v>
      </c>
      <c r="AC16" s="1808">
        <v>1</v>
      </c>
    </row>
    <row r="17" spans="1:29" ht="28.5">
      <c r="A17" s="367"/>
      <c r="B17" s="556" t="s">
        <v>1258</v>
      </c>
      <c r="C17" s="1809" t="str">
        <f>估价对象房地状况!C6</f>
        <v>9号线、房山线，较好</v>
      </c>
      <c r="D17" s="389">
        <v>100</v>
      </c>
      <c r="E17" s="393" t="s">
        <v>3426</v>
      </c>
      <c r="F17" s="389">
        <f>SUMIF(79:79,E18,80:80)-SUMIF(79:79,C18,80:80)+100</f>
        <v>100</v>
      </c>
      <c r="G17" s="391" t="s">
        <v>3426</v>
      </c>
      <c r="H17" s="394">
        <f>SUMIF(79:79,G18,80:80)-SUMIF(79:79,C18,80:80)+100</f>
        <v>100</v>
      </c>
      <c r="I17" s="391" t="s">
        <v>3426</v>
      </c>
      <c r="J17" s="394">
        <f>SUMIF(79:79,I18,80:80)-SUMIF(79:79,C18,80:80)+100</f>
        <v>100</v>
      </c>
      <c r="K17" s="540">
        <v>2</v>
      </c>
      <c r="L17" s="2484"/>
      <c r="M17" s="2479"/>
      <c r="N17" s="2479"/>
      <c r="O17" s="2479"/>
      <c r="P17" s="3414"/>
      <c r="Q17" s="1259" t="str">
        <f>B17</f>
        <v>交通便捷度</v>
      </c>
      <c r="R17" s="667" t="s">
        <v>14</v>
      </c>
      <c r="S17" s="668">
        <f>F17</f>
        <v>100</v>
      </c>
      <c r="T17" s="667" t="s">
        <v>14</v>
      </c>
      <c r="U17" s="668">
        <f>H17</f>
        <v>100</v>
      </c>
      <c r="V17" s="667" t="s">
        <v>14</v>
      </c>
      <c r="W17" s="668">
        <f>J17</f>
        <v>100</v>
      </c>
      <c r="X17" s="1261"/>
      <c r="Y17" s="3416"/>
      <c r="Z17" s="1260" t="str">
        <f>Q17</f>
        <v>交通便捷度</v>
      </c>
      <c r="AA17" s="1260">
        <f t="shared" si="3"/>
        <v>1</v>
      </c>
      <c r="AB17" s="1260">
        <f t="shared" si="4"/>
        <v>1</v>
      </c>
      <c r="AC17" s="1808">
        <f t="shared" si="5"/>
        <v>1</v>
      </c>
    </row>
    <row r="18" spans="1:29" ht="15">
      <c r="A18" s="367"/>
      <c r="B18" s="401"/>
      <c r="C18" s="1810" t="s">
        <v>3426</v>
      </c>
      <c r="D18" s="389"/>
      <c r="E18" s="1752" t="s">
        <v>3426</v>
      </c>
      <c r="F18" s="389"/>
      <c r="G18" s="1753" t="s">
        <v>3426</v>
      </c>
      <c r="H18" s="387"/>
      <c r="I18" s="1753" t="s">
        <v>3426</v>
      </c>
      <c r="J18" s="387"/>
      <c r="K18" s="541"/>
      <c r="L18" s="2484"/>
      <c r="M18" s="2479"/>
      <c r="N18" s="2479"/>
      <c r="O18" s="2479"/>
      <c r="P18" s="3414"/>
      <c r="Q18" s="1259"/>
      <c r="R18" s="667"/>
      <c r="S18" s="668"/>
      <c r="T18" s="667"/>
      <c r="U18" s="668"/>
      <c r="V18" s="667"/>
      <c r="W18" s="668"/>
      <c r="X18" s="1261"/>
      <c r="Y18" s="3416"/>
      <c r="Z18" s="1260"/>
      <c r="AA18" s="1260">
        <v>1</v>
      </c>
      <c r="AB18" s="1260">
        <v>1</v>
      </c>
      <c r="AC18" s="1808">
        <v>1</v>
      </c>
    </row>
    <row r="19" spans="1:29" ht="15">
      <c r="A19" s="367"/>
      <c r="B19" s="556" t="s">
        <v>1811</v>
      </c>
      <c r="C19" s="1809" t="str">
        <f>估价对象房地状况!C7</f>
        <v>较好</v>
      </c>
      <c r="D19" s="394">
        <v>100</v>
      </c>
      <c r="E19" s="398" t="s">
        <v>3426</v>
      </c>
      <c r="F19" s="394">
        <f>SUMIF(81:81,E20,82:82)-SUMIF(81:81,C20,82:82)+100</f>
        <v>100</v>
      </c>
      <c r="G19" s="396" t="s">
        <v>3426</v>
      </c>
      <c r="H19" s="389">
        <f>SUMIF(81:81,G20,82:82)-SUMIF(81:81,C20,82:82)+100</f>
        <v>100</v>
      </c>
      <c r="I19" s="396" t="s">
        <v>3426</v>
      </c>
      <c r="J19" s="389">
        <f>SUMIF(81:81,I20,82:82)-SUMIF(81:81,C20,82:82)+100</f>
        <v>100</v>
      </c>
      <c r="K19" s="540">
        <v>5</v>
      </c>
      <c r="L19" s="2484"/>
      <c r="M19" s="2479"/>
      <c r="N19" s="2479"/>
      <c r="O19" s="2479"/>
      <c r="P19" s="3414"/>
      <c r="Q19" s="1259" t="str">
        <f>B19</f>
        <v>公共配套设施</v>
      </c>
      <c r="R19" s="667" t="s">
        <v>14</v>
      </c>
      <c r="S19" s="668">
        <f>F19</f>
        <v>100</v>
      </c>
      <c r="T19" s="667" t="s">
        <v>14</v>
      </c>
      <c r="U19" s="668">
        <f>H19</f>
        <v>100</v>
      </c>
      <c r="V19" s="667" t="s">
        <v>14</v>
      </c>
      <c r="W19" s="668">
        <f>J19</f>
        <v>100</v>
      </c>
      <c r="X19" s="1261"/>
      <c r="Y19" s="3416"/>
      <c r="Z19" s="1260" t="str">
        <f>Q19</f>
        <v>公共配套设施</v>
      </c>
      <c r="AA19" s="1260">
        <f t="shared" si="3"/>
        <v>1</v>
      </c>
      <c r="AB19" s="1260">
        <f t="shared" si="4"/>
        <v>1</v>
      </c>
      <c r="AC19" s="1808">
        <f t="shared" si="5"/>
        <v>1</v>
      </c>
    </row>
    <row r="20" spans="1:29" ht="15">
      <c r="A20" s="367"/>
      <c r="B20" s="401"/>
      <c r="C20" s="1754" t="s">
        <v>3426</v>
      </c>
      <c r="D20" s="387"/>
      <c r="E20" s="1747" t="s">
        <v>3426</v>
      </c>
      <c r="F20" s="387"/>
      <c r="G20" s="1748" t="s">
        <v>3426</v>
      </c>
      <c r="H20" s="387"/>
      <c r="I20" s="1748" t="s">
        <v>3426</v>
      </c>
      <c r="J20" s="387"/>
      <c r="K20" s="541"/>
      <c r="L20" s="2484"/>
      <c r="M20" s="2479"/>
      <c r="N20" s="2479"/>
      <c r="O20" s="2479"/>
      <c r="P20" s="3414"/>
      <c r="Q20" s="1259"/>
      <c r="R20" s="667"/>
      <c r="S20" s="668"/>
      <c r="T20" s="667"/>
      <c r="U20" s="668"/>
      <c r="V20" s="667"/>
      <c r="W20" s="668"/>
      <c r="X20" s="1261"/>
      <c r="Y20" s="3416"/>
      <c r="Z20" s="1260"/>
      <c r="AA20" s="1260">
        <v>1</v>
      </c>
      <c r="AB20" s="1260">
        <v>1</v>
      </c>
      <c r="AC20" s="1808">
        <v>1</v>
      </c>
    </row>
    <row r="21" spans="1:29" ht="15">
      <c r="A21" s="367"/>
      <c r="B21" s="557" t="s">
        <v>1812</v>
      </c>
      <c r="C21" s="1809" t="str">
        <f>估价对象房地状况!C8</f>
        <v>七通</v>
      </c>
      <c r="D21" s="389">
        <v>100</v>
      </c>
      <c r="E21" s="398" t="s">
        <v>3436</v>
      </c>
      <c r="F21" s="394">
        <f>SUMIF(83:83,E22,84:84)-SUMIF(83:83,C22,84:84)+100</f>
        <v>100</v>
      </c>
      <c r="G21" s="396" t="s">
        <v>3436</v>
      </c>
      <c r="H21" s="389">
        <f>SUMIF(83:83,G22,84:84)-SUMIF(83:83,C22,84:84)+100</f>
        <v>100</v>
      </c>
      <c r="I21" s="396" t="s">
        <v>3436</v>
      </c>
      <c r="J21" s="389">
        <f>SUMIF(83:83,I22,84:84)-SUMIF(83:83,C22,84:84)+100</f>
        <v>100</v>
      </c>
      <c r="K21" s="540">
        <v>2</v>
      </c>
      <c r="L21" s="2484"/>
      <c r="M21" s="2479"/>
      <c r="N21" s="2479"/>
      <c r="O21" s="2479"/>
      <c r="P21" s="3414"/>
      <c r="Q21" s="1259" t="str">
        <f>B21</f>
        <v>基础设施水平</v>
      </c>
      <c r="R21" s="667" t="s">
        <v>14</v>
      </c>
      <c r="S21" s="668">
        <f>F21</f>
        <v>100</v>
      </c>
      <c r="T21" s="667" t="s">
        <v>14</v>
      </c>
      <c r="U21" s="668">
        <f>H21</f>
        <v>100</v>
      </c>
      <c r="V21" s="667" t="s">
        <v>14</v>
      </c>
      <c r="W21" s="668">
        <f>J21</f>
        <v>100</v>
      </c>
      <c r="X21" s="1261"/>
      <c r="Y21" s="3416"/>
      <c r="Z21" s="1260" t="str">
        <f>Q21</f>
        <v>基础设施水平</v>
      </c>
      <c r="AA21" s="1260">
        <f>D21/F21</f>
        <v>1</v>
      </c>
      <c r="AB21" s="1260">
        <f>D21/H21</f>
        <v>1</v>
      </c>
      <c r="AC21" s="1808">
        <f>D21/J21</f>
        <v>1</v>
      </c>
    </row>
    <row r="22" spans="1:29" ht="15">
      <c r="A22" s="367"/>
      <c r="B22" s="557"/>
      <c r="C22" s="1810" t="s">
        <v>3436</v>
      </c>
      <c r="D22" s="387"/>
      <c r="E22" s="386" t="s">
        <v>3436</v>
      </c>
      <c r="F22" s="387"/>
      <c r="G22" s="1754" t="s">
        <v>3436</v>
      </c>
      <c r="H22" s="387"/>
      <c r="I22" s="1754" t="s">
        <v>3436</v>
      </c>
      <c r="J22" s="387"/>
      <c r="K22" s="1061"/>
      <c r="L22" s="2484"/>
      <c r="M22" s="2479"/>
      <c r="N22" s="2479"/>
      <c r="O22" s="2479"/>
      <c r="P22" s="3414"/>
      <c r="Q22" s="1259"/>
      <c r="R22" s="667"/>
      <c r="S22" s="668"/>
      <c r="T22" s="667"/>
      <c r="U22" s="668"/>
      <c r="V22" s="667"/>
      <c r="W22" s="668"/>
      <c r="X22" s="1261"/>
      <c r="Y22" s="3416"/>
      <c r="Z22" s="1260"/>
      <c r="AA22" s="1260">
        <v>1</v>
      </c>
      <c r="AB22" s="1260">
        <v>1</v>
      </c>
      <c r="AC22" s="1808">
        <v>1</v>
      </c>
    </row>
    <row r="23" spans="1:29" ht="28.5">
      <c r="A23" s="367"/>
      <c r="B23" s="556" t="s">
        <v>1813</v>
      </c>
      <c r="C23" s="1809" t="str">
        <f>估价对象房地状况!C9</f>
        <v>白盆窑公园、国际法官学院，一般</v>
      </c>
      <c r="D23" s="389">
        <v>100</v>
      </c>
      <c r="E23" s="393" t="s">
        <v>3437</v>
      </c>
      <c r="F23" s="389">
        <f>SUMIF(85:85,E24,86:86)-SUMIF(85:85,C24,86:86)+100</f>
        <v>100</v>
      </c>
      <c r="G23" s="391" t="s">
        <v>3426</v>
      </c>
      <c r="H23" s="389">
        <f>SUMIF(85:85,G24,86:86)-SUMIF(85:85,C24,86:86)+100</f>
        <v>100</v>
      </c>
      <c r="I23" s="391" t="s">
        <v>3426</v>
      </c>
      <c r="J23" s="389">
        <f>SUMIF(85:85,I24,86:86)-SUMIF(85:85,C24,86:86)+100</f>
        <v>100</v>
      </c>
      <c r="K23" s="540">
        <v>5</v>
      </c>
      <c r="L23" s="2484"/>
      <c r="M23" s="2479"/>
      <c r="N23" s="2479"/>
      <c r="O23" s="2479"/>
      <c r="P23" s="3414"/>
      <c r="Q23" s="1259" t="str">
        <f>B23</f>
        <v>环境质量</v>
      </c>
      <c r="R23" s="667" t="s">
        <v>14</v>
      </c>
      <c r="S23" s="668">
        <f>F23</f>
        <v>100</v>
      </c>
      <c r="T23" s="667" t="s">
        <v>14</v>
      </c>
      <c r="U23" s="668">
        <f>H23</f>
        <v>100</v>
      </c>
      <c r="V23" s="667" t="s">
        <v>14</v>
      </c>
      <c r="W23" s="668">
        <f>J23</f>
        <v>100</v>
      </c>
      <c r="X23" s="1261"/>
      <c r="Y23" s="3416"/>
      <c r="Z23" s="1260" t="str">
        <f>Q23</f>
        <v>环境质量</v>
      </c>
      <c r="AA23" s="1260">
        <f t="shared" si="3"/>
        <v>1</v>
      </c>
      <c r="AB23" s="1260">
        <f t="shared" si="4"/>
        <v>1</v>
      </c>
      <c r="AC23" s="1808">
        <f t="shared" si="5"/>
        <v>1</v>
      </c>
    </row>
    <row r="24" spans="1:29" ht="15">
      <c r="A24" s="367"/>
      <c r="B24" s="557"/>
      <c r="C24" s="1754" t="s">
        <v>3426</v>
      </c>
      <c r="D24" s="387"/>
      <c r="E24" s="1747" t="s">
        <v>3426</v>
      </c>
      <c r="F24" s="387"/>
      <c r="G24" s="1748" t="s">
        <v>3426</v>
      </c>
      <c r="H24" s="387"/>
      <c r="I24" s="1748" t="s">
        <v>3426</v>
      </c>
      <c r="J24" s="387"/>
      <c r="K24" s="541"/>
      <c r="L24" s="2484"/>
      <c r="M24" s="2479"/>
      <c r="N24" s="2479"/>
      <c r="O24" s="2479"/>
      <c r="P24" s="3414"/>
      <c r="Q24" s="1259"/>
      <c r="R24" s="667"/>
      <c r="S24" s="668"/>
      <c r="T24" s="667"/>
      <c r="U24" s="668"/>
      <c r="V24" s="667"/>
      <c r="W24" s="668"/>
      <c r="X24" s="1261"/>
      <c r="Y24" s="3416"/>
      <c r="Z24" s="1260"/>
      <c r="AA24" s="1260">
        <v>1</v>
      </c>
      <c r="AB24" s="1260">
        <v>1</v>
      </c>
      <c r="AC24" s="1808">
        <v>1</v>
      </c>
    </row>
    <row r="25" spans="1:29" ht="27">
      <c r="A25" s="348"/>
      <c r="B25" s="556" t="s">
        <v>1814</v>
      </c>
      <c r="C25" s="1758"/>
      <c r="D25" s="374">
        <v>100</v>
      </c>
      <c r="E25" s="373"/>
      <c r="F25" s="374">
        <f>SUMIF(87:87,E26,88:88)-SUMIF(87:87,C26,88:88)+100</f>
        <v>100</v>
      </c>
      <c r="G25" s="1758"/>
      <c r="H25" s="374">
        <f>SUMIF(87:87,G26,88:88)-SUMIF(87:87,C26,88:88)+100</f>
        <v>100</v>
      </c>
      <c r="I25" s="373"/>
      <c r="J25" s="374">
        <f>SUMIF(87:87,I26,88:88)-SUMIF(87:87,C26,88:88)+100</f>
        <v>100</v>
      </c>
      <c r="K25" s="540"/>
      <c r="L25" s="2484"/>
      <c r="M25" s="2479"/>
      <c r="N25" s="2479"/>
      <c r="O25" s="2479"/>
      <c r="P25" s="3414"/>
      <c r="Q25" s="1259" t="str">
        <f>B25</f>
        <v>毗邻道路的类型与等级</v>
      </c>
      <c r="R25" s="667" t="s">
        <v>14</v>
      </c>
      <c r="S25" s="668">
        <f>F25</f>
        <v>100</v>
      </c>
      <c r="T25" s="667" t="s">
        <v>14</v>
      </c>
      <c r="U25" s="668">
        <f>H25</f>
        <v>100</v>
      </c>
      <c r="V25" s="667" t="s">
        <v>14</v>
      </c>
      <c r="W25" s="668">
        <f>J25</f>
        <v>100</v>
      </c>
      <c r="X25" s="1261"/>
      <c r="Y25" s="3416"/>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4"/>
      <c r="M26" s="2479"/>
      <c r="N26" s="2479"/>
      <c r="O26" s="2479"/>
      <c r="P26" s="3414"/>
      <c r="Q26" s="1259"/>
      <c r="R26" s="667"/>
      <c r="S26" s="668"/>
      <c r="T26" s="667"/>
      <c r="U26" s="668"/>
      <c r="V26" s="667"/>
      <c r="W26" s="668"/>
      <c r="X26" s="1261"/>
      <c r="Y26" s="3416"/>
      <c r="Z26" s="1260"/>
      <c r="AA26" s="1260">
        <v>1</v>
      </c>
      <c r="AB26" s="1260">
        <v>1</v>
      </c>
      <c r="AC26" s="1808">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414"/>
      <c r="Q27" s="1259" t="str">
        <f t="shared" ref="Q27:Q47" si="8">B27</f>
        <v>楼层</v>
      </c>
      <c r="R27" s="667" t="s">
        <v>14</v>
      </c>
      <c r="S27" s="668">
        <f>F27</f>
        <v>100</v>
      </c>
      <c r="T27" s="667" t="s">
        <v>14</v>
      </c>
      <c r="U27" s="668">
        <f>H27</f>
        <v>100</v>
      </c>
      <c r="V27" s="667" t="s">
        <v>14</v>
      </c>
      <c r="W27" s="668">
        <f>J27</f>
        <v>100</v>
      </c>
      <c r="X27" s="1261"/>
      <c r="Y27" s="3416"/>
      <c r="Z27" s="1260" t="str">
        <f>Q27</f>
        <v>楼层</v>
      </c>
      <c r="AA27" s="1260">
        <f t="shared" si="3"/>
        <v>1</v>
      </c>
      <c r="AB27" s="1260">
        <f t="shared" si="4"/>
        <v>1</v>
      </c>
      <c r="AC27" s="1808">
        <f t="shared" si="5"/>
        <v>1</v>
      </c>
    </row>
    <row r="28" spans="1:29" s="102" customFormat="1" ht="15">
      <c r="A28" s="370"/>
      <c r="B28" s="556" t="s">
        <v>1815</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2432"/>
      <c r="N28" s="2432"/>
      <c r="O28" s="2432"/>
      <c r="P28" s="3414"/>
      <c r="Q28" s="530" t="str">
        <f t="shared" si="8"/>
        <v>朝向</v>
      </c>
      <c r="R28" s="664" t="s">
        <v>14</v>
      </c>
      <c r="S28" s="665">
        <f>F28</f>
        <v>100</v>
      </c>
      <c r="T28" s="664" t="s">
        <v>14</v>
      </c>
      <c r="U28" s="665">
        <f>H28</f>
        <v>100</v>
      </c>
      <c r="V28" s="664" t="s">
        <v>14</v>
      </c>
      <c r="W28" s="665">
        <f>J28</f>
        <v>100</v>
      </c>
      <c r="X28" s="666"/>
      <c r="Y28" s="3416"/>
      <c r="Z28" s="50" t="str">
        <f>Q28</f>
        <v>朝向</v>
      </c>
      <c r="AA28" s="1260">
        <f>D28/F28</f>
        <v>1</v>
      </c>
      <c r="AB28" s="1260">
        <f>D28/H28</f>
        <v>1</v>
      </c>
      <c r="AC28" s="1808">
        <f>D28/J28</f>
        <v>1</v>
      </c>
    </row>
    <row r="29" spans="1:29" ht="15.75" thickBot="1">
      <c r="A29" s="367"/>
      <c r="B29" s="559" t="s">
        <v>3425</v>
      </c>
      <c r="C29" s="1759" t="s">
        <v>3426</v>
      </c>
      <c r="D29" s="374">
        <v>100</v>
      </c>
      <c r="E29" s="371" t="s">
        <v>3426</v>
      </c>
      <c r="F29" s="374">
        <f>SUMIF(93:93,E29,94:94)-SUMIF(93:93,C29,94:94)+100</f>
        <v>100</v>
      </c>
      <c r="G29" s="1806" t="s">
        <v>3426</v>
      </c>
      <c r="H29" s="374">
        <f>SUMIF(93:93,G29,94:94)-SUMIF(93:93,C29,94:94)+100</f>
        <v>100</v>
      </c>
      <c r="I29" s="371" t="s">
        <v>3426</v>
      </c>
      <c r="J29" s="374">
        <f>SUMIF(93:93,I29,94:94)-SUMIF(93:93,C29,94:94)+100</f>
        <v>100</v>
      </c>
      <c r="K29" s="539"/>
      <c r="L29" s="2484"/>
      <c r="M29" s="2479"/>
      <c r="N29" s="2479"/>
      <c r="O29" s="2479"/>
      <c r="P29" s="3414"/>
      <c r="Q29" s="1259" t="str">
        <f t="shared" si="8"/>
        <v>商业繁华度</v>
      </c>
      <c r="R29" s="667" t="s">
        <v>14</v>
      </c>
      <c r="S29" s="668">
        <f t="shared" ref="S29:S47" si="9">F29</f>
        <v>100</v>
      </c>
      <c r="T29" s="667" t="s">
        <v>14</v>
      </c>
      <c r="U29" s="668">
        <f t="shared" ref="U29:U47" si="10">H29</f>
        <v>100</v>
      </c>
      <c r="V29" s="667" t="s">
        <v>14</v>
      </c>
      <c r="W29" s="668">
        <f t="shared" ref="W29:W47" si="11">J29</f>
        <v>100</v>
      </c>
      <c r="X29" s="1261"/>
      <c r="Y29" s="3416"/>
      <c r="Z29" s="1260" t="str">
        <f t="shared" ref="Z29:Z47" si="12">Q29</f>
        <v>商业繁华度</v>
      </c>
      <c r="AA29" s="1260">
        <f t="shared" si="3"/>
        <v>1</v>
      </c>
      <c r="AB29" s="1260">
        <f t="shared" si="4"/>
        <v>1</v>
      </c>
      <c r="AC29" s="1808">
        <f t="shared" si="5"/>
        <v>1</v>
      </c>
    </row>
    <row r="30" spans="1:29" ht="15">
      <c r="A30" s="367"/>
      <c r="B30" s="1095"/>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414"/>
      <c r="Q30" s="1259">
        <f t="shared" si="8"/>
        <v>0</v>
      </c>
      <c r="R30" s="667" t="s">
        <v>14</v>
      </c>
      <c r="S30" s="668">
        <f t="shared" si="9"/>
        <v>100</v>
      </c>
      <c r="T30" s="667" t="s">
        <v>14</v>
      </c>
      <c r="U30" s="668">
        <f t="shared" si="10"/>
        <v>100</v>
      </c>
      <c r="V30" s="667" t="s">
        <v>14</v>
      </c>
      <c r="W30" s="668">
        <f t="shared" si="11"/>
        <v>100</v>
      </c>
      <c r="X30" s="1261"/>
      <c r="Y30" s="3416"/>
      <c r="Z30" s="1260">
        <f t="shared" si="12"/>
        <v>0</v>
      </c>
      <c r="AA30" s="1260">
        <f t="shared" si="3"/>
        <v>1</v>
      </c>
      <c r="AB30" s="1260">
        <f t="shared" si="4"/>
        <v>1</v>
      </c>
      <c r="AC30" s="1808">
        <f t="shared" si="5"/>
        <v>1</v>
      </c>
    </row>
    <row r="31" spans="1:29" ht="15">
      <c r="A31" s="367"/>
      <c r="B31" s="1095"/>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414"/>
      <c r="Q31" s="1259">
        <f t="shared" si="8"/>
        <v>0</v>
      </c>
      <c r="R31" s="667" t="s">
        <v>14</v>
      </c>
      <c r="S31" s="668">
        <f t="shared" si="9"/>
        <v>100</v>
      </c>
      <c r="T31" s="667" t="s">
        <v>14</v>
      </c>
      <c r="U31" s="668">
        <f t="shared" si="10"/>
        <v>100</v>
      </c>
      <c r="V31" s="667" t="s">
        <v>14</v>
      </c>
      <c r="W31" s="668">
        <f t="shared" si="11"/>
        <v>100</v>
      </c>
      <c r="X31" s="1261"/>
      <c r="Y31" s="3416"/>
      <c r="Z31" s="1260">
        <f t="shared" si="12"/>
        <v>0</v>
      </c>
      <c r="AA31" s="1260">
        <f t="shared" si="3"/>
        <v>1</v>
      </c>
      <c r="AB31" s="1260">
        <f t="shared" si="4"/>
        <v>1</v>
      </c>
      <c r="AC31" s="1808">
        <f t="shared" si="5"/>
        <v>1</v>
      </c>
    </row>
    <row r="32" spans="1:29" ht="15.75" thickBot="1">
      <c r="A32" s="375"/>
      <c r="B32" s="559"/>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414"/>
      <c r="Q32" s="1259">
        <f t="shared" si="8"/>
        <v>0</v>
      </c>
      <c r="R32" s="667" t="s">
        <v>14</v>
      </c>
      <c r="S32" s="668">
        <f t="shared" si="9"/>
        <v>100</v>
      </c>
      <c r="T32" s="667" t="s">
        <v>14</v>
      </c>
      <c r="U32" s="668">
        <f t="shared" si="10"/>
        <v>100</v>
      </c>
      <c r="V32" s="667" t="s">
        <v>14</v>
      </c>
      <c r="W32" s="668">
        <f t="shared" si="11"/>
        <v>100</v>
      </c>
      <c r="X32" s="1261"/>
      <c r="Y32" s="3416"/>
      <c r="Z32" s="1260">
        <f t="shared" si="12"/>
        <v>0</v>
      </c>
      <c r="AA32" s="1260">
        <f t="shared" si="3"/>
        <v>1</v>
      </c>
      <c r="AB32" s="1260">
        <f t="shared" si="4"/>
        <v>1</v>
      </c>
      <c r="AC32" s="1808">
        <f t="shared" si="5"/>
        <v>1</v>
      </c>
    </row>
    <row r="33" spans="1:29" ht="15">
      <c r="A33" s="379" t="s">
        <v>1693</v>
      </c>
      <c r="B33" s="60" t="s">
        <v>1816</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4"/>
      <c r="M33" s="2479"/>
      <c r="N33" s="2479"/>
      <c r="O33" s="2479"/>
      <c r="P33" s="3417" t="s">
        <v>1695</v>
      </c>
      <c r="Q33" s="1259" t="str">
        <f t="shared" si="8"/>
        <v>建筑类型</v>
      </c>
      <c r="R33" s="667" t="s">
        <v>14</v>
      </c>
      <c r="S33" s="668">
        <f t="shared" si="9"/>
        <v>100</v>
      </c>
      <c r="T33" s="667" t="s">
        <v>14</v>
      </c>
      <c r="U33" s="668">
        <f t="shared" si="10"/>
        <v>100</v>
      </c>
      <c r="V33" s="667" t="s">
        <v>14</v>
      </c>
      <c r="W33" s="668">
        <f t="shared" si="11"/>
        <v>100</v>
      </c>
      <c r="X33" s="1261"/>
      <c r="Y33" s="3420" t="s">
        <v>1695</v>
      </c>
      <c r="Z33" s="1260" t="str">
        <f t="shared" si="12"/>
        <v>建筑类型</v>
      </c>
      <c r="AA33" s="1260">
        <f t="shared" si="3"/>
        <v>1</v>
      </c>
      <c r="AB33" s="1260">
        <f t="shared" si="4"/>
        <v>1</v>
      </c>
      <c r="AC33" s="1808">
        <f t="shared" si="5"/>
        <v>1</v>
      </c>
    </row>
    <row r="34" spans="1:29" s="408" customFormat="1" ht="15">
      <c r="A34" s="406"/>
      <c r="B34" s="364" t="s">
        <v>1696</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3"/>
      <c r="M34" s="2485"/>
      <c r="N34" s="2485"/>
      <c r="O34" s="2485"/>
      <c r="P34" s="3418"/>
      <c r="Q34" s="531" t="str">
        <f t="shared" si="8"/>
        <v>项目建筑规模</v>
      </c>
      <c r="R34" s="669" t="s">
        <v>14</v>
      </c>
      <c r="S34" s="670">
        <f t="shared" si="9"/>
        <v>98</v>
      </c>
      <c r="T34" s="669" t="s">
        <v>14</v>
      </c>
      <c r="U34" s="670">
        <f t="shared" si="10"/>
        <v>100</v>
      </c>
      <c r="V34" s="669" t="s">
        <v>14</v>
      </c>
      <c r="W34" s="670">
        <f t="shared" si="11"/>
        <v>98</v>
      </c>
      <c r="X34" s="671"/>
      <c r="Y34" s="3420"/>
      <c r="Z34" s="672" t="str">
        <f t="shared" si="12"/>
        <v>项目建筑规模</v>
      </c>
      <c r="AA34" s="1260">
        <f t="shared" si="3"/>
        <v>1.0204081632653061</v>
      </c>
      <c r="AB34" s="1260">
        <f t="shared" si="4"/>
        <v>1</v>
      </c>
      <c r="AC34" s="1808">
        <f t="shared" si="5"/>
        <v>1.0204081632653061</v>
      </c>
    </row>
    <row r="35" spans="1:29" ht="15">
      <c r="A35" s="409"/>
      <c r="B35" s="364" t="s">
        <v>1697</v>
      </c>
      <c r="C35" s="399" t="s">
        <v>3418</v>
      </c>
      <c r="D35" s="374">
        <v>100</v>
      </c>
      <c r="E35" s="399" t="s">
        <v>3418</v>
      </c>
      <c r="F35" s="400">
        <f>SUMIF(106:106,E35,107:107)-SUMIF(106:106,C35,107:107)+100</f>
        <v>100</v>
      </c>
      <c r="G35" s="399" t="s">
        <v>3418</v>
      </c>
      <c r="H35" s="374">
        <f>SUMIF(106:106,G35,107:107)-SUMIF(106:106,C35,107:107)+100</f>
        <v>100</v>
      </c>
      <c r="I35" s="399" t="s">
        <v>3418</v>
      </c>
      <c r="J35" s="374">
        <f>SUMIF(106:106,I35,107:107)-SUMIF(106:106,C35,107:107)+100</f>
        <v>100</v>
      </c>
      <c r="K35" s="538">
        <v>2</v>
      </c>
      <c r="L35" s="2484"/>
      <c r="M35" s="2479"/>
      <c r="N35" s="2479"/>
      <c r="O35" s="2479"/>
      <c r="P35" s="3418"/>
      <c r="Q35" s="1259" t="str">
        <f t="shared" si="8"/>
        <v>建筑结构</v>
      </c>
      <c r="R35" s="667" t="s">
        <v>14</v>
      </c>
      <c r="S35" s="668">
        <f t="shared" si="9"/>
        <v>100</v>
      </c>
      <c r="T35" s="667" t="s">
        <v>14</v>
      </c>
      <c r="U35" s="668">
        <f t="shared" si="10"/>
        <v>100</v>
      </c>
      <c r="V35" s="667" t="s">
        <v>14</v>
      </c>
      <c r="W35" s="668">
        <f t="shared" si="11"/>
        <v>100</v>
      </c>
      <c r="X35" s="1261"/>
      <c r="Y35" s="3420"/>
      <c r="Z35" s="1260" t="str">
        <f t="shared" si="12"/>
        <v>建筑结构</v>
      </c>
      <c r="AA35" s="1260">
        <f t="shared" si="3"/>
        <v>1</v>
      </c>
      <c r="AB35" s="1260">
        <f t="shared" si="4"/>
        <v>1</v>
      </c>
      <c r="AC35" s="1808">
        <f t="shared" si="5"/>
        <v>1</v>
      </c>
    </row>
    <row r="36" spans="1:29" ht="15">
      <c r="A36" s="409"/>
      <c r="B36" s="364" t="s">
        <v>1784</v>
      </c>
      <c r="C36" s="399" t="s">
        <v>3427</v>
      </c>
      <c r="D36" s="374">
        <v>100</v>
      </c>
      <c r="E36" s="399" t="s">
        <v>3427</v>
      </c>
      <c r="F36" s="400">
        <f>SUMIF(108:108,E36,109:109)-SUMIF(108:108,C36,109:109)+100</f>
        <v>100</v>
      </c>
      <c r="G36" s="399" t="s">
        <v>3427</v>
      </c>
      <c r="H36" s="374">
        <f>SUMIF(108:108,G36,109:109)-SUMIF(108:108,C36,109:109)+100</f>
        <v>100</v>
      </c>
      <c r="I36" s="399" t="s">
        <v>3427</v>
      </c>
      <c r="J36" s="374">
        <f>SUMIF(108:108,I36,109:109)-SUMIF(108:108,C36,109:109)+100</f>
        <v>100</v>
      </c>
      <c r="K36" s="538">
        <v>2</v>
      </c>
      <c r="L36" s="2484"/>
      <c r="M36" s="2479"/>
      <c r="N36" s="2479"/>
      <c r="O36" s="2479"/>
      <c r="P36" s="3418"/>
      <c r="Q36" s="1259" t="str">
        <f t="shared" si="8"/>
        <v>公共部分装修</v>
      </c>
      <c r="R36" s="667" t="s">
        <v>14</v>
      </c>
      <c r="S36" s="668">
        <f t="shared" si="9"/>
        <v>100</v>
      </c>
      <c r="T36" s="667" t="s">
        <v>14</v>
      </c>
      <c r="U36" s="668">
        <f t="shared" si="10"/>
        <v>100</v>
      </c>
      <c r="V36" s="667" t="s">
        <v>14</v>
      </c>
      <c r="W36" s="668">
        <f t="shared" si="11"/>
        <v>100</v>
      </c>
      <c r="X36" s="1261"/>
      <c r="Y36" s="3420"/>
      <c r="Z36" s="1260" t="str">
        <f t="shared" si="12"/>
        <v>公共部分装修</v>
      </c>
      <c r="AA36" s="1260">
        <f t="shared" si="3"/>
        <v>1</v>
      </c>
      <c r="AB36" s="1260">
        <f t="shared" si="4"/>
        <v>1</v>
      </c>
      <c r="AC36" s="1808">
        <f t="shared" si="5"/>
        <v>1</v>
      </c>
    </row>
    <row r="37" spans="1:29" ht="15">
      <c r="A37" s="409"/>
      <c r="B37" s="364" t="s">
        <v>1785</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4"/>
      <c r="M37" s="2479"/>
      <c r="N37" s="2479"/>
      <c r="O37" s="2479"/>
      <c r="P37" s="3418"/>
      <c r="Q37" s="1259" t="str">
        <f t="shared" si="8"/>
        <v>成新度</v>
      </c>
      <c r="R37" s="667" t="s">
        <v>14</v>
      </c>
      <c r="S37" s="668">
        <f t="shared" si="9"/>
        <v>100</v>
      </c>
      <c r="T37" s="667" t="s">
        <v>14</v>
      </c>
      <c r="U37" s="668">
        <f t="shared" si="10"/>
        <v>100</v>
      </c>
      <c r="V37" s="667" t="s">
        <v>14</v>
      </c>
      <c r="W37" s="668">
        <f t="shared" si="11"/>
        <v>95</v>
      </c>
      <c r="X37" s="1261"/>
      <c r="Y37" s="3420"/>
      <c r="Z37" s="1260" t="str">
        <f t="shared" si="12"/>
        <v>成新度</v>
      </c>
      <c r="AA37" s="1260">
        <f t="shared" si="3"/>
        <v>1</v>
      </c>
      <c r="AB37" s="1260">
        <f t="shared" si="4"/>
        <v>1</v>
      </c>
      <c r="AC37" s="1808">
        <f t="shared" si="5"/>
        <v>1.0526315789473684</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0"/>
      <c r="M38" s="2432"/>
      <c r="N38" s="2432"/>
      <c r="O38" s="2432"/>
      <c r="P38" s="3418"/>
      <c r="Q38" s="530" t="str">
        <f t="shared" si="8"/>
        <v>写字楼等级</v>
      </c>
      <c r="R38" s="664" t="s">
        <v>14</v>
      </c>
      <c r="S38" s="665">
        <f t="shared" si="9"/>
        <v>100</v>
      </c>
      <c r="T38" s="664" t="s">
        <v>14</v>
      </c>
      <c r="U38" s="665">
        <f t="shared" si="10"/>
        <v>100</v>
      </c>
      <c r="V38" s="664" t="s">
        <v>14</v>
      </c>
      <c r="W38" s="665">
        <f t="shared" si="11"/>
        <v>100</v>
      </c>
      <c r="X38" s="666"/>
      <c r="Y38" s="3420"/>
      <c r="Z38" s="50" t="str">
        <f t="shared" si="12"/>
        <v>写字楼等级</v>
      </c>
      <c r="AA38" s="50">
        <f t="shared" si="3"/>
        <v>1</v>
      </c>
      <c r="AB38" s="50">
        <f t="shared" si="4"/>
        <v>1</v>
      </c>
      <c r="AC38" s="799">
        <f t="shared" si="5"/>
        <v>1</v>
      </c>
    </row>
    <row r="39" spans="1:29" ht="15">
      <c r="A39" s="409"/>
      <c r="B39" s="364" t="s">
        <v>1818</v>
      </c>
      <c r="C39" s="399" t="s">
        <v>3428</v>
      </c>
      <c r="D39" s="374">
        <v>100</v>
      </c>
      <c r="E39" s="399" t="s">
        <v>3428</v>
      </c>
      <c r="F39" s="400">
        <f>SUMIF(115:115,E39,116:116)-SUMIF(115:115,C39,116:116)+100</f>
        <v>100</v>
      </c>
      <c r="G39" s="399" t="s">
        <v>3428</v>
      </c>
      <c r="H39" s="374">
        <f>SUMIF(115:115,G39,116:116)-SUMIF(115:115,C39,116:116)+100</f>
        <v>100</v>
      </c>
      <c r="I39" s="399" t="s">
        <v>3428</v>
      </c>
      <c r="J39" s="374">
        <f>SUMIF(115:115,I39,116:116)-SUMIF(115:115,C39,116:116)+100</f>
        <v>100</v>
      </c>
      <c r="K39" s="538">
        <v>2</v>
      </c>
      <c r="L39" s="2484"/>
      <c r="M39" s="2479"/>
      <c r="N39" s="2479"/>
      <c r="O39" s="2479"/>
      <c r="P39" s="3418" t="s">
        <v>1695</v>
      </c>
      <c r="Q39" s="1259" t="str">
        <f t="shared" si="8"/>
        <v>物业管理</v>
      </c>
      <c r="R39" s="667" t="s">
        <v>14</v>
      </c>
      <c r="S39" s="668">
        <f t="shared" si="9"/>
        <v>100</v>
      </c>
      <c r="T39" s="667" t="s">
        <v>14</v>
      </c>
      <c r="U39" s="668">
        <f t="shared" si="10"/>
        <v>100</v>
      </c>
      <c r="V39" s="667" t="s">
        <v>14</v>
      </c>
      <c r="W39" s="668">
        <f t="shared" si="11"/>
        <v>100</v>
      </c>
      <c r="X39" s="1261"/>
      <c r="Y39" s="3420" t="s">
        <v>1695</v>
      </c>
      <c r="Z39" s="1260" t="str">
        <f t="shared" si="12"/>
        <v>物业管理</v>
      </c>
      <c r="AA39" s="1260">
        <f t="shared" si="3"/>
        <v>1</v>
      </c>
      <c r="AB39" s="1260">
        <f t="shared" si="4"/>
        <v>1</v>
      </c>
      <c r="AC39" s="1808">
        <f t="shared" si="5"/>
        <v>1</v>
      </c>
    </row>
    <row r="40" spans="1:29" ht="15">
      <c r="A40" s="409"/>
      <c r="B40" s="364" t="s">
        <v>1786</v>
      </c>
      <c r="C40" s="399" t="s">
        <v>3429</v>
      </c>
      <c r="D40" s="374">
        <v>100</v>
      </c>
      <c r="E40" s="399" t="s">
        <v>3429</v>
      </c>
      <c r="F40" s="400">
        <f>SUMIF(117:117,E40,118:118)-SUMIF(117:117,C40,118:118)+100</f>
        <v>100</v>
      </c>
      <c r="G40" s="399" t="s">
        <v>3429</v>
      </c>
      <c r="H40" s="374">
        <f>SUMIF(117:117,G40,118:118)-SUMIF(117:117,C40,118:118)+100</f>
        <v>100</v>
      </c>
      <c r="I40" s="399" t="s">
        <v>3429</v>
      </c>
      <c r="J40" s="374">
        <f>SUMIF(117:117,I40,118:118)-SUMIF(117:117,C40,118:118)+100</f>
        <v>100</v>
      </c>
      <c r="K40" s="538">
        <v>2</v>
      </c>
      <c r="L40" s="2484"/>
      <c r="M40" s="2479"/>
      <c r="N40" s="2479"/>
      <c r="O40" s="2479"/>
      <c r="P40" s="3418"/>
      <c r="Q40" s="1259" t="str">
        <f t="shared" si="8"/>
        <v>市政基础设施</v>
      </c>
      <c r="R40" s="667" t="s">
        <v>14</v>
      </c>
      <c r="S40" s="668">
        <f t="shared" si="9"/>
        <v>100</v>
      </c>
      <c r="T40" s="667" t="s">
        <v>14</v>
      </c>
      <c r="U40" s="668">
        <f t="shared" si="10"/>
        <v>100</v>
      </c>
      <c r="V40" s="667" t="s">
        <v>14</v>
      </c>
      <c r="W40" s="668">
        <f t="shared" si="11"/>
        <v>100</v>
      </c>
      <c r="X40" s="1261"/>
      <c r="Y40" s="3420"/>
      <c r="Z40" s="1260" t="str">
        <f t="shared" si="12"/>
        <v>市政基础设施</v>
      </c>
      <c r="AA40" s="1260">
        <f t="shared" si="3"/>
        <v>1</v>
      </c>
      <c r="AB40" s="1260">
        <f t="shared" si="4"/>
        <v>1</v>
      </c>
      <c r="AC40" s="1808">
        <f t="shared" si="5"/>
        <v>1</v>
      </c>
    </row>
    <row r="41" spans="1:29" ht="15">
      <c r="A41" s="409"/>
      <c r="B41" s="364" t="s">
        <v>1788</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84"/>
      <c r="M41" s="2479"/>
      <c r="N41" s="2479"/>
      <c r="O41" s="2479"/>
      <c r="P41" s="3418"/>
      <c r="Q41" s="1259" t="str">
        <f t="shared" si="8"/>
        <v>层高</v>
      </c>
      <c r="R41" s="667" t="s">
        <v>14</v>
      </c>
      <c r="S41" s="668">
        <f t="shared" si="9"/>
        <v>100</v>
      </c>
      <c r="T41" s="667" t="s">
        <v>14</v>
      </c>
      <c r="U41" s="668">
        <f t="shared" si="10"/>
        <v>100</v>
      </c>
      <c r="V41" s="667" t="s">
        <v>14</v>
      </c>
      <c r="W41" s="668">
        <f t="shared" si="11"/>
        <v>100</v>
      </c>
      <c r="X41" s="1261"/>
      <c r="Y41" s="3420"/>
      <c r="Z41" s="1260" t="str">
        <f t="shared" si="12"/>
        <v>层高</v>
      </c>
      <c r="AA41" s="1260">
        <f t="shared" si="3"/>
        <v>1</v>
      </c>
      <c r="AB41" s="1260">
        <f t="shared" si="4"/>
        <v>1</v>
      </c>
      <c r="AC41" s="1808">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418"/>
      <c r="Q42" s="531" t="str">
        <f t="shared" si="8"/>
        <v>单套建筑面积</v>
      </c>
      <c r="R42" s="669" t="s">
        <v>14</v>
      </c>
      <c r="S42" s="670">
        <f t="shared" si="9"/>
        <v>100</v>
      </c>
      <c r="T42" s="669" t="s">
        <v>14</v>
      </c>
      <c r="U42" s="670">
        <f t="shared" si="10"/>
        <v>100</v>
      </c>
      <c r="V42" s="669" t="s">
        <v>14</v>
      </c>
      <c r="W42" s="670">
        <f t="shared" si="11"/>
        <v>100</v>
      </c>
      <c r="X42" s="671"/>
      <c r="Y42" s="3420"/>
      <c r="Z42" s="672" t="str">
        <f t="shared" si="12"/>
        <v>单套建筑面积</v>
      </c>
      <c r="AA42" s="1260">
        <f t="shared" si="3"/>
        <v>1</v>
      </c>
      <c r="AB42" s="1260">
        <f t="shared" si="4"/>
        <v>1</v>
      </c>
      <c r="AC42" s="1808">
        <f t="shared" si="5"/>
        <v>1</v>
      </c>
    </row>
    <row r="43" spans="1:29" ht="15">
      <c r="A43" s="409"/>
      <c r="B43" s="364" t="s">
        <v>1791</v>
      </c>
      <c r="C43" s="399" t="s">
        <v>3431</v>
      </c>
      <c r="D43" s="374">
        <v>100</v>
      </c>
      <c r="E43" s="399" t="s">
        <v>3431</v>
      </c>
      <c r="F43" s="400">
        <f>SUMIF(123:123,E43,124:124)-SUMIF(123:123,C43,124:124)+100</f>
        <v>100</v>
      </c>
      <c r="G43" s="399" t="s">
        <v>3431</v>
      </c>
      <c r="H43" s="374">
        <f>SUMIF(123:123,G43,124:124)-SUMIF(123:123,C43,124:124)+100</f>
        <v>100</v>
      </c>
      <c r="I43" s="399" t="s">
        <v>3431</v>
      </c>
      <c r="J43" s="374">
        <f>SUMIF(123:123,I43,124:124)-SUMIF(123:123,C43,124:124)+100</f>
        <v>100</v>
      </c>
      <c r="K43" s="538">
        <v>2</v>
      </c>
      <c r="L43" s="2484"/>
      <c r="M43" s="2479"/>
      <c r="N43" s="2479"/>
      <c r="O43" s="2479"/>
      <c r="P43" s="3418"/>
      <c r="Q43" s="1259" t="str">
        <f t="shared" si="8"/>
        <v>内部装修</v>
      </c>
      <c r="R43" s="667" t="s">
        <v>14</v>
      </c>
      <c r="S43" s="668">
        <f t="shared" si="9"/>
        <v>100</v>
      </c>
      <c r="T43" s="667" t="s">
        <v>14</v>
      </c>
      <c r="U43" s="668">
        <f t="shared" si="10"/>
        <v>100</v>
      </c>
      <c r="V43" s="667" t="s">
        <v>14</v>
      </c>
      <c r="W43" s="668">
        <f t="shared" si="11"/>
        <v>100</v>
      </c>
      <c r="X43" s="1261"/>
      <c r="Y43" s="3420"/>
      <c r="Z43" s="1260" t="str">
        <f t="shared" si="12"/>
        <v>内部装修</v>
      </c>
      <c r="AA43" s="1260">
        <f t="shared" si="3"/>
        <v>1</v>
      </c>
      <c r="AB43" s="1260">
        <f t="shared" si="4"/>
        <v>1</v>
      </c>
      <c r="AC43" s="1808">
        <f t="shared" si="5"/>
        <v>1</v>
      </c>
    </row>
    <row r="44" spans="1:29" ht="15.75" thickBot="1">
      <c r="A44" s="409"/>
      <c r="B44" s="364" t="s">
        <v>1706</v>
      </c>
      <c r="C44" s="399" t="s">
        <v>3426</v>
      </c>
      <c r="D44" s="374">
        <v>100</v>
      </c>
      <c r="E44" s="1756" t="s">
        <v>3426</v>
      </c>
      <c r="F44" s="400">
        <f>SUMIF(125:125,E44,126:126)-SUMIF(125:125,C44,126:126)+100</f>
        <v>100</v>
      </c>
      <c r="G44" s="1756" t="s">
        <v>3426</v>
      </c>
      <c r="H44" s="374">
        <f>SUMIF(125:125,G44,126:126)-SUMIF(125:125,C44,126:126)+100</f>
        <v>100</v>
      </c>
      <c r="I44" s="1756" t="s">
        <v>3426</v>
      </c>
      <c r="J44" s="374">
        <f>SUMIF(125:125,I44,126:126)-SUMIF(125:125,C44,126:126)+100</f>
        <v>100</v>
      </c>
      <c r="K44" s="538">
        <v>2</v>
      </c>
      <c r="L44" s="2484"/>
      <c r="M44" s="2479"/>
      <c r="N44" s="2479"/>
      <c r="O44" s="2479"/>
      <c r="P44" s="3418"/>
      <c r="Q44" s="1259" t="str">
        <f t="shared" si="8"/>
        <v>内部装修维护情况</v>
      </c>
      <c r="R44" s="667" t="s">
        <v>14</v>
      </c>
      <c r="S44" s="668">
        <f t="shared" si="9"/>
        <v>100</v>
      </c>
      <c r="T44" s="667" t="s">
        <v>14</v>
      </c>
      <c r="U44" s="668">
        <f t="shared" si="10"/>
        <v>100</v>
      </c>
      <c r="V44" s="667" t="s">
        <v>14</v>
      </c>
      <c r="W44" s="668">
        <f t="shared" si="11"/>
        <v>100</v>
      </c>
      <c r="X44" s="1261"/>
      <c r="Y44" s="3420"/>
      <c r="Z44" s="1260" t="str">
        <f t="shared" si="12"/>
        <v>内部装修维护情况</v>
      </c>
      <c r="AA44" s="1260">
        <f t="shared" si="3"/>
        <v>1</v>
      </c>
      <c r="AB44" s="1260">
        <f t="shared" si="4"/>
        <v>1</v>
      </c>
      <c r="AC44" s="1808">
        <f t="shared" si="5"/>
        <v>1</v>
      </c>
    </row>
    <row r="45" spans="1:29" s="102" customFormat="1" ht="15.75" thickTop="1">
      <c r="A45" s="410"/>
      <c r="B45" s="3111" t="s">
        <v>3433</v>
      </c>
      <c r="C45" s="3110" t="s">
        <v>3432</v>
      </c>
      <c r="D45" s="119">
        <v>100</v>
      </c>
      <c r="E45" s="3119">
        <v>0.15</v>
      </c>
      <c r="F45" s="364">
        <f>SUMIF(127:127,E45,128:128)-SUMIF(127:127,C45,128:128)+100</f>
        <v>105</v>
      </c>
      <c r="G45" s="371">
        <v>0</v>
      </c>
      <c r="H45" s="119">
        <f>SUMIF(127:127,G45,128:128)-SUMIF(127:127,C45,128:128)+100</f>
        <v>115</v>
      </c>
      <c r="I45" s="3119">
        <v>0.15</v>
      </c>
      <c r="J45" s="119">
        <f>SUMIF(127:127,I45,128:128)-SUMIF(127:127,C45,128:128)+100</f>
        <v>105</v>
      </c>
      <c r="K45" s="539"/>
      <c r="L45" s="2480"/>
      <c r="M45" s="2432"/>
      <c r="N45" s="2432"/>
      <c r="O45" s="2432"/>
      <c r="P45" s="3418"/>
      <c r="Q45" s="530" t="str">
        <f t="shared" si="8"/>
        <v>地下占比</v>
      </c>
      <c r="R45" s="664" t="s">
        <v>14</v>
      </c>
      <c r="S45" s="665">
        <f t="shared" si="9"/>
        <v>105</v>
      </c>
      <c r="T45" s="664" t="s">
        <v>14</v>
      </c>
      <c r="U45" s="665">
        <f t="shared" si="10"/>
        <v>115</v>
      </c>
      <c r="V45" s="664" t="s">
        <v>14</v>
      </c>
      <c r="W45" s="665">
        <f t="shared" si="11"/>
        <v>105</v>
      </c>
      <c r="X45" s="666"/>
      <c r="Y45" s="3420"/>
      <c r="Z45" s="50" t="str">
        <f t="shared" si="12"/>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4"/>
      <c r="M46" s="2479"/>
      <c r="N46" s="2479"/>
      <c r="O46" s="2479"/>
      <c r="P46" s="3418"/>
      <c r="Q46" s="1259">
        <f t="shared" si="8"/>
        <v>111</v>
      </c>
      <c r="R46" s="667" t="s">
        <v>14</v>
      </c>
      <c r="S46" s="668">
        <f t="shared" si="9"/>
        <v>100</v>
      </c>
      <c r="T46" s="667" t="s">
        <v>14</v>
      </c>
      <c r="U46" s="668">
        <f t="shared" si="10"/>
        <v>100</v>
      </c>
      <c r="V46" s="667" t="s">
        <v>14</v>
      </c>
      <c r="W46" s="668">
        <f t="shared" si="11"/>
        <v>100</v>
      </c>
      <c r="X46" s="1261"/>
      <c r="Y46" s="3420"/>
      <c r="Z46" s="1260">
        <f t="shared" si="12"/>
        <v>111</v>
      </c>
      <c r="AA46" s="1260">
        <f t="shared" si="3"/>
        <v>1</v>
      </c>
      <c r="AB46" s="1260">
        <f t="shared" si="4"/>
        <v>1</v>
      </c>
      <c r="AC46" s="1808">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4"/>
      <c r="M47" s="2479"/>
      <c r="N47" s="2479"/>
      <c r="O47" s="2479"/>
      <c r="P47" s="3419"/>
      <c r="Q47" s="1259">
        <f t="shared" si="8"/>
        <v>111</v>
      </c>
      <c r="R47" s="667" t="s">
        <v>14</v>
      </c>
      <c r="S47" s="668">
        <f t="shared" si="9"/>
        <v>100</v>
      </c>
      <c r="T47" s="667" t="s">
        <v>14</v>
      </c>
      <c r="U47" s="668">
        <f t="shared" si="10"/>
        <v>100</v>
      </c>
      <c r="V47" s="667" t="s">
        <v>14</v>
      </c>
      <c r="W47" s="668">
        <f t="shared" si="11"/>
        <v>100</v>
      </c>
      <c r="X47" s="1261"/>
      <c r="Y47" s="3421"/>
      <c r="Z47" s="1260">
        <f t="shared" si="12"/>
        <v>111</v>
      </c>
      <c r="AA47" s="1260">
        <f t="shared" si="3"/>
        <v>1</v>
      </c>
      <c r="AB47" s="1260">
        <f t="shared" si="4"/>
        <v>1</v>
      </c>
      <c r="AC47" s="1808">
        <f t="shared" si="5"/>
        <v>1</v>
      </c>
    </row>
    <row r="48" spans="1:29" ht="15">
      <c r="A48" s="416" t="s">
        <v>1707</v>
      </c>
      <c r="B48" s="417"/>
      <c r="C48" s="1078" t="s">
        <v>0</v>
      </c>
      <c r="D48" s="418"/>
      <c r="E48" s="419">
        <v>76797</v>
      </c>
      <c r="F48" s="420"/>
      <c r="G48" s="421">
        <v>78407</v>
      </c>
      <c r="H48" s="422"/>
      <c r="I48" s="419">
        <v>69925</v>
      </c>
      <c r="J48" s="422"/>
      <c r="K48" s="674"/>
      <c r="L48" s="2486"/>
      <c r="M48" s="2479"/>
      <c r="N48" s="2479"/>
      <c r="O48" s="2479"/>
      <c r="P48" s="3392" t="str">
        <f>A48</f>
        <v>成交单价（元/平方米）</v>
      </c>
      <c r="Q48" s="3422"/>
      <c r="R48" s="3409">
        <f>E48</f>
        <v>76797</v>
      </c>
      <c r="S48" s="3409"/>
      <c r="T48" s="3409">
        <f>G48</f>
        <v>78407</v>
      </c>
      <c r="U48" s="3409"/>
      <c r="V48" s="3409">
        <f>I48</f>
        <v>69925</v>
      </c>
      <c r="W48" s="3409"/>
      <c r="X48" s="385"/>
      <c r="Y48" s="673"/>
      <c r="Z48" s="385"/>
      <c r="AA48" s="385"/>
      <c r="AB48" s="385"/>
      <c r="AC48" s="555"/>
    </row>
    <row r="49" spans="1:60" ht="15.75" thickBot="1">
      <c r="A49" s="423" t="s">
        <v>1792</v>
      </c>
      <c r="B49" s="424"/>
      <c r="C49" s="1079">
        <f>R50</f>
        <v>72804</v>
      </c>
      <c r="D49" s="2136" t="s">
        <v>2136</v>
      </c>
      <c r="E49" s="1080">
        <f>R49</f>
        <v>77020</v>
      </c>
      <c r="F49" s="2137"/>
      <c r="G49" s="1079">
        <f>T49</f>
        <v>66843</v>
      </c>
      <c r="H49" s="2137"/>
      <c r="I49" s="1080">
        <f>V49</f>
        <v>74550</v>
      </c>
      <c r="J49" s="2137"/>
      <c r="K49" s="2139">
        <f>F49+H49+J49</f>
        <v>0</v>
      </c>
      <c r="L49" s="2486"/>
      <c r="M49" s="2479"/>
      <c r="N49" s="2479"/>
      <c r="O49" s="2479"/>
      <c r="P49" s="3392" t="str">
        <f>A49</f>
        <v>比较价值（元/平方米）</v>
      </c>
      <c r="Q49" s="3422"/>
      <c r="R49" s="3409">
        <f>IF(F1="售价",ROUND(PRODUCT(R48,AA7:AA47),0),ROUND(PRODUCT(R48,AA7:AA47),1))</f>
        <v>77020</v>
      </c>
      <c r="S49" s="3409"/>
      <c r="T49" s="3409">
        <f>IF(F1="售价",ROUND(PRODUCT(T48,AB7:AB47),0),ROUND(PRODUCT(T48,AB7:AB47),1))</f>
        <v>66843</v>
      </c>
      <c r="U49" s="3409"/>
      <c r="V49" s="3409">
        <f>IF(F1="售价",ROUND(PRODUCT(V48,AC7:AC47),0),ROUND(PRODUCT(V48,AC7:AC47),1))</f>
        <v>74550</v>
      </c>
      <c r="W49" s="3409"/>
      <c r="X49" s="385"/>
      <c r="Y49" s="385"/>
      <c r="Z49" s="385"/>
      <c r="AA49" s="385"/>
      <c r="AB49" s="385"/>
      <c r="AC49" s="555"/>
    </row>
    <row r="50" spans="1:60" ht="15.75" thickBot="1">
      <c r="A50" s="427" t="s">
        <v>1793</v>
      </c>
      <c r="B50" s="428"/>
      <c r="C50" s="351">
        <f>R50</f>
        <v>72804</v>
      </c>
      <c r="D50" s="351"/>
      <c r="E50" s="351"/>
      <c r="F50" s="351"/>
      <c r="G50" s="351"/>
      <c r="H50" s="351"/>
      <c r="I50" s="351"/>
      <c r="J50" s="429"/>
      <c r="K50" s="675"/>
      <c r="L50" s="2486"/>
      <c r="M50" s="2479"/>
      <c r="N50" s="2479"/>
      <c r="O50" s="2479"/>
      <c r="P50" s="3423" t="str">
        <f>A50</f>
        <v>估价对象XX用房的比较价值（楼面单价，元/平方米）</v>
      </c>
      <c r="Q50" s="3424"/>
      <c r="R50" s="3425">
        <f>IF(F1="售价",ROUND(IF(D49="简单平均",AVERAGE(R49:V49),R49*F49+T49*H49+V49*J49),0),ROUND(IF(D49="简单平均",AVERAGE(R49:V49),R49*F49+T49*H49+V49*J49),1))</f>
        <v>72804</v>
      </c>
      <c r="S50" s="3425"/>
      <c r="T50" s="3425"/>
      <c r="U50" s="3425"/>
      <c r="V50" s="3425"/>
      <c r="W50" s="3425"/>
      <c r="X50" s="1794"/>
      <c r="Y50" s="1794"/>
      <c r="Z50" s="1794"/>
      <c r="AA50" s="1794"/>
      <c r="AB50" s="1794"/>
      <c r="AC50" s="1795"/>
    </row>
    <row r="51" spans="1:60">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60">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60" ht="13.5" customHeight="1">
      <c r="A53" s="2479"/>
      <c r="B53" s="2479"/>
      <c r="C53" s="432" t="s">
        <v>1794</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60" ht="13.5" customHeight="1">
      <c r="A54" s="2479"/>
      <c r="B54" s="2479"/>
      <c r="C54" s="432" t="s">
        <v>1795</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60" s="437" customFormat="1" ht="13.5" customHeight="1">
      <c r="A55" s="2489"/>
      <c r="B55" s="2489"/>
      <c r="C55" s="432" t="s">
        <v>1796</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60"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60">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60" ht="21.75" thickBot="1">
      <c r="A58" s="658" t="s">
        <v>1797</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60" s="442" customFormat="1" ht="15">
      <c r="A59" s="440" t="s">
        <v>1678</v>
      </c>
      <c r="B59" s="441"/>
      <c r="C59" s="1099" t="str">
        <f>YEAR(C7)&amp;"-"&amp;MONTH(C7)</f>
        <v>2024-12</v>
      </c>
      <c r="D59" s="1100">
        <f>EDATE(C59,-1)</f>
        <v>45597</v>
      </c>
      <c r="E59" s="1100">
        <f>EDATE(D59,-1)</f>
        <v>45566</v>
      </c>
      <c r="F59" s="1100">
        <f t="shared" ref="F59:O59" si="13">EDATE(E59,-1)</f>
        <v>45536</v>
      </c>
      <c r="G59" s="1100">
        <f t="shared" si="13"/>
        <v>45505</v>
      </c>
      <c r="H59" s="1100">
        <f t="shared" si="13"/>
        <v>45474</v>
      </c>
      <c r="I59" s="1100">
        <f t="shared" si="13"/>
        <v>45444</v>
      </c>
      <c r="J59" s="1100">
        <f t="shared" si="13"/>
        <v>45413</v>
      </c>
      <c r="K59" s="1100">
        <f t="shared" si="13"/>
        <v>45383</v>
      </c>
      <c r="L59" s="1100">
        <f t="shared" si="13"/>
        <v>45352</v>
      </c>
      <c r="M59" s="1100">
        <f t="shared" si="13"/>
        <v>45323</v>
      </c>
      <c r="N59" s="1100">
        <f t="shared" si="13"/>
        <v>45292</v>
      </c>
      <c r="O59" s="1100">
        <f t="shared" si="13"/>
        <v>45261</v>
      </c>
      <c r="P59" s="3112">
        <f t="shared" ref="P59:BH59" si="14">EDATE(O59,-1)</f>
        <v>45231</v>
      </c>
      <c r="Q59" s="3112">
        <f t="shared" si="14"/>
        <v>45200</v>
      </c>
      <c r="R59" s="3112">
        <f t="shared" si="14"/>
        <v>45170</v>
      </c>
      <c r="S59" s="3112">
        <f t="shared" si="14"/>
        <v>45139</v>
      </c>
      <c r="T59" s="3112">
        <f t="shared" si="14"/>
        <v>45108</v>
      </c>
      <c r="U59" s="3112">
        <f t="shared" si="14"/>
        <v>45078</v>
      </c>
      <c r="V59" s="3112">
        <f t="shared" si="14"/>
        <v>45047</v>
      </c>
      <c r="W59" s="3112">
        <f t="shared" si="14"/>
        <v>45017</v>
      </c>
      <c r="X59" s="3112">
        <f t="shared" si="14"/>
        <v>44986</v>
      </c>
      <c r="Y59" s="3112">
        <f t="shared" si="14"/>
        <v>44958</v>
      </c>
      <c r="Z59" s="3112">
        <f t="shared" si="14"/>
        <v>44927</v>
      </c>
      <c r="AA59" s="3112">
        <f t="shared" si="14"/>
        <v>44896</v>
      </c>
      <c r="AB59" s="3112">
        <f t="shared" si="14"/>
        <v>44866</v>
      </c>
      <c r="AC59" s="3112">
        <f t="shared" si="14"/>
        <v>44835</v>
      </c>
      <c r="AD59" s="3112">
        <f t="shared" si="14"/>
        <v>44805</v>
      </c>
      <c r="AE59" s="3112">
        <f t="shared" si="14"/>
        <v>44774</v>
      </c>
      <c r="AF59" s="3112">
        <f t="shared" si="14"/>
        <v>44743</v>
      </c>
      <c r="AG59" s="3112">
        <f t="shared" si="14"/>
        <v>44713</v>
      </c>
      <c r="AH59" s="3112">
        <f t="shared" si="14"/>
        <v>44682</v>
      </c>
      <c r="AI59" s="3112">
        <f t="shared" si="14"/>
        <v>44652</v>
      </c>
      <c r="AJ59" s="3112">
        <f t="shared" si="14"/>
        <v>44621</v>
      </c>
      <c r="AK59" s="3112">
        <f t="shared" si="14"/>
        <v>44593</v>
      </c>
      <c r="AL59" s="3112">
        <f t="shared" si="14"/>
        <v>44562</v>
      </c>
      <c r="AM59" s="3112">
        <f t="shared" si="14"/>
        <v>44531</v>
      </c>
      <c r="AN59" s="3112">
        <f t="shared" si="14"/>
        <v>44501</v>
      </c>
      <c r="AO59" s="3112">
        <f t="shared" si="14"/>
        <v>44470</v>
      </c>
      <c r="AP59" s="3112">
        <f t="shared" si="14"/>
        <v>44440</v>
      </c>
      <c r="AQ59" s="3112">
        <f t="shared" si="14"/>
        <v>44409</v>
      </c>
      <c r="AR59" s="3112">
        <f t="shared" si="14"/>
        <v>44378</v>
      </c>
      <c r="AS59" s="3112">
        <f t="shared" si="14"/>
        <v>44348</v>
      </c>
      <c r="AT59" s="3112">
        <f t="shared" si="14"/>
        <v>44317</v>
      </c>
      <c r="AU59" s="3112">
        <f t="shared" si="14"/>
        <v>44287</v>
      </c>
      <c r="AV59" s="3112">
        <f t="shared" si="14"/>
        <v>44256</v>
      </c>
      <c r="AW59" s="3112">
        <f t="shared" si="14"/>
        <v>44228</v>
      </c>
      <c r="AX59" s="3112">
        <f t="shared" si="14"/>
        <v>44197</v>
      </c>
      <c r="AY59" s="3112">
        <f t="shared" si="14"/>
        <v>44166</v>
      </c>
      <c r="AZ59" s="3112">
        <f t="shared" si="14"/>
        <v>44136</v>
      </c>
      <c r="BA59" s="3112">
        <f t="shared" si="14"/>
        <v>44105</v>
      </c>
      <c r="BB59" s="3112">
        <f t="shared" si="14"/>
        <v>44075</v>
      </c>
      <c r="BC59" s="3112">
        <f t="shared" si="14"/>
        <v>44044</v>
      </c>
      <c r="BD59" s="3112">
        <f t="shared" si="14"/>
        <v>44013</v>
      </c>
      <c r="BE59" s="3112">
        <f t="shared" si="14"/>
        <v>43983</v>
      </c>
      <c r="BF59" s="3112">
        <f t="shared" si="14"/>
        <v>43952</v>
      </c>
      <c r="BG59" s="3112">
        <f t="shared" si="14"/>
        <v>43922</v>
      </c>
      <c r="BH59" s="3112">
        <f t="shared" si="14"/>
        <v>43891</v>
      </c>
    </row>
    <row r="60" spans="1:60" s="102" customFormat="1" ht="15">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1715</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2"/>
      <c r="AC61" s="2432"/>
    </row>
    <row r="62" spans="1:60" s="102" customFormat="1" ht="15">
      <c r="A62" s="455" t="s">
        <v>1680</v>
      </c>
      <c r="B62" s="444"/>
      <c r="C62" s="456" t="s">
        <v>1775</v>
      </c>
      <c r="D62" s="31"/>
      <c r="E62" s="31"/>
      <c r="F62" s="31"/>
      <c r="G62" s="31"/>
      <c r="H62" s="31"/>
      <c r="I62" s="31"/>
      <c r="J62" s="31"/>
      <c r="K62" s="31"/>
      <c r="L62" s="457"/>
      <c r="M62" s="458"/>
      <c r="N62" s="2512"/>
      <c r="O62" s="2512"/>
      <c r="P62" s="2521"/>
      <c r="Q62" s="2500"/>
      <c r="R62" s="2432"/>
      <c r="S62" s="2432"/>
      <c r="T62" s="2432"/>
      <c r="U62" s="2432"/>
      <c r="V62" s="2432"/>
      <c r="W62" s="2432"/>
      <c r="X62" s="2432"/>
      <c r="Y62" s="2432"/>
      <c r="Z62" s="2432"/>
      <c r="AA62" s="2432"/>
      <c r="AB62" s="2432"/>
      <c r="AC62" s="2432"/>
    </row>
    <row r="63" spans="1:60" s="102" customFormat="1" ht="15.75" thickBot="1">
      <c r="A63" s="455"/>
      <c r="B63" s="444"/>
      <c r="C63" s="445">
        <v>100</v>
      </c>
      <c r="D63" s="446"/>
      <c r="E63" s="446"/>
      <c r="F63" s="446"/>
      <c r="G63" s="446"/>
      <c r="H63" s="446"/>
      <c r="I63" s="446"/>
      <c r="J63" s="446"/>
      <c r="K63" s="446"/>
      <c r="L63" s="446"/>
      <c r="M63" s="448"/>
      <c r="N63" s="2512"/>
      <c r="O63" s="2512"/>
      <c r="P63" s="2520"/>
      <c r="Q63" s="2500"/>
      <c r="R63" s="2432"/>
      <c r="S63" s="2432"/>
      <c r="T63" s="2432"/>
      <c r="U63" s="2432"/>
      <c r="V63" s="2432"/>
      <c r="W63" s="2432"/>
      <c r="X63" s="2432"/>
      <c r="Y63" s="2432"/>
      <c r="Z63" s="2432"/>
      <c r="AA63" s="2432"/>
      <c r="AB63" s="2432"/>
      <c r="AC63" s="2432"/>
    </row>
    <row r="64" spans="1:60">
      <c r="A64" s="379" t="s">
        <v>1718</v>
      </c>
      <c r="B64" s="460" t="s">
        <v>1684</v>
      </c>
      <c r="C64" s="461" t="str">
        <f>C9</f>
        <v>商办综合</v>
      </c>
      <c r="D64" s="3114" t="s">
        <v>460</v>
      </c>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ht="15.75" thickBot="1">
      <c r="A65" s="367"/>
      <c r="B65" s="466"/>
      <c r="C65" s="467">
        <v>100</v>
      </c>
      <c r="D65" s="467">
        <v>95</v>
      </c>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ht="27.75" thickTop="1">
      <c r="A66" s="367"/>
      <c r="B66" s="469" t="s">
        <v>1687</v>
      </c>
      <c r="C66" s="513" t="s">
        <v>3438</v>
      </c>
      <c r="D66" s="513" t="s">
        <v>3439</v>
      </c>
      <c r="E66" s="513" t="s">
        <v>3422</v>
      </c>
      <c r="F66" s="513"/>
      <c r="G66" s="513"/>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row>
    <row r="67" spans="1:29" ht="15.75" thickBot="1">
      <c r="A67" s="367"/>
      <c r="B67" s="474"/>
      <c r="C67" s="467">
        <v>100</v>
      </c>
      <c r="D67" s="467">
        <f>C67-1</f>
        <v>99</v>
      </c>
      <c r="E67" s="467">
        <f>D67-1</f>
        <v>98</v>
      </c>
      <c r="F67" s="467"/>
      <c r="G67" s="467"/>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ht="15.75" thickTop="1">
      <c r="A68" s="367"/>
      <c r="B68" s="477" t="s">
        <v>1688</v>
      </c>
      <c r="C68" s="478" t="str">
        <f>C69&amp;"（含）"&amp;"-"&amp;D69</f>
        <v>0（含）-3</v>
      </c>
      <c r="D68" s="478" t="str">
        <f t="shared" ref="D68:L68" si="15">D69&amp;"（含）"&amp;"-"&amp;E69</f>
        <v>3（含）-</v>
      </c>
      <c r="E68" s="478" t="str">
        <f t="shared" si="15"/>
        <v>（含）-</v>
      </c>
      <c r="F68" s="478" t="str">
        <f t="shared" si="15"/>
        <v>（含）-</v>
      </c>
      <c r="G68" s="478" t="str">
        <f t="shared" si="15"/>
        <v>（含）-</v>
      </c>
      <c r="H68" s="478" t="str">
        <f t="shared" si="15"/>
        <v>（含）-</v>
      </c>
      <c r="I68" s="478" t="str">
        <f t="shared" si="15"/>
        <v>（含）-</v>
      </c>
      <c r="J68" s="478" t="str">
        <f t="shared" si="15"/>
        <v>（含）-</v>
      </c>
      <c r="K68" s="478" t="str">
        <f t="shared" si="15"/>
        <v>（含）-</v>
      </c>
      <c r="L68" s="478" t="str">
        <f t="shared" si="15"/>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ht="15">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ht="15.75" thickBot="1">
      <c r="A70" s="367"/>
      <c r="B70" s="466"/>
      <c r="C70" s="475">
        <v>100</v>
      </c>
      <c r="D70" s="475">
        <f t="shared" ref="D70:M70" si="16">C70-$K11</f>
        <v>100</v>
      </c>
      <c r="E70" s="475">
        <f t="shared" si="16"/>
        <v>100</v>
      </c>
      <c r="F70" s="475">
        <f t="shared" si="16"/>
        <v>100</v>
      </c>
      <c r="G70" s="475">
        <f t="shared" si="16"/>
        <v>100</v>
      </c>
      <c r="H70" s="475">
        <f t="shared" si="16"/>
        <v>100</v>
      </c>
      <c r="I70" s="475">
        <f t="shared" si="16"/>
        <v>100</v>
      </c>
      <c r="J70" s="475">
        <f t="shared" si="16"/>
        <v>100</v>
      </c>
      <c r="K70" s="475">
        <f t="shared" si="16"/>
        <v>100</v>
      </c>
      <c r="L70" s="475">
        <f t="shared" si="16"/>
        <v>100</v>
      </c>
      <c r="M70" s="476">
        <f t="shared" si="16"/>
        <v>100</v>
      </c>
      <c r="N70" s="2514"/>
      <c r="O70" s="2514"/>
      <c r="P70" s="2522"/>
      <c r="Q70" s="2500"/>
      <c r="R70" s="2479"/>
      <c r="S70" s="2479"/>
      <c r="T70" s="2479"/>
      <c r="U70" s="2479"/>
      <c r="V70" s="2479"/>
      <c r="W70" s="2479"/>
      <c r="X70" s="2479"/>
      <c r="Y70" s="2479"/>
      <c r="Z70" s="2479"/>
      <c r="AA70" s="2479"/>
      <c r="AB70" s="2479"/>
      <c r="AC70" s="2479"/>
    </row>
    <row r="71" spans="1:29" s="408" customFormat="1" ht="15.75"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s="408" customFormat="1" ht="15.75"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s="408" customFormat="1" ht="15.75"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s="408" customFormat="1" ht="15.75"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s="408" customFormat="1" ht="15.75"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s="408" customFormat="1" ht="15.75"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c r="A77" s="379" t="s">
        <v>1689</v>
      </c>
      <c r="B77" s="460" t="s">
        <v>1820</v>
      </c>
      <c r="C77" s="504" t="s">
        <v>1720</v>
      </c>
      <c r="D77" s="504" t="s">
        <v>1721</v>
      </c>
      <c r="E77" s="504" t="s">
        <v>1722</v>
      </c>
      <c r="F77" s="504" t="s">
        <v>1723</v>
      </c>
      <c r="G77" s="504" t="s">
        <v>1724</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ht="15.75" thickBot="1">
      <c r="A78" s="367"/>
      <c r="B78" s="474"/>
      <c r="C78" s="475">
        <v>100</v>
      </c>
      <c r="D78" s="475">
        <f>C78-$K15</f>
        <v>95</v>
      </c>
      <c r="E78" s="475">
        <f>D78-$K15</f>
        <v>90</v>
      </c>
      <c r="F78" s="475">
        <f>E78-$K15</f>
        <v>85</v>
      </c>
      <c r="G78" s="475">
        <f>F78-$K15</f>
        <v>80</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ht="15.75" thickTop="1">
      <c r="A79" s="367"/>
      <c r="B79" s="469" t="s">
        <v>1725</v>
      </c>
      <c r="C79" s="509" t="s">
        <v>1720</v>
      </c>
      <c r="D79" s="509" t="s">
        <v>1721</v>
      </c>
      <c r="E79" s="509" t="s">
        <v>1722</v>
      </c>
      <c r="F79" s="509" t="s">
        <v>1723</v>
      </c>
      <c r="G79" s="509" t="s">
        <v>1724</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75" thickTop="1">
      <c r="A81" s="367"/>
      <c r="B81" s="469" t="s">
        <v>1726</v>
      </c>
      <c r="C81" s="509" t="s">
        <v>1720</v>
      </c>
      <c r="D81" s="509" t="s">
        <v>1721</v>
      </c>
      <c r="E81" s="509" t="s">
        <v>1722</v>
      </c>
      <c r="F81" s="509" t="s">
        <v>1723</v>
      </c>
      <c r="G81" s="509" t="s">
        <v>1724</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5.75" thickBot="1">
      <c r="A82" s="367"/>
      <c r="B82" s="474"/>
      <c r="C82" s="475">
        <v>100</v>
      </c>
      <c r="D82" s="475">
        <f>C82-$K19</f>
        <v>95</v>
      </c>
      <c r="E82" s="475">
        <f>D82-$K19</f>
        <v>90</v>
      </c>
      <c r="F82" s="475">
        <f>E82-$K19</f>
        <v>85</v>
      </c>
      <c r="G82" s="475">
        <f>F82-$K19</f>
        <v>80</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75" thickTop="1">
      <c r="A83" s="367"/>
      <c r="B83" s="477" t="s">
        <v>1812</v>
      </c>
      <c r="C83" s="581" t="s">
        <v>1798</v>
      </c>
      <c r="D83" s="581" t="s">
        <v>1799</v>
      </c>
      <c r="E83" s="581" t="s">
        <v>1800</v>
      </c>
      <c r="F83" s="581" t="s">
        <v>1801</v>
      </c>
      <c r="G83" s="581" t="s">
        <v>1802</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5.75" thickBot="1">
      <c r="A84" s="367"/>
      <c r="B84" s="477"/>
      <c r="C84" s="475">
        <v>100</v>
      </c>
      <c r="D84" s="475">
        <f>C84-$K21</f>
        <v>98</v>
      </c>
      <c r="E84" s="475">
        <f>D84-$K21</f>
        <v>96</v>
      </c>
      <c r="F84" s="475">
        <f>E84-$K21</f>
        <v>94</v>
      </c>
      <c r="G84" s="475">
        <f>F84-$K21</f>
        <v>92</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75" thickTop="1">
      <c r="A85" s="367"/>
      <c r="B85" s="469" t="s">
        <v>1821</v>
      </c>
      <c r="C85" s="509" t="s">
        <v>1720</v>
      </c>
      <c r="D85" s="509" t="s">
        <v>1721</v>
      </c>
      <c r="E85" s="509" t="s">
        <v>1722</v>
      </c>
      <c r="F85" s="509" t="s">
        <v>1723</v>
      </c>
      <c r="G85" s="509" t="s">
        <v>1724</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5.75" thickBot="1">
      <c r="A86" s="367"/>
      <c r="B86" s="474"/>
      <c r="C86" s="475">
        <v>100</v>
      </c>
      <c r="D86" s="475">
        <f>C86-$K23</f>
        <v>95</v>
      </c>
      <c r="E86" s="475">
        <f>D86-$K23</f>
        <v>90</v>
      </c>
      <c r="F86" s="475">
        <f>E86-$K23</f>
        <v>85</v>
      </c>
      <c r="G86" s="475">
        <f>F86-$K23</f>
        <v>80</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7.75" thickTop="1">
      <c r="A87" s="370"/>
      <c r="B87" s="469" t="s">
        <v>1822</v>
      </c>
      <c r="C87" s="485"/>
      <c r="D87" s="485"/>
      <c r="E87" s="485"/>
      <c r="F87" s="485"/>
      <c r="G87" s="485"/>
      <c r="H87" s="485"/>
      <c r="I87" s="485"/>
      <c r="J87" s="485"/>
      <c r="K87" s="485"/>
      <c r="L87" s="510"/>
      <c r="M87" s="511"/>
      <c r="N87" s="2512"/>
      <c r="O87" s="2512"/>
      <c r="P87" s="2522"/>
      <c r="Q87" s="2500"/>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7">C88-$K25</f>
        <v>100</v>
      </c>
      <c r="E88" s="475">
        <f t="shared" si="17"/>
        <v>100</v>
      </c>
      <c r="F88" s="475">
        <f t="shared" si="17"/>
        <v>100</v>
      </c>
      <c r="G88" s="475">
        <f t="shared" si="17"/>
        <v>100</v>
      </c>
      <c r="H88" s="475">
        <f t="shared" si="17"/>
        <v>100</v>
      </c>
      <c r="I88" s="475">
        <f t="shared" si="17"/>
        <v>100</v>
      </c>
      <c r="J88" s="475">
        <f t="shared" si="17"/>
        <v>100</v>
      </c>
      <c r="K88" s="475">
        <f t="shared" si="17"/>
        <v>100</v>
      </c>
      <c r="L88" s="475">
        <f t="shared" si="17"/>
        <v>100</v>
      </c>
      <c r="M88" s="475">
        <f t="shared" si="17"/>
        <v>100</v>
      </c>
      <c r="N88" s="2514"/>
      <c r="O88" s="2514"/>
      <c r="P88" s="2522"/>
      <c r="Q88" s="2500"/>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6"/>
      <c r="G89" s="485"/>
      <c r="H89" s="485"/>
      <c r="I89" s="485"/>
      <c r="J89" s="485"/>
      <c r="K89" s="485"/>
      <c r="L89" s="485"/>
      <c r="M89" s="511"/>
      <c r="N89" s="2512"/>
      <c r="O89" s="2512"/>
      <c r="P89" s="2522"/>
      <c r="Q89" s="2500"/>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18">D90-$K27</f>
        <v>100</v>
      </c>
      <c r="F90" s="475">
        <f t="shared" si="18"/>
        <v>100</v>
      </c>
      <c r="G90" s="475">
        <f t="shared" si="18"/>
        <v>100</v>
      </c>
      <c r="H90" s="475">
        <f t="shared" si="18"/>
        <v>100</v>
      </c>
      <c r="I90" s="475">
        <f t="shared" si="18"/>
        <v>100</v>
      </c>
      <c r="J90" s="475">
        <f t="shared" si="18"/>
        <v>100</v>
      </c>
      <c r="K90" s="475">
        <f t="shared" si="18"/>
        <v>100</v>
      </c>
      <c r="L90" s="475">
        <f t="shared" si="18"/>
        <v>100</v>
      </c>
      <c r="M90" s="475">
        <f t="shared" si="18"/>
        <v>100</v>
      </c>
      <c r="N90" s="2514"/>
      <c r="O90" s="2514"/>
      <c r="P90" s="2522"/>
      <c r="Q90" s="2500"/>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512">
        <v>100</v>
      </c>
      <c r="D92" s="475">
        <f t="shared" ref="D92:M92" si="19">C92-$K28</f>
        <v>100</v>
      </c>
      <c r="E92" s="475">
        <f t="shared" si="19"/>
        <v>100</v>
      </c>
      <c r="F92" s="475">
        <f t="shared" si="19"/>
        <v>100</v>
      </c>
      <c r="G92" s="475">
        <f t="shared" si="19"/>
        <v>100</v>
      </c>
      <c r="H92" s="475">
        <f t="shared" si="19"/>
        <v>100</v>
      </c>
      <c r="I92" s="475">
        <f t="shared" si="19"/>
        <v>100</v>
      </c>
      <c r="J92" s="475">
        <f t="shared" si="19"/>
        <v>100</v>
      </c>
      <c r="K92" s="475">
        <f t="shared" si="19"/>
        <v>100</v>
      </c>
      <c r="L92" s="475">
        <f t="shared" si="19"/>
        <v>100</v>
      </c>
      <c r="M92" s="475">
        <f t="shared" si="19"/>
        <v>100</v>
      </c>
      <c r="N92" s="2515"/>
      <c r="O92" s="2515"/>
      <c r="P92" s="2523"/>
      <c r="Q92" s="2507"/>
      <c r="R92" s="2485"/>
      <c r="S92" s="2485"/>
      <c r="T92" s="2485"/>
      <c r="U92" s="2485"/>
      <c r="V92" s="2485"/>
      <c r="W92" s="2485"/>
      <c r="X92" s="2485"/>
      <c r="Y92" s="2485"/>
      <c r="Z92" s="2485"/>
      <c r="AA92" s="2485"/>
      <c r="AB92" s="2485"/>
      <c r="AC92" s="2485"/>
    </row>
    <row r="93" spans="1:29" ht="15.75" thickTop="1">
      <c r="A93" s="367"/>
      <c r="B93" s="469" t="str">
        <f>B29</f>
        <v>商业繁华度</v>
      </c>
      <c r="C93" s="3113" t="s">
        <v>3440</v>
      </c>
      <c r="D93" s="3113" t="s">
        <v>3426</v>
      </c>
      <c r="E93" s="485" t="s">
        <v>3437</v>
      </c>
      <c r="F93" s="485" t="s">
        <v>3441</v>
      </c>
      <c r="G93" s="485" t="s">
        <v>3442</v>
      </c>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91">
        <v>100</v>
      </c>
      <c r="D94" s="467">
        <v>95</v>
      </c>
      <c r="E94" s="467">
        <v>90</v>
      </c>
      <c r="F94" s="467">
        <v>85</v>
      </c>
      <c r="G94" s="467">
        <v>80</v>
      </c>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5.75" thickTop="1">
      <c r="A95" s="367"/>
      <c r="B95" s="469">
        <f>B30</f>
        <v>0</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5.75" thickTop="1">
      <c r="A97" s="367"/>
      <c r="B97" s="469">
        <f>B31</f>
        <v>0</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5.75"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5.75" thickTop="1">
      <c r="A99" s="367"/>
      <c r="B99" s="477">
        <f>B32</f>
        <v>0</v>
      </c>
      <c r="C99" s="3113"/>
      <c r="D99" s="3113"/>
      <c r="E99" s="485"/>
      <c r="F99" s="485"/>
      <c r="G99" s="485"/>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5.75" thickBot="1">
      <c r="A100" s="375"/>
      <c r="B100" s="500"/>
      <c r="C100" s="491"/>
      <c r="D100" s="467"/>
      <c r="E100" s="467"/>
      <c r="F100" s="467"/>
      <c r="G100" s="467"/>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c r="A101" s="379" t="s">
        <v>1693</v>
      </c>
      <c r="B101" s="460" t="s">
        <v>1735</v>
      </c>
      <c r="C101" s="3114" t="s">
        <v>3443</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75">
        <v>100</v>
      </c>
      <c r="D102" s="475">
        <f t="shared" ref="D102:M102" si="20">C102-$K33</f>
        <v>100</v>
      </c>
      <c r="E102" s="475">
        <f t="shared" si="20"/>
        <v>100</v>
      </c>
      <c r="F102" s="475">
        <f t="shared" si="20"/>
        <v>100</v>
      </c>
      <c r="G102" s="475">
        <f t="shared" si="20"/>
        <v>100</v>
      </c>
      <c r="H102" s="475">
        <f t="shared" si="20"/>
        <v>100</v>
      </c>
      <c r="I102" s="475">
        <f t="shared" si="20"/>
        <v>100</v>
      </c>
      <c r="J102" s="475">
        <f t="shared" si="20"/>
        <v>100</v>
      </c>
      <c r="K102" s="475">
        <f t="shared" si="20"/>
        <v>100</v>
      </c>
      <c r="L102" s="475">
        <f t="shared" si="20"/>
        <v>100</v>
      </c>
      <c r="M102" s="476">
        <f t="shared" si="20"/>
        <v>100</v>
      </c>
      <c r="N102" s="2514"/>
      <c r="O102" s="2514"/>
      <c r="P102" s="2522"/>
      <c r="Q102" s="2500"/>
      <c r="R102" s="2479"/>
      <c r="S102" s="2479"/>
      <c r="T102" s="2479"/>
      <c r="U102" s="2479"/>
      <c r="V102" s="2479"/>
      <c r="W102" s="2479"/>
      <c r="X102" s="2479"/>
      <c r="Y102" s="2479"/>
      <c r="Z102" s="2479"/>
      <c r="AA102" s="2479"/>
      <c r="AB102" s="2479"/>
      <c r="AC102" s="2479"/>
    </row>
    <row r="103" spans="1:29" ht="29.25" thickTop="1">
      <c r="A103" s="367"/>
      <c r="B103" s="469" t="s">
        <v>1736</v>
      </c>
      <c r="C103" s="509" t="str">
        <f>C104&amp;"(含)"&amp;"-"&amp;D104</f>
        <v>0(含)-50000</v>
      </c>
      <c r="D103" s="509" t="str">
        <f t="shared" ref="D103:L103" si="21">D104&amp;"(含)"&amp;"-"&amp;E104</f>
        <v>50000(含)-100000</v>
      </c>
      <c r="E103" s="509" t="str">
        <f t="shared" si="21"/>
        <v>100000(含)-150000</v>
      </c>
      <c r="F103" s="509" t="str">
        <f t="shared" si="21"/>
        <v>150000(含)-200000</v>
      </c>
      <c r="G103" s="509" t="str">
        <f t="shared" si="21"/>
        <v>200000(含)-</v>
      </c>
      <c r="H103" s="509" t="str">
        <f t="shared" si="21"/>
        <v>(含)-</v>
      </c>
      <c r="I103" s="509" t="str">
        <f t="shared" si="21"/>
        <v>(含)-</v>
      </c>
      <c r="J103" s="509" t="str">
        <f t="shared" si="21"/>
        <v>(含)-</v>
      </c>
      <c r="K103" s="509" t="str">
        <f t="shared" si="21"/>
        <v>(含)-</v>
      </c>
      <c r="L103" s="509" t="str">
        <f t="shared" si="21"/>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f>C104+50000</f>
        <v>50000</v>
      </c>
      <c r="E104" s="6">
        <f>D104+50000</f>
        <v>100000</v>
      </c>
      <c r="F104" s="6">
        <f>E104+50000</f>
        <v>150000</v>
      </c>
      <c r="G104" s="6">
        <f>F104+50000</f>
        <v>200000</v>
      </c>
      <c r="H104" s="6"/>
      <c r="I104" s="6"/>
      <c r="J104" s="524"/>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5.75" thickBot="1">
      <c r="A105" s="484"/>
      <c r="B105" s="474"/>
      <c r="C105" s="491">
        <v>98</v>
      </c>
      <c r="D105" s="467">
        <v>100</v>
      </c>
      <c r="E105" s="467">
        <f>D105-2</f>
        <v>98</v>
      </c>
      <c r="F105" s="467">
        <f>E105-2</f>
        <v>96</v>
      </c>
      <c r="G105" s="467">
        <f>F105-2</f>
        <v>94</v>
      </c>
      <c r="H105" s="467"/>
      <c r="I105" s="467"/>
      <c r="J105" s="467"/>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1737</v>
      </c>
      <c r="C106" s="3113" t="s">
        <v>3390</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5.75" thickBot="1">
      <c r="A107" s="367"/>
      <c r="B107" s="474"/>
      <c r="C107" s="475">
        <v>100</v>
      </c>
      <c r="D107" s="475">
        <f t="shared" ref="D107:M107" si="22">C107-$K35</f>
        <v>98</v>
      </c>
      <c r="E107" s="475">
        <f t="shared" si="22"/>
        <v>96</v>
      </c>
      <c r="F107" s="475">
        <f t="shared" si="22"/>
        <v>94</v>
      </c>
      <c r="G107" s="475">
        <f t="shared" si="22"/>
        <v>92</v>
      </c>
      <c r="H107" s="475">
        <f t="shared" si="22"/>
        <v>90</v>
      </c>
      <c r="I107" s="475">
        <f t="shared" si="22"/>
        <v>88</v>
      </c>
      <c r="J107" s="475">
        <f t="shared" si="22"/>
        <v>86</v>
      </c>
      <c r="K107" s="475">
        <f t="shared" si="22"/>
        <v>84</v>
      </c>
      <c r="L107" s="475">
        <f t="shared" si="22"/>
        <v>82</v>
      </c>
      <c r="M107" s="476">
        <f t="shared" si="22"/>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1739</v>
      </c>
      <c r="C108" s="3113" t="s">
        <v>3444</v>
      </c>
      <c r="D108" s="3113" t="s">
        <v>3445</v>
      </c>
      <c r="E108" s="3113" t="s">
        <v>3446</v>
      </c>
      <c r="F108" s="3115" t="s">
        <v>3447</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5.75" thickBot="1">
      <c r="A109" s="367"/>
      <c r="B109" s="474"/>
      <c r="C109" s="475">
        <v>100</v>
      </c>
      <c r="D109" s="475">
        <f t="shared" ref="D109:M109" si="23">C109-$K36</f>
        <v>98</v>
      </c>
      <c r="E109" s="475">
        <f t="shared" si="23"/>
        <v>96</v>
      </c>
      <c r="F109" s="475">
        <f t="shared" si="23"/>
        <v>94</v>
      </c>
      <c r="G109" s="475">
        <f t="shared" si="23"/>
        <v>92</v>
      </c>
      <c r="H109" s="475">
        <f t="shared" si="23"/>
        <v>90</v>
      </c>
      <c r="I109" s="475">
        <f t="shared" si="23"/>
        <v>88</v>
      </c>
      <c r="J109" s="475">
        <f t="shared" si="23"/>
        <v>86</v>
      </c>
      <c r="K109" s="475">
        <f t="shared" si="23"/>
        <v>84</v>
      </c>
      <c r="L109" s="475">
        <f t="shared" si="23"/>
        <v>82</v>
      </c>
      <c r="M109" s="476">
        <f t="shared" si="23"/>
        <v>80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5.75" thickBot="1">
      <c r="A112" s="367"/>
      <c r="B112" s="474"/>
      <c r="C112" s="512">
        <v>100</v>
      </c>
      <c r="D112" s="475">
        <f>C112+$K37</f>
        <v>105</v>
      </c>
      <c r="E112" s="475">
        <f t="shared" ref="E112:M112" si="24">D112+$K37</f>
        <v>110</v>
      </c>
      <c r="F112" s="475">
        <f t="shared" si="24"/>
        <v>115</v>
      </c>
      <c r="G112" s="475">
        <f t="shared" si="24"/>
        <v>120</v>
      </c>
      <c r="H112" s="475">
        <f t="shared" si="24"/>
        <v>125</v>
      </c>
      <c r="I112" s="475">
        <f t="shared" si="24"/>
        <v>130</v>
      </c>
      <c r="J112" s="475">
        <f t="shared" si="24"/>
        <v>135</v>
      </c>
      <c r="K112" s="475">
        <f t="shared" si="24"/>
        <v>140</v>
      </c>
      <c r="L112" s="475">
        <f t="shared" si="24"/>
        <v>145</v>
      </c>
      <c r="M112" s="475">
        <f t="shared" si="24"/>
        <v>150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1823</v>
      </c>
      <c r="C113" s="485"/>
      <c r="D113" s="485"/>
      <c r="E113" s="485"/>
      <c r="F113" s="485"/>
      <c r="G113" s="485"/>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5.75" thickBot="1">
      <c r="A114" s="484"/>
      <c r="B114" s="474"/>
      <c r="C114" s="475">
        <v>100</v>
      </c>
      <c r="D114" s="475">
        <f>C114-$K38</f>
        <v>100</v>
      </c>
      <c r="E114" s="475">
        <f t="shared" ref="E114:M114" si="25">D114-$K38</f>
        <v>100</v>
      </c>
      <c r="F114" s="475">
        <f t="shared" si="25"/>
        <v>100</v>
      </c>
      <c r="G114" s="475">
        <f t="shared" si="25"/>
        <v>100</v>
      </c>
      <c r="H114" s="475">
        <f t="shared" si="25"/>
        <v>100</v>
      </c>
      <c r="I114" s="475">
        <f t="shared" si="25"/>
        <v>100</v>
      </c>
      <c r="J114" s="475">
        <f t="shared" si="25"/>
        <v>100</v>
      </c>
      <c r="K114" s="475">
        <f t="shared" si="25"/>
        <v>100</v>
      </c>
      <c r="L114" s="475">
        <f t="shared" si="25"/>
        <v>100</v>
      </c>
      <c r="M114" s="475">
        <f t="shared" si="25"/>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1740</v>
      </c>
      <c r="C115" s="3113" t="s">
        <v>3448</v>
      </c>
      <c r="D115" s="3113" t="s">
        <v>3449</v>
      </c>
      <c r="E115" s="513"/>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5.75" thickBot="1">
      <c r="A116" s="367"/>
      <c r="B116" s="474"/>
      <c r="C116" s="475">
        <v>100</v>
      </c>
      <c r="D116" s="475">
        <f t="shared" ref="D116:M116" si="26">C116-$K39</f>
        <v>98</v>
      </c>
      <c r="E116" s="475">
        <f t="shared" si="26"/>
        <v>96</v>
      </c>
      <c r="F116" s="475">
        <f t="shared" si="26"/>
        <v>94</v>
      </c>
      <c r="G116" s="475">
        <f t="shared" si="26"/>
        <v>92</v>
      </c>
      <c r="H116" s="475">
        <f t="shared" si="26"/>
        <v>90</v>
      </c>
      <c r="I116" s="475">
        <f t="shared" si="26"/>
        <v>88</v>
      </c>
      <c r="J116" s="475">
        <f t="shared" si="26"/>
        <v>86</v>
      </c>
      <c r="K116" s="475">
        <f t="shared" si="26"/>
        <v>84</v>
      </c>
      <c r="L116" s="475">
        <f t="shared" si="26"/>
        <v>82</v>
      </c>
      <c r="M116" s="476">
        <f t="shared" si="26"/>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1741</v>
      </c>
      <c r="C117" s="485" t="str">
        <f>C83</f>
        <v>七通</v>
      </c>
      <c r="D117" s="485" t="str">
        <f>D83</f>
        <v>六通</v>
      </c>
      <c r="E117" s="485" t="str">
        <f>E83</f>
        <v>五通</v>
      </c>
      <c r="F117" s="485" t="str">
        <f>F83</f>
        <v>四通</v>
      </c>
      <c r="G117" s="485" t="str">
        <f>G83</f>
        <v>三通</v>
      </c>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1824</v>
      </c>
      <c r="C119" s="3115" t="s">
        <v>3450</v>
      </c>
      <c r="D119" s="3115" t="s">
        <v>3451</v>
      </c>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5.75" thickBot="1">
      <c r="A120" s="367"/>
      <c r="B120" s="474"/>
      <c r="C120" s="512">
        <v>100</v>
      </c>
      <c r="D120" s="475">
        <f>C120-$K41</f>
        <v>98</v>
      </c>
      <c r="E120" s="475">
        <f t="shared" ref="E120:M120" si="27">D120-$K41</f>
        <v>96</v>
      </c>
      <c r="F120" s="475">
        <f t="shared" si="27"/>
        <v>94</v>
      </c>
      <c r="G120" s="475">
        <f t="shared" si="27"/>
        <v>92</v>
      </c>
      <c r="H120" s="475">
        <f t="shared" si="27"/>
        <v>90</v>
      </c>
      <c r="I120" s="475">
        <f t="shared" si="27"/>
        <v>88</v>
      </c>
      <c r="J120" s="475">
        <f t="shared" si="27"/>
        <v>86</v>
      </c>
      <c r="K120" s="475">
        <f t="shared" si="27"/>
        <v>84</v>
      </c>
      <c r="L120" s="475">
        <f t="shared" si="27"/>
        <v>82</v>
      </c>
      <c r="M120" s="475">
        <f t="shared" si="27"/>
        <v>80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1807</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5.75"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1743</v>
      </c>
      <c r="C123" s="485" t="str">
        <f>C108</f>
        <v>精装修</v>
      </c>
      <c r="D123" s="485" t="str">
        <f>D108</f>
        <v>普通装修</v>
      </c>
      <c r="E123" s="485" t="str">
        <f>E108</f>
        <v>简单装修</v>
      </c>
      <c r="F123" s="485" t="str">
        <f>F108</f>
        <v>毛坯</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5.75" thickBot="1">
      <c r="A124" s="367"/>
      <c r="B124" s="474"/>
      <c r="C124" s="475">
        <v>100</v>
      </c>
      <c r="D124" s="475">
        <f t="shared" ref="D124:M124" si="28">C124-$K43</f>
        <v>98</v>
      </c>
      <c r="E124" s="475">
        <f t="shared" si="28"/>
        <v>96</v>
      </c>
      <c r="F124" s="475">
        <f t="shared" si="28"/>
        <v>94</v>
      </c>
      <c r="G124" s="475">
        <f t="shared" si="28"/>
        <v>92</v>
      </c>
      <c r="H124" s="475">
        <f t="shared" si="28"/>
        <v>90</v>
      </c>
      <c r="I124" s="475">
        <f t="shared" si="28"/>
        <v>88</v>
      </c>
      <c r="J124" s="475">
        <f t="shared" si="28"/>
        <v>86</v>
      </c>
      <c r="K124" s="475">
        <f t="shared" si="28"/>
        <v>84</v>
      </c>
      <c r="L124" s="475">
        <f t="shared" si="28"/>
        <v>82</v>
      </c>
      <c r="M124" s="476">
        <f t="shared" si="28"/>
        <v>80</v>
      </c>
      <c r="N124" s="2514"/>
      <c r="O124" s="2514"/>
      <c r="P124" s="2522"/>
      <c r="Q124" s="2500"/>
      <c r="R124" s="2479"/>
      <c r="S124" s="2479"/>
      <c r="T124" s="2479"/>
      <c r="U124" s="2479"/>
      <c r="V124" s="2479"/>
      <c r="W124" s="2479"/>
      <c r="X124" s="2479"/>
      <c r="Y124" s="2479"/>
      <c r="Z124" s="2479"/>
      <c r="AA124" s="2479"/>
      <c r="AB124" s="2479"/>
      <c r="AC124" s="2479"/>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15" thickTop="1">
      <c r="A127" s="406"/>
      <c r="B127" s="469" t="str">
        <f>B45</f>
        <v>地下占比</v>
      </c>
      <c r="C127" s="3116">
        <v>0</v>
      </c>
      <c r="D127" s="3116">
        <v>0.15</v>
      </c>
      <c r="E127" s="3110" t="s">
        <v>3432</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5.75" thickBot="1">
      <c r="A128" s="484"/>
      <c r="B128" s="474"/>
      <c r="C128" s="3117">
        <v>100</v>
      </c>
      <c r="D128" s="3118">
        <v>90</v>
      </c>
      <c r="E128" s="3118">
        <v>85</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5"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5.75"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5"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5.75"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9" t="str">
        <f>项目基本情况!B1</f>
        <v>北京市丰台区丰台科技园东区三期1516-51号地块商业金融用地项目出让国有建设用地使用权及在建建筑物房地产抵押价值预评估</v>
      </c>
      <c r="C37" s="3179"/>
      <c r="D37" s="3179"/>
      <c r="E37" s="3179"/>
      <c r="F37" s="3179"/>
      <c r="G37" s="3179"/>
      <c r="H37" s="3179"/>
      <c r="I37" s="3179"/>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C106" zoomScaleNormal="100" zoomScaleSheetLayoutView="100" zoomScalePageLayoutView="80" workbookViewId="0">
      <selection activeCell="I112" sqref="I112"/>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1261</v>
      </c>
      <c r="B1" s="646"/>
      <c r="C1" s="1616"/>
      <c r="D1" s="646"/>
      <c r="E1" s="646"/>
      <c r="F1" s="1617" t="s">
        <v>1262</v>
      </c>
      <c r="G1" s="1449" t="s">
        <v>3640</v>
      </c>
      <c r="H1" s="1617" t="str">
        <f>IF(G1="现房","——","估价对象范围")</f>
        <v>估价对象范围</v>
      </c>
      <c r="I1" s="1618" t="s">
        <v>3454</v>
      </c>
    </row>
    <row r="2" spans="1:12" ht="21.75" customHeight="1" thickBot="1">
      <c r="A2" s="3343" t="str">
        <f>项目基本情况!S2</f>
        <v>北京市丰台区丰台科技园东区三期1516-51号地块商业金融用地项目出让国有建设用地使用权及在建建筑物房地产</v>
      </c>
      <c r="B2" s="3344"/>
      <c r="C2" s="3344"/>
      <c r="D2" s="3344"/>
      <c r="E2" s="3344"/>
      <c r="F2" s="3344"/>
      <c r="G2" s="3344"/>
      <c r="H2" s="3344"/>
      <c r="I2" s="3345"/>
    </row>
    <row r="3" spans="1:12" ht="12.75">
      <c r="A3" s="3348" t="s">
        <v>1263</v>
      </c>
      <c r="B3" s="3349"/>
      <c r="C3" s="3349"/>
      <c r="D3" s="3349"/>
      <c r="E3" s="3349"/>
      <c r="F3" s="3349"/>
      <c r="G3" s="3349"/>
      <c r="H3" s="3349"/>
      <c r="I3" s="3349"/>
    </row>
    <row r="4" spans="1:12" ht="14.25">
      <c r="A4" s="1620" t="s">
        <v>1264</v>
      </c>
      <c r="B4" s="1621" t="s">
        <v>1265</v>
      </c>
      <c r="C4" s="1622" t="s">
        <v>3638</v>
      </c>
      <c r="D4" s="1622" t="s">
        <v>3639</v>
      </c>
      <c r="E4" s="3353" t="s">
        <v>1266</v>
      </c>
      <c r="F4" s="3354"/>
      <c r="G4" s="3354"/>
      <c r="H4" s="3354"/>
      <c r="I4" s="335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1" t="s">
        <v>1267</v>
      </c>
      <c r="B5" s="3346">
        <v>25</v>
      </c>
      <c r="C5" s="3350"/>
      <c r="D5" s="3347"/>
      <c r="E5" s="123" t="s">
        <v>1268</v>
      </c>
      <c r="F5" s="1623"/>
      <c r="G5" s="1623"/>
      <c r="H5" s="1623"/>
      <c r="I5" s="1277"/>
    </row>
    <row r="6" spans="1:12" ht="12.75">
      <c r="A6" s="3291"/>
      <c r="B6" s="3346"/>
      <c r="C6" s="3352"/>
      <c r="D6" s="3347"/>
      <c r="E6" s="123" t="s">
        <v>1269</v>
      </c>
      <c r="F6" s="1623"/>
      <c r="G6" s="1623"/>
      <c r="H6" s="1623"/>
      <c r="I6" s="1277"/>
    </row>
    <row r="7" spans="1:12" ht="12.75">
      <c r="A7" s="3291"/>
      <c r="B7" s="3346"/>
      <c r="C7" s="3351"/>
      <c r="D7" s="3347"/>
      <c r="E7" s="123" t="s">
        <v>1270</v>
      </c>
      <c r="F7" s="1623"/>
      <c r="G7" s="1623"/>
      <c r="H7" s="1623"/>
      <c r="I7" s="1277"/>
    </row>
    <row r="8" spans="1:12" ht="12.75">
      <c r="A8" s="3291" t="s">
        <v>1271</v>
      </c>
      <c r="B8" s="3346">
        <v>15</v>
      </c>
      <c r="C8" s="3350"/>
      <c r="D8" s="3347"/>
      <c r="E8" s="123" t="s">
        <v>1272</v>
      </c>
      <c r="F8" s="1623"/>
      <c r="G8" s="1623"/>
      <c r="H8" s="1623"/>
      <c r="I8" s="1277"/>
    </row>
    <row r="9" spans="1:12" ht="12.75">
      <c r="A9" s="3291"/>
      <c r="B9" s="3346"/>
      <c r="C9" s="3351"/>
      <c r="D9" s="3347"/>
      <c r="E9" s="123" t="s">
        <v>1273</v>
      </c>
      <c r="F9" s="1623"/>
      <c r="G9" s="1623"/>
      <c r="H9" s="1623"/>
      <c r="I9" s="1277"/>
    </row>
    <row r="10" spans="1:12" ht="12.75">
      <c r="A10" s="3291" t="s">
        <v>1274</v>
      </c>
      <c r="B10" s="3346">
        <v>15</v>
      </c>
      <c r="C10" s="3350"/>
      <c r="D10" s="3347"/>
      <c r="E10" s="123" t="s">
        <v>1275</v>
      </c>
      <c r="F10" s="1623"/>
      <c r="G10" s="1623"/>
      <c r="H10" s="1623"/>
      <c r="I10" s="1277"/>
    </row>
    <row r="11" spans="1:12" ht="12.75">
      <c r="A11" s="3291"/>
      <c r="B11" s="3346"/>
      <c r="C11" s="3351"/>
      <c r="D11" s="3347"/>
      <c r="E11" s="123" t="s">
        <v>1276</v>
      </c>
      <c r="F11" s="1623"/>
      <c r="G11" s="1623"/>
      <c r="H11" s="1623"/>
      <c r="I11" s="1277"/>
    </row>
    <row r="12" spans="1:12" ht="12.75">
      <c r="A12" s="3291" t="s">
        <v>1277</v>
      </c>
      <c r="B12" s="3346">
        <v>15</v>
      </c>
      <c r="C12" s="3350"/>
      <c r="D12" s="3347"/>
      <c r="E12" s="123" t="s">
        <v>1278</v>
      </c>
      <c r="F12" s="1623"/>
      <c r="G12" s="1623"/>
      <c r="H12" s="1623"/>
      <c r="I12" s="1277"/>
    </row>
    <row r="13" spans="1:12" ht="12.75">
      <c r="A13" s="3291"/>
      <c r="B13" s="3346"/>
      <c r="C13" s="3351"/>
      <c r="D13" s="3347"/>
      <c r="E13" s="123" t="s">
        <v>1279</v>
      </c>
      <c r="F13" s="1623"/>
      <c r="G13" s="1623"/>
      <c r="H13" s="1623"/>
      <c r="I13" s="1277"/>
    </row>
    <row r="14" spans="1:12" ht="12.75">
      <c r="A14" s="3291" t="s">
        <v>1280</v>
      </c>
      <c r="B14" s="3346">
        <v>30</v>
      </c>
      <c r="C14" s="3366">
        <v>5</v>
      </c>
      <c r="D14" s="3337">
        <v>5</v>
      </c>
      <c r="E14" s="123" t="s">
        <v>1281</v>
      </c>
      <c r="F14" s="1623"/>
      <c r="G14" s="1623"/>
      <c r="H14" s="1623"/>
      <c r="I14" s="1277"/>
    </row>
    <row r="15" spans="1:12" ht="12.75">
      <c r="A15" s="3291"/>
      <c r="B15" s="3346"/>
      <c r="C15" s="3367"/>
      <c r="D15" s="3337"/>
      <c r="E15" s="123" t="s">
        <v>1282</v>
      </c>
      <c r="F15" s="1623"/>
      <c r="G15" s="1623"/>
      <c r="H15" s="1623"/>
      <c r="I15" s="1277"/>
    </row>
    <row r="16" spans="1:12" ht="12.75">
      <c r="A16" s="3291"/>
      <c r="B16" s="3346"/>
      <c r="C16" s="3368"/>
      <c r="D16" s="3337"/>
      <c r="E16" s="123" t="s">
        <v>1283</v>
      </c>
      <c r="F16" s="1623"/>
      <c r="G16" s="1623"/>
      <c r="H16" s="1623"/>
      <c r="I16" s="1277"/>
    </row>
    <row r="17" spans="1:36" ht="15">
      <c r="A17" s="1624" t="s">
        <v>1284</v>
      </c>
      <c r="B17" s="54"/>
      <c r="C17" s="124">
        <f>SUM(C5:C16)</f>
        <v>5</v>
      </c>
      <c r="D17" s="124">
        <f>SUM(D5:D16)</f>
        <v>5</v>
      </c>
      <c r="E17" s="121"/>
      <c r="F17" s="121"/>
      <c r="G17" s="121"/>
      <c r="H17" s="121"/>
      <c r="I17" s="121"/>
      <c r="K17" s="294"/>
      <c r="L17" s="294" t="s">
        <v>1285</v>
      </c>
      <c r="M17" s="294" t="s">
        <v>1286</v>
      </c>
    </row>
    <row r="18" spans="1:36" ht="31.9" customHeight="1" thickBot="1">
      <c r="A18" s="1625" t="s">
        <v>1287</v>
      </c>
      <c r="B18" s="1538"/>
      <c r="C18" s="125">
        <f>ROUND(C17/SUM(C17:D17),2)</f>
        <v>0.5</v>
      </c>
      <c r="D18" s="125">
        <f>1-C18</f>
        <v>0.5</v>
      </c>
      <c r="E18" s="3372" t="s">
        <v>2129</v>
      </c>
      <c r="F18" s="3373"/>
      <c r="G18" s="3373"/>
      <c r="H18" s="3373"/>
      <c r="I18" s="3373"/>
      <c r="K18" s="294" t="s">
        <v>1288</v>
      </c>
      <c r="L18" s="294">
        <f>IF(C1="",'数据-汇总表'!E3,SUMIF(项目类型,C1,'数据-汇总表'!E17:E26)+SUMIF(项目类型,C1,'数据-汇总表'!I17:I26))</f>
        <v>108765.47999999998</v>
      </c>
      <c r="M18" s="294">
        <f>IF(C1="",'数据-汇总表'!E3,SUMIF(项目类型,C1,'数据-汇总表'!E17:E26))</f>
        <v>108765.47999999998</v>
      </c>
    </row>
    <row r="19" spans="1:36" ht="15">
      <c r="A19" s="1626" t="s">
        <v>1289</v>
      </c>
      <c r="B19" s="1627" t="s">
        <v>1290</v>
      </c>
      <c r="C19" s="126">
        <f ca="1">SUMIF(INDIRECT("'"&amp;C4&amp;"'"&amp;"!A:A"),结果表!B19,INDIRECT("'"&amp;C4&amp;"'"&amp;"!B:B"))</f>
        <v>293564</v>
      </c>
      <c r="D19" s="127">
        <f ca="1">SUMIF(INDIRECT("'"&amp;D4&amp;"'"&amp;"!A:A"),结果表!B19,INDIRECT("'"&amp;D4&amp;"'"&amp;"!B:B"))</f>
        <v>191406</v>
      </c>
      <c r="E19" s="1626" t="s">
        <v>1291</v>
      </c>
      <c r="F19" s="1627" t="s">
        <v>1290</v>
      </c>
      <c r="G19" s="128">
        <f ca="1">ROUND(C19*$C$18+D19*$D$18,0)</f>
        <v>242485</v>
      </c>
      <c r="H19" s="1628" t="s">
        <v>1292</v>
      </c>
      <c r="I19" s="121"/>
      <c r="J19" s="684">
        <v>243683</v>
      </c>
      <c r="K19" s="294" t="s">
        <v>1293</v>
      </c>
      <c r="L19" s="294">
        <f>IF(C1="",'数据-汇总表'!D3,SUMIF(项目类型,C1,'数据-汇总表'!D17:D26)+SUMIF(项目类型,C1,'数据-汇总表'!H17:H27))</f>
        <v>23493.01</v>
      </c>
      <c r="M19" s="294">
        <f>IF(C1="",'数据-汇总表'!D3,SUMIF(项目类型,C1,'数据-汇总表'!D17:D26))</f>
        <v>23493.01</v>
      </c>
    </row>
    <row r="20" spans="1:36" ht="15">
      <c r="A20" s="1629"/>
      <c r="B20" s="43" t="s">
        <v>1294</v>
      </c>
      <c r="C20" s="129">
        <f ca="1">SUMIF(INDIRECT("'"&amp;C4&amp;"'"&amp;"!A:A"),结果表!B20,INDIRECT("'"&amp;C4&amp;"'"&amp;"!B:B"))</f>
        <v>26991</v>
      </c>
      <c r="D20" s="130">
        <f ca="1">SUMIF(INDIRECT("'"&amp;D4&amp;"'"&amp;"!A:A"),结果表!B20,INDIRECT("'"&amp;D4&amp;"'"&amp;"!B:B"))</f>
        <v>17598</v>
      </c>
      <c r="E20" s="1629"/>
      <c r="F20" s="43" t="s">
        <v>1294</v>
      </c>
      <c r="G20" s="131">
        <f ca="1">ROUND(C20*$C$18+D20*$D$18,0)</f>
        <v>22295</v>
      </c>
      <c r="H20" s="757" t="s">
        <v>1295</v>
      </c>
      <c r="I20" s="121"/>
      <c r="J20" s="684">
        <f ca="1">G19-J19</f>
        <v>-1198</v>
      </c>
    </row>
    <row r="21" spans="1:36" ht="15" customHeight="1" thickBot="1">
      <c r="A21" s="449"/>
      <c r="B21" s="93" t="s">
        <v>1296</v>
      </c>
      <c r="C21" s="678">
        <f ca="1">ROUND(C19*10000/L19,0)</f>
        <v>124958</v>
      </c>
      <c r="D21" s="679">
        <f ca="1">ROUND(D19*10000/L19,0)</f>
        <v>81474</v>
      </c>
      <c r="E21" s="449"/>
      <c r="F21" s="93" t="s">
        <v>1296</v>
      </c>
      <c r="G21" s="132">
        <f ca="1">ROUND(G19*10000/L19,0)</f>
        <v>103216</v>
      </c>
      <c r="H21" s="1630" t="s">
        <v>1295</v>
      </c>
      <c r="I21" s="121"/>
    </row>
    <row r="22" spans="1:36" ht="15" thickBot="1">
      <c r="A22" s="1560" t="s">
        <v>1297</v>
      </c>
      <c r="B22" s="1631"/>
      <c r="C22" s="1632"/>
      <c r="D22" s="680">
        <f ca="1">IF(C19&lt;D19,D19/C19-1,C19/D19-1)</f>
        <v>0.53372412568049077</v>
      </c>
      <c r="E22" s="121"/>
      <c r="F22" s="121"/>
      <c r="G22" s="121"/>
      <c r="H22" s="121"/>
      <c r="I22" s="121"/>
    </row>
    <row r="23" spans="1:36" ht="13.5" thickBot="1">
      <c r="A23" s="646"/>
      <c r="B23" s="646"/>
      <c r="C23" s="646"/>
      <c r="D23" s="646"/>
      <c r="E23" s="121"/>
      <c r="F23" s="121"/>
      <c r="G23" s="121"/>
      <c r="H23" s="121"/>
      <c r="I23" s="121"/>
    </row>
    <row r="24" spans="1:36" ht="14.25">
      <c r="A24" s="3362" t="s">
        <v>1298</v>
      </c>
      <c r="B24" s="1627" t="s">
        <v>1290</v>
      </c>
      <c r="C24" s="128">
        <f>IF(B30=0,0,D30)</f>
        <v>0</v>
      </c>
      <c r="D24" s="1633"/>
      <c r="E24" s="121"/>
      <c r="F24" s="121"/>
      <c r="G24" s="121"/>
      <c r="H24" s="121"/>
      <c r="I24" s="121"/>
    </row>
    <row r="25" spans="1:36" ht="14.25">
      <c r="A25" s="3363"/>
      <c r="B25" s="43" t="s">
        <v>1294</v>
      </c>
      <c r="C25" s="133">
        <f>IF(B30=0,0,C30)</f>
        <v>0</v>
      </c>
      <c r="D25" s="1634"/>
      <c r="E25" s="121"/>
      <c r="F25" s="121"/>
      <c r="G25" s="121"/>
      <c r="H25" s="121"/>
      <c r="I25" s="121"/>
    </row>
    <row r="26" spans="1:36" ht="13.5" customHeight="1">
      <c r="A26" s="1635" t="s">
        <v>1299</v>
      </c>
      <c r="B26" s="134" t="s">
        <v>1300</v>
      </c>
      <c r="C26" s="134" t="s">
        <v>1301</v>
      </c>
      <c r="D26" s="135" t="s">
        <v>1302</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1303</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6" t="s">
        <v>1304</v>
      </c>
      <c r="B32" s="1531"/>
      <c r="C32" s="136">
        <f ca="1">IF(D32="总价",G19-C24,G20-C25)</f>
        <v>242485</v>
      </c>
      <c r="D32" s="1637" t="s">
        <v>3656</v>
      </c>
      <c r="E32" s="121"/>
      <c r="F32" s="121"/>
      <c r="G32" s="121"/>
      <c r="H32" s="121"/>
      <c r="I32" s="121"/>
    </row>
    <row r="33" spans="1:15" ht="15">
      <c r="A33" s="737" t="s">
        <v>1305</v>
      </c>
      <c r="B33" s="123"/>
      <c r="C33" s="1638" t="s">
        <v>3657</v>
      </c>
      <c r="D33" s="1639" t="s">
        <v>3638</v>
      </c>
      <c r="E33" s="1640" t="s">
        <v>1306</v>
      </c>
      <c r="F33" s="1641" t="str">
        <f>IF(D32="楼面单价","取值（单价）","取值（总价）")</f>
        <v>取值（总价）</v>
      </c>
      <c r="G33" s="121"/>
      <c r="H33" s="121"/>
      <c r="I33" s="121"/>
    </row>
    <row r="34" spans="1:15" ht="15">
      <c r="A34" s="1642"/>
      <c r="B34" s="1643" t="s">
        <v>1307</v>
      </c>
      <c r="C34" s="140">
        <f ca="1">IF(C33="自定义",F34,C32-C35)</f>
        <v>170709</v>
      </c>
      <c r="D34" s="805">
        <f ca="1">IF(C33="自定义",ROUND(C34/C32,3),IF(C33="收益比率",SUMIF(INDIRECT("'"&amp;D33&amp;"'"&amp;"!b:b"),"土地收益比率",INDIRECT("'"&amp;D33&amp;"'"&amp;"!c:c")),SUMIF(INDIRECT("'"&amp;D33&amp;"'"&amp;"!b:b"),"土地成本比率",INDIRECT("'"&amp;D33&amp;"'"&amp;"!c:c"))))</f>
        <v>0.70399999999999996</v>
      </c>
      <c r="E34" s="1644" t="s">
        <v>1308</v>
      </c>
      <c r="F34" s="1239"/>
      <c r="G34" s="121"/>
      <c r="H34" s="121"/>
      <c r="I34" s="121"/>
    </row>
    <row r="35" spans="1:15" ht="15.75" thickBot="1">
      <c r="A35" s="1645"/>
      <c r="B35" s="1646" t="s">
        <v>1309</v>
      </c>
      <c r="C35" s="1087">
        <f ca="1">IF(C33="自定义",F35,ROUND(C32*D35,0))</f>
        <v>71776</v>
      </c>
      <c r="D35" s="1088">
        <f ca="1">IF(C33="自定义",ROUND(C35/C32,3),IF(C33="收益比率",SUMIF(INDIRECT("'"&amp;D33&amp;"'"&amp;"!b:b"),"建筑物收益比率",INDIRECT("'"&amp;D33&amp;"'"&amp;"!c:c")),SUMIF(INDIRECT("'"&amp;D33&amp;"'"&amp;"!b:b"),"建筑物成本比率",INDIRECT("'"&amp;D33&amp;"'"&amp;"!c:c"))))</f>
        <v>0.29599999999999999</v>
      </c>
      <c r="E35" s="1647" t="s">
        <v>1310</v>
      </c>
      <c r="F35" s="146"/>
      <c r="G35" s="121"/>
      <c r="H35" s="121"/>
      <c r="I35" s="121"/>
    </row>
    <row r="36" spans="1:15" ht="15.75" thickBot="1">
      <c r="A36" s="3338" t="s">
        <v>1311</v>
      </c>
      <c r="B36" s="1648" t="s">
        <v>1312</v>
      </c>
      <c r="C36" s="137"/>
      <c r="D36" s="1649"/>
      <c r="E36" s="1563"/>
      <c r="F36" s="1650"/>
      <c r="G36" s="121"/>
      <c r="H36" s="121"/>
      <c r="I36" s="121"/>
    </row>
    <row r="37" spans="1:15" ht="15.75" thickBot="1">
      <c r="A37" s="3339"/>
      <c r="B37" s="1551" t="s">
        <v>1313</v>
      </c>
      <c r="C37" s="139"/>
      <c r="D37" s="1068"/>
      <c r="E37" s="1068"/>
      <c r="F37" s="1650"/>
      <c r="G37" s="121"/>
      <c r="H37" s="121"/>
      <c r="I37" s="121"/>
    </row>
    <row r="38" spans="1:15" ht="15.75" thickBot="1">
      <c r="A38" s="3340"/>
      <c r="B38" s="1651" t="s">
        <v>1314</v>
      </c>
      <c r="C38" s="641">
        <f>面积表!G43</f>
        <v>2320</v>
      </c>
      <c r="D38" s="1652" t="s">
        <v>1315</v>
      </c>
      <c r="E38" s="1068"/>
      <c r="F38" s="1650"/>
      <c r="G38" s="121"/>
      <c r="H38" s="121"/>
      <c r="I38" s="121"/>
    </row>
    <row r="39" spans="1:15" ht="15">
      <c r="A39" s="1629" t="s">
        <v>1316</v>
      </c>
      <c r="B39" s="1653" t="s">
        <v>1317</v>
      </c>
      <c r="C39" s="1654" t="s">
        <v>1318</v>
      </c>
      <c r="D39" s="1654" t="s">
        <v>1319</v>
      </c>
      <c r="E39" s="1655" t="s">
        <v>1320</v>
      </c>
      <c r="F39" s="1650"/>
      <c r="G39" s="121"/>
      <c r="H39" s="121"/>
      <c r="I39" s="121"/>
    </row>
    <row r="40" spans="1:15" ht="14.25">
      <c r="A40" s="1656" t="s">
        <v>1321</v>
      </c>
      <c r="B40" s="141"/>
      <c r="C40" s="142"/>
      <c r="D40" s="142"/>
      <c r="E40" s="143"/>
      <c r="F40" s="1650"/>
      <c r="G40" s="121"/>
      <c r="H40" s="121"/>
      <c r="I40" s="121"/>
    </row>
    <row r="41" spans="1:15" ht="14.25">
      <c r="A41" s="1656" t="s">
        <v>1322</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1323</v>
      </c>
      <c r="B44" s="1660"/>
      <c r="C44" s="1660"/>
      <c r="D44" s="1661"/>
      <c r="E44" s="1661"/>
      <c r="F44" s="1662"/>
      <c r="G44" s="1662"/>
      <c r="H44" s="1662"/>
      <c r="I44" s="1662"/>
      <c r="J44" s="1663" t="s">
        <v>1324</v>
      </c>
      <c r="K44" s="4"/>
      <c r="L44" s="4"/>
      <c r="M44" s="4"/>
      <c r="N44" s="4"/>
      <c r="O44" s="4"/>
    </row>
    <row r="45" spans="1:15" ht="14.25" customHeight="1" thickBot="1">
      <c r="A45" s="3359" t="s">
        <v>1325</v>
      </c>
      <c r="B45" s="3360"/>
      <c r="C45" s="3361"/>
      <c r="D45" s="147">
        <f ca="1">ROUND(H101*F45,0)</f>
        <v>242485</v>
      </c>
      <c r="E45" s="148" t="s">
        <v>1326</v>
      </c>
      <c r="F45" s="149">
        <v>1</v>
      </c>
      <c r="G45" s="150" t="s">
        <v>1327</v>
      </c>
      <c r="H45" s="121"/>
      <c r="I45" s="121"/>
      <c r="J45" s="3278" t="s">
        <v>1328</v>
      </c>
      <c r="K45" s="3278"/>
      <c r="L45" s="3278"/>
      <c r="M45" s="3278"/>
      <c r="N45" s="3278"/>
      <c r="O45" s="3278"/>
    </row>
    <row r="46" spans="1:15" ht="14.25" customHeight="1">
      <c r="A46" s="3356" t="s">
        <v>1329</v>
      </c>
      <c r="B46" s="3357"/>
      <c r="C46" s="3357"/>
      <c r="D46" s="3357"/>
      <c r="E46" s="3357"/>
      <c r="F46" s="3357"/>
      <c r="G46" s="3358"/>
      <c r="H46" s="1664"/>
      <c r="I46" s="151"/>
      <c r="J46" s="2302">
        <v>1</v>
      </c>
      <c r="K46" s="3279" t="s">
        <v>1330</v>
      </c>
      <c r="L46" s="3279"/>
      <c r="M46" s="3280"/>
      <c r="N46" s="3280"/>
      <c r="O46" s="3280"/>
    </row>
    <row r="47" spans="1:15" ht="12" customHeight="1">
      <c r="A47" s="152" t="s">
        <v>1331</v>
      </c>
      <c r="B47" s="153"/>
      <c r="C47" s="154"/>
      <c r="D47" s="1021" t="s">
        <v>1332</v>
      </c>
      <c r="E47" s="294" t="s">
        <v>1333</v>
      </c>
      <c r="F47" s="155" t="s">
        <v>1334</v>
      </c>
      <c r="G47" s="2325" t="s">
        <v>1335</v>
      </c>
      <c r="H47" s="2326"/>
      <c r="I47" s="151"/>
      <c r="J47" s="2302">
        <v>2</v>
      </c>
      <c r="K47" s="3279" t="s">
        <v>1336</v>
      </c>
      <c r="L47" s="3279"/>
      <c r="M47" s="3281">
        <f>'数据-取费表'!B2</f>
        <v>45635</v>
      </c>
      <c r="N47" s="3281"/>
      <c r="O47" s="3281"/>
    </row>
    <row r="48" spans="1:15" ht="25.5">
      <c r="A48" s="3341" t="s">
        <v>1337</v>
      </c>
      <c r="B48" s="3342"/>
      <c r="C48" s="3342"/>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1338</v>
      </c>
      <c r="H48" s="2329"/>
      <c r="I48" s="1664"/>
      <c r="J48" s="2302">
        <v>3</v>
      </c>
      <c r="K48" s="3279" t="s">
        <v>1339</v>
      </c>
      <c r="L48" s="3279"/>
      <c r="M48" s="3282">
        <f ca="1">H101</f>
        <v>242485</v>
      </c>
      <c r="N48" s="3282"/>
      <c r="O48" s="3282"/>
    </row>
    <row r="49" spans="1:35" ht="25.5" customHeight="1">
      <c r="A49" s="2147" t="s">
        <v>1340</v>
      </c>
      <c r="B49" s="3327" t="s">
        <v>1341</v>
      </c>
      <c r="C49" s="3327"/>
      <c r="D49" s="1474">
        <v>0</v>
      </c>
      <c r="E49" s="316" t="s">
        <v>1342</v>
      </c>
      <c r="F49" s="2228" t="s">
        <v>28</v>
      </c>
      <c r="G49" s="3310"/>
      <c r="H49" s="2129" t="s">
        <v>2132</v>
      </c>
      <c r="I49" s="2130"/>
      <c r="J49" s="2302">
        <v>4</v>
      </c>
      <c r="K49" s="3279" t="str">
        <f>IF(项目基本情况!E8="房地产抵押价值","房地产抵押价值","抵押担保权已注销时的房地产抵押价值")</f>
        <v>房地产抵押价值</v>
      </c>
      <c r="L49" s="3279"/>
      <c r="M49" s="3282">
        <f ca="1">IF(项目基本情况!E8="房地产抵押价值",H107,H109)</f>
        <v>240165</v>
      </c>
      <c r="N49" s="3282"/>
      <c r="O49" s="3282"/>
    </row>
    <row r="50" spans="1:35" ht="25.5" customHeight="1">
      <c r="A50" s="2330"/>
      <c r="B50" s="3327" t="s">
        <v>1343</v>
      </c>
      <c r="C50" s="3327"/>
      <c r="D50" s="2184"/>
      <c r="E50" s="323"/>
      <c r="F50" s="2228"/>
      <c r="G50" s="3311"/>
      <c r="H50" s="2131" t="s">
        <v>2133</v>
      </c>
      <c r="I50" s="2130"/>
      <c r="J50" s="3278" t="s">
        <v>1344</v>
      </c>
      <c r="K50" s="3278"/>
      <c r="L50" s="3278"/>
      <c r="M50" s="3278"/>
      <c r="N50" s="3278"/>
      <c r="O50" s="3278"/>
    </row>
    <row r="51" spans="1:35" ht="20.45" customHeight="1">
      <c r="A51" s="2331"/>
      <c r="B51" s="3327" t="s">
        <v>1345</v>
      </c>
      <c r="C51" s="3327"/>
      <c r="D51" s="1021"/>
      <c r="E51" s="319"/>
      <c r="F51" s="2228"/>
      <c r="G51" s="3312"/>
      <c r="H51" s="2131" t="s">
        <v>2134</v>
      </c>
      <c r="I51" s="2130"/>
      <c r="J51" s="2303" t="s">
        <v>1346</v>
      </c>
      <c r="K51" s="3279" t="s">
        <v>1347</v>
      </c>
      <c r="L51" s="3279"/>
      <c r="M51" s="2303" t="s">
        <v>1348</v>
      </c>
      <c r="N51" s="2303" t="s">
        <v>1349</v>
      </c>
      <c r="O51" s="2303" t="s">
        <v>1350</v>
      </c>
    </row>
    <row r="52" spans="1:35" ht="24" customHeight="1">
      <c r="A52" s="2148" t="s">
        <v>1351</v>
      </c>
      <c r="B52" s="3327" t="s">
        <v>1352</v>
      </c>
      <c r="C52" s="3327"/>
      <c r="D52" s="1021">
        <f ca="1">ROUND(D45*'数据-取费表'!B41/(1+'数据-取费表'!C42),0)</f>
        <v>12933</v>
      </c>
      <c r="E52" s="1252" t="s">
        <v>1353</v>
      </c>
      <c r="F52" s="2332">
        <f>'数据-取费表'!B41</f>
        <v>5.6000000000000001E-2</v>
      </c>
      <c r="G52" s="2333"/>
      <c r="H52" s="2323"/>
      <c r="I52" s="1665"/>
      <c r="J52" s="2302">
        <v>1</v>
      </c>
      <c r="K52" s="3304" t="s">
        <v>1354</v>
      </c>
      <c r="L52" s="3304"/>
      <c r="M52" s="2304" t="b">
        <f>D48</f>
        <v>0</v>
      </c>
      <c r="N52" s="2302" t="str">
        <f>E48</f>
        <v>销售额×税（费）率</v>
      </c>
      <c r="O52" s="2305">
        <f>F48</f>
        <v>5.6000000000000001E-2</v>
      </c>
    </row>
    <row r="53" spans="1:35" ht="12" customHeight="1">
      <c r="A53" s="2148" t="s">
        <v>1355</v>
      </c>
      <c r="B53" s="3328" t="s">
        <v>2285</v>
      </c>
      <c r="C53" s="3329"/>
      <c r="D53" s="1021">
        <f ca="1">ROUND(D45*'数据-取费表'!B41/(1+'数据-取费表'!C42),0)</f>
        <v>12933</v>
      </c>
      <c r="E53" s="1252" t="s">
        <v>1353</v>
      </c>
      <c r="F53" s="2332">
        <f>'数据-取费表'!B41</f>
        <v>5.6000000000000001E-2</v>
      </c>
      <c r="G53" s="2333"/>
      <c r="H53" s="2323"/>
      <c r="I53" s="1665"/>
      <c r="J53" s="2302">
        <v>2</v>
      </c>
      <c r="K53" s="3304" t="s">
        <v>1356</v>
      </c>
      <c r="L53" s="3304"/>
      <c r="M53" s="2304">
        <f t="shared" ref="M53:O54" ca="1" si="0">D55</f>
        <v>121</v>
      </c>
      <c r="N53" s="2302" t="str">
        <f t="shared" si="0"/>
        <v>销售额×税（费）率</v>
      </c>
      <c r="O53" s="2305" t="str">
        <f t="shared" si="0"/>
        <v>免征</v>
      </c>
    </row>
    <row r="54" spans="1:35" ht="12" customHeight="1">
      <c r="A54" s="2148" t="s">
        <v>1357</v>
      </c>
      <c r="B54" s="3328" t="s">
        <v>2286</v>
      </c>
      <c r="C54" s="3329"/>
      <c r="D54" s="1021">
        <f ca="1">C68</f>
        <v>12933</v>
      </c>
      <c r="E54" s="319" t="s">
        <v>1358</v>
      </c>
      <c r="F54" s="2332">
        <f>'数据-取费表'!B41</f>
        <v>5.6000000000000001E-2</v>
      </c>
      <c r="G54" s="2333"/>
      <c r="H54" s="2334"/>
      <c r="I54" s="1665"/>
      <c r="J54" s="2302">
        <v>3</v>
      </c>
      <c r="K54" s="3304" t="s">
        <v>1359</v>
      </c>
      <c r="L54" s="3304"/>
      <c r="M54" s="2304">
        <f t="shared" ca="1" si="0"/>
        <v>137246</v>
      </c>
      <c r="N54" s="2302" t="str">
        <f t="shared" si="0"/>
        <v>增值额×税（费）率</v>
      </c>
      <c r="O54" s="2306" t="str">
        <f t="shared" si="0"/>
        <v>免征</v>
      </c>
    </row>
    <row r="55" spans="1:35" ht="24" customHeight="1">
      <c r="A55" s="3365" t="s">
        <v>1360</v>
      </c>
      <c r="B55" s="3342"/>
      <c r="C55" s="3342"/>
      <c r="D55" s="12">
        <f ca="1">IF(H55="个人住宅",0,ROUND(D45*I55,0))</f>
        <v>121</v>
      </c>
      <c r="E55" s="1252" t="s">
        <v>1361</v>
      </c>
      <c r="F55" s="2332" t="str">
        <f>IF(H55="正常",I55,"免征")</f>
        <v>免征</v>
      </c>
      <c r="G55" s="2333"/>
      <c r="H55" s="2329"/>
      <c r="I55" s="157">
        <f>'数据-取费表'!B49</f>
        <v>5.0000000000000001E-4</v>
      </c>
      <c r="J55" s="2302">
        <f>IF(H59="非个人房产","",4)</f>
        <v>4</v>
      </c>
      <c r="K55" s="3304" t="str">
        <f>IF(H59="非个人房产","——","个人所得税")</f>
        <v>个人所得税</v>
      </c>
      <c r="L55" s="3304"/>
      <c r="M55" s="2307">
        <f ca="1">D59</f>
        <v>2309</v>
      </c>
      <c r="N55" s="1879" t="str">
        <f>E59</f>
        <v>差额计税</v>
      </c>
      <c r="O55" s="2308">
        <f>F59</f>
        <v>0.01</v>
      </c>
    </row>
    <row r="56" spans="1:35" ht="24.75">
      <c r="A56" s="3365" t="s">
        <v>1362</v>
      </c>
      <c r="B56" s="3342"/>
      <c r="C56" s="3342"/>
      <c r="D56" s="12">
        <f ca="1">IF(H56="个人住宅",D57,D58)</f>
        <v>137246</v>
      </c>
      <c r="E56" s="1252" t="s">
        <v>1363</v>
      </c>
      <c r="F56" s="2332" t="str">
        <f>IF(H56="正常",F58,"免征")</f>
        <v>免征</v>
      </c>
      <c r="G56" s="2335" t="s">
        <v>1364</v>
      </c>
      <c r="H56" s="2336"/>
      <c r="I56" s="1666"/>
      <c r="J56" s="2302" t="str">
        <f>IF(项目基本情况!K6="上海银行",IF(J55="",4,J55+1),"")</f>
        <v/>
      </c>
      <c r="K56" s="3285" t="str">
        <f>IF(项目基本情况!K6="上海银行","其他处置费用","")</f>
        <v/>
      </c>
      <c r="L56" s="3286"/>
      <c r="M56" s="2304" t="str">
        <f>IF(项目基本情况!K6="上海银行",M69,"")</f>
        <v/>
      </c>
      <c r="N56" s="3285" t="str">
        <f>IF(项目基本情况!K6="上海银行","包含处置中涉及的律师、诉讼、拍卖、评估等费用","")</f>
        <v/>
      </c>
      <c r="O56" s="3288"/>
    </row>
    <row r="57" spans="1:35" ht="12.75">
      <c r="A57" s="2148" t="s">
        <v>1340</v>
      </c>
      <c r="B57" s="3328" t="s">
        <v>1365</v>
      </c>
      <c r="C57" s="3329"/>
      <c r="D57" s="1474">
        <v>0</v>
      </c>
      <c r="E57" s="316" t="s">
        <v>1342</v>
      </c>
      <c r="F57" s="294"/>
      <c r="G57" s="2333"/>
      <c r="H57" s="2337"/>
      <c r="I57" s="1666"/>
      <c r="J57" s="3304">
        <f>IF(AND(J55="",J56=""),4,IF(项目基本情况!K6="上海银行",结果表!J56+1,结果表!J55+1))</f>
        <v>5</v>
      </c>
      <c r="K57" s="3304" t="s">
        <v>1366</v>
      </c>
      <c r="L57" s="2309" t="s">
        <v>1367</v>
      </c>
      <c r="M57" s="2310"/>
      <c r="N57" s="2311">
        <f ca="1">SUMIF(M52:M56,"&lt;9e307")</f>
        <v>139676</v>
      </c>
      <c r="O57" s="2312"/>
      <c r="P57" s="2456">
        <f ca="1">N57/M49</f>
        <v>0.58158349468074033</v>
      </c>
    </row>
    <row r="58" spans="1:35" ht="24.75">
      <c r="A58" s="2148" t="s">
        <v>1351</v>
      </c>
      <c r="B58" s="3328" t="s">
        <v>1368</v>
      </c>
      <c r="C58" s="3327"/>
      <c r="D58" s="12">
        <f ca="1">IF(H58="转让取得",C81,C97)</f>
        <v>137246</v>
      </c>
      <c r="E58" s="1252" t="s">
        <v>1363</v>
      </c>
      <c r="F58" s="294" t="s">
        <v>28</v>
      </c>
      <c r="G58" s="2333"/>
      <c r="H58" s="2336"/>
      <c r="I58" s="1666"/>
      <c r="J58" s="3304"/>
      <c r="K58" s="3304"/>
      <c r="L58" s="2309" t="s">
        <v>1369</v>
      </c>
      <c r="M58" s="2313"/>
      <c r="N58" s="2314" t="str">
        <f ca="1">NUMBERSTRING(INT(N57*10000),2)&amp;"元整"</f>
        <v>壹拾叁亿玖仟陆佰柒拾陆万元整</v>
      </c>
      <c r="O58" s="2315"/>
    </row>
    <row r="59" spans="1:35" ht="24.75" thickBot="1">
      <c r="A59" s="3308" t="s">
        <v>1370</v>
      </c>
      <c r="B59" s="3309"/>
      <c r="C59" s="3309"/>
      <c r="D59" s="2338">
        <f ca="1">IF(H59="非个人房产","——",IF(H59="个人住宅（满五唯一有凭证）",0,IF(H59="个人其他（无凭证）",ROUND(D45*F59,0),ROUND(C67*F59,0))))</f>
        <v>2309</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3"/>
      <c r="I59" s="2132" t="s">
        <v>2135</v>
      </c>
      <c r="J59" s="3306">
        <f>J57+1</f>
        <v>6</v>
      </c>
      <c r="K59" s="3304" t="s">
        <v>1371</v>
      </c>
      <c r="L59" s="2302" t="s">
        <v>1367</v>
      </c>
      <c r="M59" s="2316"/>
      <c r="N59" s="2317">
        <f ca="1">M49-N57</f>
        <v>100489</v>
      </c>
      <c r="O59" s="2318"/>
    </row>
    <row r="60" spans="1:35" ht="12" customHeight="1">
      <c r="A60" s="1667"/>
      <c r="B60" s="646"/>
      <c r="C60" s="646"/>
      <c r="D60" s="646"/>
      <c r="E60" s="1462"/>
      <c r="F60" s="1666"/>
      <c r="G60" s="1666"/>
      <c r="H60" s="151"/>
      <c r="I60" s="121"/>
      <c r="J60" s="3307"/>
      <c r="K60" s="3304"/>
      <c r="L60" s="2309" t="s">
        <v>1369</v>
      </c>
      <c r="M60" s="2313"/>
      <c r="N60" s="2314" t="str">
        <f ca="1">NUMBERSTRING(INT(N59*10000),2)&amp;"元整"</f>
        <v>壹拾亿零肆佰捌拾玖万元整</v>
      </c>
      <c r="O60" s="2315"/>
    </row>
    <row r="61" spans="1:35" ht="13.5" thickBot="1">
      <c r="A61" s="3364" t="s">
        <v>1372</v>
      </c>
      <c r="B61" s="3364"/>
      <c r="C61" s="3364"/>
      <c r="D61" s="3364"/>
      <c r="E61" s="3364"/>
      <c r="F61" s="1666"/>
      <c r="G61" s="1666"/>
      <c r="H61" s="151"/>
      <c r="I61" s="121"/>
      <c r="J61" s="2302">
        <f>J59+1</f>
        <v>7</v>
      </c>
      <c r="K61" s="3304" t="s">
        <v>1373</v>
      </c>
      <c r="L61" s="3304"/>
      <c r="M61" s="2319"/>
      <c r="N61" s="2320">
        <f ca="1">ROUND(N59*10000/'数据-汇总表'!E3,0)</f>
        <v>9239</v>
      </c>
      <c r="O61" s="2321"/>
    </row>
    <row r="62" spans="1:35" ht="12.75">
      <c r="A62" s="3323" t="s">
        <v>1374</v>
      </c>
      <c r="B62" s="3324"/>
      <c r="C62" s="1861"/>
      <c r="D62" s="1861" t="s">
        <v>1375</v>
      </c>
      <c r="E62" s="158" t="s">
        <v>1376</v>
      </c>
      <c r="F62" s="1666"/>
      <c r="G62" s="1666"/>
      <c r="H62" s="151"/>
      <c r="I62" s="121"/>
    </row>
    <row r="63" spans="1:35" ht="12.75">
      <c r="A63" s="165" t="s">
        <v>330</v>
      </c>
      <c r="B63" s="159" t="s">
        <v>1377</v>
      </c>
      <c r="C63" s="2342">
        <f ca="1">ROUND((C64+C65)/(1+'数据-取费表'!C42),0)</f>
        <v>230938</v>
      </c>
      <c r="D63" s="159"/>
      <c r="E63" s="160"/>
      <c r="F63" s="1666"/>
      <c r="G63" s="1666"/>
      <c r="H63" s="151"/>
      <c r="I63" s="121"/>
      <c r="J63" s="3287" t="s">
        <v>1378</v>
      </c>
      <c r="K63" s="1241" t="s">
        <v>1379</v>
      </c>
      <c r="L63" s="1241">
        <f ca="1">IF(M49&gt;10000,M49*0.5%,IF(AND(M49&gt;1000,M49&lt;=10000),M49*1%,IF(AND(M49&gt;100,M49&lt;=1000),M49*3%,IF(AND(M49&gt;10,M49&lt;=100),M49*5%,M49*8%))))</f>
        <v>1200.825</v>
      </c>
      <c r="M63" s="294">
        <f ca="1">ROUND(L63,1)</f>
        <v>1200.8</v>
      </c>
      <c r="N63" s="2322"/>
      <c r="Z63" s="1619"/>
      <c r="AI63" s="1557"/>
    </row>
    <row r="64" spans="1:35" ht="14.25" customHeight="1">
      <c r="A64" s="161" t="s">
        <v>325</v>
      </c>
      <c r="B64" s="162" t="s">
        <v>1380</v>
      </c>
      <c r="C64" s="2343">
        <f ca="1">D45</f>
        <v>242485</v>
      </c>
      <c r="D64" s="162" t="s">
        <v>26</v>
      </c>
      <c r="E64" s="164"/>
      <c r="F64" s="1666"/>
      <c r="G64" s="1666"/>
      <c r="H64" s="151"/>
      <c r="I64" s="121"/>
      <c r="J64" s="3287"/>
      <c r="K64" s="1241" t="s">
        <v>1381</v>
      </c>
      <c r="L64" s="1241">
        <f ca="1">IF(M49&gt;2000,M49*0.5%,IF(AND(M49&gt;1000,M49&lt;=2000),M49*0.6%,IF(AND(M49&gt;500,M49&lt;=1000),M49*0.7%,IF(AND(M49&gt;200,M49&lt;=500),M49*0.8%,IF(AND(M49&gt;100,M49&lt;=200),M49*0.9%,IF(AND(M49&gt;50,M49&lt;=100),M49*1%,IF(AND(M49&gt;20,M49&lt;=50),M49*1.5%,IF(AND(M49&gt;10,M49&lt;=20),M49*2%,IF(AND(M49&gt;1,M49&lt;=10),M49*2.5%)))))))))</f>
        <v>1200.825</v>
      </c>
      <c r="M64" s="294">
        <f ca="1">ROUND(L64,1)</f>
        <v>1200.8</v>
      </c>
      <c r="N64" s="2323" t="s">
        <v>1382</v>
      </c>
      <c r="Z64" s="1619"/>
      <c r="AI64" s="1557"/>
    </row>
    <row r="65" spans="1:35" ht="14.25" customHeight="1">
      <c r="A65" s="161" t="s">
        <v>326</v>
      </c>
      <c r="B65" s="162" t="s">
        <v>1383</v>
      </c>
      <c r="C65" s="2344"/>
      <c r="D65" s="162"/>
      <c r="E65" s="164"/>
      <c r="F65" s="1666"/>
      <c r="G65" s="1666"/>
      <c r="H65" s="151"/>
      <c r="I65" s="121"/>
      <c r="J65" s="3287"/>
      <c r="K65" s="1241" t="s">
        <v>1384</v>
      </c>
      <c r="L65" s="1241">
        <f ca="1">IF(M49&gt;1000,M49*0.1%,IF(AND(M49&gt;500,M49&lt;=1000),M49*0.5%,IF(AND(M49&gt;50,M49&lt;=500),M49*1%,IF(AND(M49&gt;1,M49&lt;=50),M49*1.5%))))</f>
        <v>240.16499999999999</v>
      </c>
      <c r="M65" s="294">
        <f ca="1">ROUND(L65,1)</f>
        <v>240.2</v>
      </c>
      <c r="N65" s="2323" t="s">
        <v>1382</v>
      </c>
      <c r="Z65" s="1619"/>
      <c r="AI65" s="1557"/>
    </row>
    <row r="66" spans="1:35" ht="14.25" customHeight="1">
      <c r="A66" s="165" t="s">
        <v>327</v>
      </c>
      <c r="B66" s="166" t="s">
        <v>1385</v>
      </c>
      <c r="C66" s="2345"/>
      <c r="D66" s="166" t="s">
        <v>26</v>
      </c>
      <c r="E66" s="1247" t="s">
        <v>671</v>
      </c>
      <c r="F66" s="1666"/>
      <c r="G66" s="1666"/>
      <c r="H66" s="151"/>
      <c r="I66" s="121"/>
      <c r="J66" s="3287"/>
      <c r="K66" s="1241" t="s">
        <v>1386</v>
      </c>
      <c r="L66" s="1241">
        <f ca="1">M49*0.5%</f>
        <v>1200.825</v>
      </c>
      <c r="M66" s="294">
        <f ca="1">IF(L66&gt;0.5,0.5,ROUND(L66,0))</f>
        <v>0.5</v>
      </c>
      <c r="N66" s="2323" t="s">
        <v>1387</v>
      </c>
      <c r="Z66" s="1619"/>
      <c r="AI66" s="1557"/>
    </row>
    <row r="67" spans="1:35" ht="14.25" customHeight="1">
      <c r="A67" s="165" t="s">
        <v>328</v>
      </c>
      <c r="B67" s="166" t="s">
        <v>1388</v>
      </c>
      <c r="C67" s="2346">
        <f ca="1">C63-C66</f>
        <v>230938</v>
      </c>
      <c r="D67" s="162" t="s">
        <v>26</v>
      </c>
      <c r="E67" s="164"/>
      <c r="F67" s="1666"/>
      <c r="G67" s="1666"/>
      <c r="H67" s="151"/>
      <c r="I67" s="121"/>
      <c r="J67" s="3287"/>
      <c r="K67" s="1241" t="s">
        <v>1389</v>
      </c>
      <c r="L67" s="1241">
        <f ca="1">IF(M49&gt;=10000,(8.25+(M49-10000)*0.01%),IF(AND(M49&gt;=8000,M49&lt;10000),(7.85+(M49-8000)*0.02%),IF(AND(M49&gt;=5000,M49&lt;8000),(6.65+(M49-5000)*0.04%),IF(AND(M49&gt;=2000,M49&lt;5000),(4.25+(PM49-2000)*0.08%),IF(AND(M49&gt;=1000,M49&lt;2000),(2.75+(M49-1000)*0.15%),IF(AND(M49&gt;=100,M49&lt;1000),(0.5+(M49-100)*0.25%),IF(AND(M49&gt;0,M49&lt;100),M49*0.5%)))))))</f>
        <v>31.266500000000001</v>
      </c>
      <c r="M67" s="294">
        <f ca="1">ROUND(L67*0.9,1)</f>
        <v>28.1</v>
      </c>
      <c r="N67" s="2322"/>
      <c r="Z67" s="1619"/>
      <c r="AI67" s="1557"/>
    </row>
    <row r="68" spans="1:35" ht="14.25" customHeight="1" thickBot="1">
      <c r="A68" s="168" t="s">
        <v>329</v>
      </c>
      <c r="B68" s="169" t="s">
        <v>1390</v>
      </c>
      <c r="C68" s="2347">
        <f ca="1">IF(C67&lt;=0,0,ROUND(C67*D68,0))</f>
        <v>12933</v>
      </c>
      <c r="D68" s="2348">
        <f>'数据-取费表'!B41</f>
        <v>5.6000000000000001E-2</v>
      </c>
      <c r="E68" s="170"/>
      <c r="F68" s="1666"/>
      <c r="G68" s="1666"/>
      <c r="H68" s="151"/>
      <c r="I68" s="121"/>
      <c r="J68" s="3287"/>
      <c r="K68" s="1241" t="s">
        <v>1391</v>
      </c>
      <c r="L68" s="1241">
        <f ca="1">IF(M49&gt;10000,M49*0.5%,IF(AND(M49&gt;5000,M49&lt;=10000),M49*1%,IF(AND(M49&gt;1000,M49&lt;=5000),M49*2%,IF(AND(M49&gt;200,M49&lt;=1000),M49*3%,M49*5%))))</f>
        <v>1200.825</v>
      </c>
      <c r="M68" s="294">
        <f ca="1">ROUND(L68,1)</f>
        <v>1200.8</v>
      </c>
      <c r="N68" s="2322"/>
      <c r="Z68" s="1619"/>
      <c r="AI68" s="1557"/>
    </row>
    <row r="69" spans="1:35" ht="16.5" customHeight="1">
      <c r="A69" s="1668"/>
      <c r="B69" s="1669"/>
      <c r="C69" s="1670"/>
      <c r="D69" s="1671"/>
      <c r="E69" s="1672"/>
      <c r="F69" s="1462"/>
      <c r="G69" s="1462"/>
      <c r="H69" s="1463"/>
      <c r="I69" s="646"/>
      <c r="J69" s="3287"/>
      <c r="K69" s="1241" t="s">
        <v>1392</v>
      </c>
      <c r="L69" s="1241"/>
      <c r="M69" s="294">
        <f ca="1">ROUND(SUM(M63:M68),0)</f>
        <v>3871</v>
      </c>
      <c r="N69" s="2324">
        <f ca="1">M69/M49</f>
        <v>1.6118085482897174E-2</v>
      </c>
      <c r="Z69" s="1619"/>
      <c r="AI69" s="1557"/>
    </row>
    <row r="70" spans="1:35" s="642" customFormat="1" ht="15" thickBot="1">
      <c r="A70" s="3331" t="s">
        <v>1393</v>
      </c>
      <c r="B70" s="3332"/>
      <c r="C70" s="3332"/>
      <c r="D70" s="3332"/>
      <c r="E70" s="3332"/>
      <c r="F70" s="3332"/>
      <c r="G70" s="3332"/>
      <c r="H70" s="3332"/>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323" t="s">
        <v>1374</v>
      </c>
      <c r="B71" s="3324"/>
      <c r="C71" s="1861"/>
      <c r="D71" s="1861" t="s">
        <v>1375</v>
      </c>
      <c r="E71" s="171" t="s">
        <v>1376</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1394</v>
      </c>
      <c r="C72" s="2346">
        <f ca="1">ROUND(D45/(1+'数据-取费表'!C42),0)</f>
        <v>230938</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1395</v>
      </c>
      <c r="C73" s="2346">
        <f ca="1">C74+C78</f>
        <v>1386</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1396</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1397</v>
      </c>
      <c r="C75" s="2349"/>
      <c r="D75" s="162" t="s">
        <v>26</v>
      </c>
      <c r="E75" s="176" t="s">
        <v>1398</v>
      </c>
      <c r="F75" s="2350"/>
      <c r="G75" s="176" t="s">
        <v>1399</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1400</v>
      </c>
      <c r="C76" s="162">
        <f>IF(F75="购房发票",ROUND(C75*H75*D76,0),0)</f>
        <v>0</v>
      </c>
      <c r="D76" s="2352">
        <v>0.05</v>
      </c>
      <c r="E76" s="3328" t="s">
        <v>1401</v>
      </c>
      <c r="F76" s="3327"/>
      <c r="G76" s="3327"/>
      <c r="H76" s="3330"/>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1404</v>
      </c>
      <c r="C78" s="2354">
        <f ca="1">ROUND(D45*D78/(1+'数据-取费表'!C42),0)</f>
        <v>1386</v>
      </c>
      <c r="D78" s="2355">
        <f>'数据-取费表'!B43</f>
        <v>6.000000000000001E-3</v>
      </c>
      <c r="E78" s="3320" t="s">
        <v>1405</v>
      </c>
      <c r="F78" s="3321"/>
      <c r="G78" s="3321"/>
      <c r="H78" s="332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1406</v>
      </c>
      <c r="C79" s="2346">
        <f ca="1">C72-C73</f>
        <v>229552</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1407</v>
      </c>
      <c r="C80" s="2356">
        <f ca="1">IF(C79&lt;=0,0,C79/C73)</f>
        <v>165.62193362193364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1408</v>
      </c>
      <c r="C81" s="2357">
        <f ca="1">ROUND(IF(C79&lt;=0,0,IF(C80&gt;=200%,C79*60%-C73*35%,IF(C80&gt;=100%,C79*50%-C73*15%,IF(C80&gt;=50%,C79*40%-C73*5%,IF(C80&lt;50%,C79*30%,0))))),0)</f>
        <v>137246</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31" t="s">
        <v>1409</v>
      </c>
      <c r="B83" s="3332"/>
      <c r="C83" s="3332"/>
      <c r="D83" s="3332"/>
      <c r="E83" s="3332"/>
      <c r="F83" s="3332"/>
      <c r="G83" s="3332"/>
      <c r="H83" s="3332"/>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323" t="s">
        <v>1374</v>
      </c>
      <c r="B84" s="3324"/>
      <c r="C84" s="1861"/>
      <c r="D84" s="1861" t="s">
        <v>1375</v>
      </c>
      <c r="E84" s="171" t="s">
        <v>1376</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1394</v>
      </c>
      <c r="C85" s="2346">
        <f ca="1">ROUND(D45/(1+'数据-取费表'!C42),0)</f>
        <v>230938</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1395</v>
      </c>
      <c r="C86" s="2346">
        <f ca="1">IF(H88="仅含出让金",C87+C90+C91+C92+C93+C94,C87+C91+C92+C93+C94)</f>
        <v>1386</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1410</v>
      </c>
      <c r="C87" s="2354">
        <f>C88+C89</f>
        <v>0</v>
      </c>
      <c r="D87" s="2355"/>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1411</v>
      </c>
      <c r="C88" s="2360"/>
      <c r="D88" s="2355"/>
      <c r="E88" s="185" t="s">
        <v>1412</v>
      </c>
      <c r="F88" s="2143"/>
      <c r="G88" s="186" t="s">
        <v>1413</v>
      </c>
      <c r="H88" s="1680"/>
      <c r="I88" s="1677"/>
      <c r="J88" s="2300"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1402</v>
      </c>
      <c r="C89" s="2354">
        <f>ROUND(C88*D89,0)</f>
        <v>0</v>
      </c>
      <c r="D89" s="2355">
        <f>'数据-取费表'!B48+'数据-取费表'!B49</f>
        <v>3.0499999999999999E-2</v>
      </c>
      <c r="E89" s="185" t="s">
        <v>1414</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1415</v>
      </c>
      <c r="C90" s="2360"/>
      <c r="D90" s="2355"/>
      <c r="E90" s="185" t="str">
        <f>IF(H88="-","土地取得成本中已包含该笔费用"," ")</f>
        <v xml:space="preserve"> </v>
      </c>
      <c r="F90" s="2143"/>
      <c r="G90" s="3289" t="s">
        <v>2127</v>
      </c>
      <c r="H90" s="3290"/>
      <c r="I90" s="1677"/>
      <c r="J90" s="2300"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1416</v>
      </c>
      <c r="B91" s="162" t="s">
        <v>1417</v>
      </c>
      <c r="C91" s="2354">
        <f>IF(H91="——",成本法!C33,I91)</f>
        <v>0</v>
      </c>
      <c r="D91" s="2355"/>
      <c r="E91" s="3320" t="s">
        <v>1418</v>
      </c>
      <c r="F91" s="3321"/>
      <c r="G91" s="332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1419</v>
      </c>
      <c r="B92" s="162" t="s">
        <v>1420</v>
      </c>
      <c r="C92" s="2354">
        <f>ROUND((C87+C90+C91)*D92,0)</f>
        <v>0</v>
      </c>
      <c r="D92" s="2361"/>
      <c r="E92" s="3320" t="s">
        <v>1421</v>
      </c>
      <c r="F92" s="3321"/>
      <c r="G92" s="3321"/>
      <c r="H92" s="3322"/>
      <c r="I92" s="1677"/>
      <c r="J92" s="2301"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1422</v>
      </c>
      <c r="B93" s="162" t="s">
        <v>1404</v>
      </c>
      <c r="C93" s="2354">
        <f ca="1">ROUND(D45*D93/(1+'数据-取费表'!C42),0)</f>
        <v>1386</v>
      </c>
      <c r="D93" s="2355">
        <f>'数据-取费表'!B43</f>
        <v>6.000000000000001E-3</v>
      </c>
      <c r="E93" s="3320" t="s">
        <v>1405</v>
      </c>
      <c r="F93" s="3321"/>
      <c r="G93" s="3321"/>
      <c r="H93" s="332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1423</v>
      </c>
      <c r="B94" s="162" t="s">
        <v>1424</v>
      </c>
      <c r="C94" s="2360">
        <f>ROUND((C87+C90+C91)*D94,0)</f>
        <v>0</v>
      </c>
      <c r="D94" s="2355">
        <v>0.2</v>
      </c>
      <c r="E94" s="3369" t="s">
        <v>1425</v>
      </c>
      <c r="F94" s="3370"/>
      <c r="G94" s="3370"/>
      <c r="H94" s="3371"/>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1406</v>
      </c>
      <c r="C95" s="2346">
        <f ca="1">ROUND(C85-C86,0)</f>
        <v>229552</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1407</v>
      </c>
      <c r="C96" s="2356">
        <f ca="1">IF(C95&lt;=0,0,C95/C86)</f>
        <v>165.62193362193364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1408</v>
      </c>
      <c r="C97" s="2357">
        <f ca="1">ROUND(IF(C95&lt;=0,0,IF(C96&gt;=200%,C95*60%-C86*35%,IF(C96&gt;=100%,C95*50%-C86*15%,IF(C96&gt;=50%,C95*40%-C86*5%,IF(C96&lt;50%,C95*30%,0))))),0)</f>
        <v>137246</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1426</v>
      </c>
      <c r="B99" s="646"/>
      <c r="C99" s="646"/>
      <c r="D99" s="646"/>
      <c r="E99" s="1462"/>
      <c r="F99" s="1462"/>
      <c r="G99" s="1462"/>
      <c r="H99" s="1463"/>
      <c r="I99" s="121"/>
    </row>
    <row r="100" spans="1:35" ht="18.75" customHeight="1">
      <c r="A100" s="3270" t="s">
        <v>1427</v>
      </c>
      <c r="B100" s="3271"/>
      <c r="C100" s="3271"/>
      <c r="D100" s="3305"/>
      <c r="E100" s="3271" t="s">
        <v>1428</v>
      </c>
      <c r="F100" s="3271"/>
      <c r="G100" s="3271"/>
      <c r="H100" s="3305"/>
      <c r="I100" s="121"/>
    </row>
    <row r="101" spans="1:35" ht="18.75" customHeight="1">
      <c r="A101" s="3313" t="s">
        <v>1429</v>
      </c>
      <c r="B101" s="3314"/>
      <c r="C101" s="2363" t="str">
        <f>C4</f>
        <v>成本法</v>
      </c>
      <c r="D101" s="2364" t="str">
        <f>D4</f>
        <v>假设开发法</v>
      </c>
      <c r="E101" s="3283" t="s">
        <v>1430</v>
      </c>
      <c r="F101" s="3284"/>
      <c r="G101" s="1683" t="s">
        <v>1431</v>
      </c>
      <c r="H101" s="2373">
        <f ca="1">H118</f>
        <v>242485</v>
      </c>
      <c r="I101" s="121"/>
    </row>
    <row r="102" spans="1:35" ht="18.75" customHeight="1">
      <c r="A102" s="3315" t="s">
        <v>1432</v>
      </c>
      <c r="B102" s="2362" t="s">
        <v>1431</v>
      </c>
      <c r="C102" s="2363">
        <f ca="1">IF(D32="楼面单价",ROUND(C19,0),C19)</f>
        <v>293564</v>
      </c>
      <c r="D102" s="2364">
        <f ca="1">IF(D32="楼面单价",ROUND(D19,0),D19)</f>
        <v>191406</v>
      </c>
      <c r="E102" s="3283"/>
      <c r="F102" s="3284"/>
      <c r="G102" s="1683" t="s">
        <v>1433</v>
      </c>
      <c r="H102" s="2333">
        <f ca="1">I118</f>
        <v>22294</v>
      </c>
      <c r="I102" s="121"/>
    </row>
    <row r="103" spans="1:35" ht="42.75" customHeight="1">
      <c r="A103" s="3315"/>
      <c r="B103" s="2362" t="s">
        <v>1433</v>
      </c>
      <c r="C103" s="2365">
        <f ca="1">C20</f>
        <v>26991</v>
      </c>
      <c r="D103" s="2366">
        <f ca="1">D20</f>
        <v>17598</v>
      </c>
      <c r="E103" s="3276" t="s">
        <v>1434</v>
      </c>
      <c r="F103" s="3277"/>
      <c r="G103" s="1684" t="s">
        <v>1435</v>
      </c>
      <c r="H103" s="2373">
        <f>IF(D36="正常操作",H104+H105+H106,H105+H106)</f>
        <v>2320</v>
      </c>
      <c r="I103" s="121"/>
    </row>
    <row r="104" spans="1:35" ht="18.75" customHeight="1">
      <c r="A104" s="3315" t="s">
        <v>1436</v>
      </c>
      <c r="B104" s="2367" t="s">
        <v>1431</v>
      </c>
      <c r="C104" s="2368">
        <f ca="1">H118</f>
        <v>242485</v>
      </c>
      <c r="D104" s="2369"/>
      <c r="E104" s="1551" t="s">
        <v>1437</v>
      </c>
      <c r="F104" s="1544"/>
      <c r="G104" s="1684" t="s">
        <v>1435</v>
      </c>
      <c r="H104" s="2374">
        <f>IF(D36="同一抵押权人同一抵押物续贷",C36&amp;"（续贷，未扣减，详见特别提示）",C36)</f>
        <v>0</v>
      </c>
      <c r="I104" s="121"/>
    </row>
    <row r="105" spans="1:35" ht="18.75" customHeight="1" thickBot="1">
      <c r="A105" s="3325"/>
      <c r="B105" s="2370" t="s">
        <v>1433</v>
      </c>
      <c r="C105" s="2371">
        <f ca="1">I118</f>
        <v>22294</v>
      </c>
      <c r="D105" s="2372"/>
      <c r="E105" s="1551" t="s">
        <v>1438</v>
      </c>
      <c r="F105" s="1544"/>
      <c r="G105" s="1684" t="s">
        <v>1435</v>
      </c>
      <c r="H105" s="2375">
        <f>C37</f>
        <v>0</v>
      </c>
      <c r="I105" s="121"/>
    </row>
    <row r="106" spans="1:35" ht="18.75" customHeight="1">
      <c r="A106" s="646" t="s">
        <v>1439</v>
      </c>
      <c r="B106" s="646"/>
      <c r="C106" s="646"/>
      <c r="D106" s="646"/>
      <c r="E106" s="1685" t="s">
        <v>1440</v>
      </c>
      <c r="F106" s="1544"/>
      <c r="G106" s="1684" t="s">
        <v>1435</v>
      </c>
      <c r="H106" s="2375">
        <f>C38</f>
        <v>2320</v>
      </c>
      <c r="I106" s="121"/>
    </row>
    <row r="107" spans="1:35" ht="18.75" customHeight="1">
      <c r="A107" s="121"/>
      <c r="B107" s="121"/>
      <c r="C107" s="121"/>
      <c r="D107" s="121"/>
      <c r="E107" s="3316" t="str">
        <f>IF(项目基本情况!E8="已注销","——","3.房地产抵押价值")</f>
        <v>3.房地产抵押价值</v>
      </c>
      <c r="F107" s="3284"/>
      <c r="G107" s="1683" t="s">
        <v>1431</v>
      </c>
      <c r="H107" s="2373">
        <f ca="1">IF(E107="——","——",H101-H103)</f>
        <v>240165</v>
      </c>
      <c r="I107" s="121"/>
    </row>
    <row r="108" spans="1:35" ht="18.75" customHeight="1">
      <c r="A108" s="121"/>
      <c r="B108" s="121"/>
      <c r="C108" s="121"/>
      <c r="D108" s="121"/>
      <c r="E108" s="3316"/>
      <c r="F108" s="3284"/>
      <c r="G108" s="1683" t="s">
        <v>1433</v>
      </c>
      <c r="H108" s="2333">
        <f ca="1">IF(H107=H101,H102,ROUND(H107*10000/'数据-汇总表'!E3,0))</f>
        <v>22081</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284"/>
      <c r="G109" s="1683" t="s">
        <v>1431</v>
      </c>
      <c r="H109" s="2376" t="str">
        <f>IF(E109="——","——",H101-H105-H106)</f>
        <v>——</v>
      </c>
      <c r="I109" s="121"/>
    </row>
    <row r="110" spans="1:35" ht="18.75" customHeight="1">
      <c r="A110" s="121"/>
      <c r="B110" s="121"/>
      <c r="C110" s="121"/>
      <c r="D110" s="121"/>
      <c r="E110" s="3316"/>
      <c r="F110" s="3284"/>
      <c r="G110" s="1683" t="s">
        <v>1433</v>
      </c>
      <c r="H110" s="2333"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303"/>
      <c r="G111" s="1683" t="s">
        <v>1431</v>
      </c>
      <c r="H111" s="2373" t="str">
        <f>IF(E111="——","——",N59)</f>
        <v>——</v>
      </c>
      <c r="I111" s="121"/>
    </row>
    <row r="112" spans="1:35" ht="18.75" customHeight="1" thickBot="1">
      <c r="A112" s="121"/>
      <c r="B112" s="121"/>
      <c r="C112" s="121"/>
      <c r="D112" s="121"/>
      <c r="E112" s="3318"/>
      <c r="F112" s="3319"/>
      <c r="G112" s="1686" t="s">
        <v>1433</v>
      </c>
      <c r="H112" s="2377" t="str">
        <f>IF(E111="——","——",N61)</f>
        <v>——</v>
      </c>
      <c r="I112" s="121"/>
    </row>
    <row r="113" spans="1:27" ht="18.75" customHeight="1">
      <c r="A113" s="121"/>
      <c r="B113" s="121"/>
      <c r="C113" s="121"/>
      <c r="D113" s="121"/>
      <c r="E113" s="3326" t="s">
        <v>1439</v>
      </c>
      <c r="F113" s="3326"/>
      <c r="G113" s="3326"/>
      <c r="H113" s="3326"/>
      <c r="I113" s="121"/>
    </row>
    <row r="114" spans="1:27" ht="3.75" customHeight="1">
      <c r="A114" s="646"/>
      <c r="B114" s="646"/>
      <c r="C114" s="646"/>
      <c r="D114" s="646"/>
      <c r="E114" s="1667"/>
      <c r="F114" s="1667"/>
      <c r="G114" s="1667"/>
      <c r="H114" s="1667"/>
      <c r="I114" s="646"/>
    </row>
    <row r="115" spans="1:27" ht="18.75" customHeight="1">
      <c r="A115" s="3334" t="s">
        <v>1441</v>
      </c>
      <c r="B115" s="3335"/>
      <c r="C115" s="3335"/>
      <c r="D115" s="3335"/>
      <c r="E115" s="3335"/>
      <c r="F115" s="3335"/>
      <c r="G115" s="3335"/>
      <c r="H115" s="3335"/>
      <c r="I115" s="3336"/>
    </row>
    <row r="116" spans="1:27" ht="27" customHeight="1">
      <c r="A116" s="3291" t="s">
        <v>1442</v>
      </c>
      <c r="B116" s="3295" t="s">
        <v>1443</v>
      </c>
      <c r="C116" s="3295" t="s">
        <v>1444</v>
      </c>
      <c r="D116" s="3301" t="s">
        <v>1445</v>
      </c>
      <c r="E116" s="3302"/>
      <c r="F116" s="3333" t="s">
        <v>1446</v>
      </c>
      <c r="G116" s="3333"/>
      <c r="H116" s="3291" t="s">
        <v>1447</v>
      </c>
      <c r="I116" s="3291"/>
    </row>
    <row r="117" spans="1:27" ht="18.75" customHeight="1">
      <c r="A117" s="3291"/>
      <c r="B117" s="3296"/>
      <c r="C117" s="3296"/>
      <c r="D117" s="2145" t="s">
        <v>1448</v>
      </c>
      <c r="E117" s="2145" t="s">
        <v>1449</v>
      </c>
      <c r="F117" s="2145" t="s">
        <v>1448</v>
      </c>
      <c r="G117" s="2145" t="s">
        <v>1450</v>
      </c>
      <c r="H117" s="2145" t="s">
        <v>1448</v>
      </c>
      <c r="I117" s="2145" t="s">
        <v>1450</v>
      </c>
    </row>
    <row r="118" spans="1:27" ht="24.75" customHeight="1">
      <c r="A118" s="2378" t="str">
        <f>项目基本情况!S2</f>
        <v>北京市丰台区丰台科技园东区三期1516-51号地块商业金融用地项目出让国有建设用地使用权及在建建筑物房地产</v>
      </c>
      <c r="B118" s="2145">
        <f>M18</f>
        <v>108765.47999999998</v>
      </c>
      <c r="C118" s="2145">
        <f>M19</f>
        <v>23493.01</v>
      </c>
      <c r="D118" s="2145">
        <f ca="1">ROUND(IF(D32="总价",C34,E118*B118/10000),0)</f>
        <v>170709</v>
      </c>
      <c r="E118" s="2145">
        <f ca="1">ROUND(IF(C33="自定义",IF(D32="楼面单价",C34,D118*10000/B118),I118-G118),0)</f>
        <v>15695</v>
      </c>
      <c r="F118" s="2145">
        <f ca="1">ROUND(IF(D32="总价",C35,G118*B118/10000),0)</f>
        <v>71776</v>
      </c>
      <c r="G118" s="2145">
        <f ca="1">ROUND(IF(D32="楼面单价",C35,F118*10000/B118),0)</f>
        <v>6599</v>
      </c>
      <c r="H118" s="2145">
        <f ca="1">ROUND(IF(D32="总价",C32,I118*B118/10000),0)</f>
        <v>242485</v>
      </c>
      <c r="I118" s="2145">
        <f ca="1">ROUND(IF(D32="楼面单价",C32,H118*10000/B118),0)</f>
        <v>22294</v>
      </c>
    </row>
    <row r="119" spans="1:27" ht="18.75" customHeight="1">
      <c r="A119" s="3291" t="s">
        <v>1451</v>
      </c>
      <c r="B119" s="3291"/>
      <c r="C119" s="3291"/>
      <c r="D119" s="3297" t="str">
        <f ca="1">NUMBERSTRING(INT(D118*10000),2)&amp;"元整"</f>
        <v>壹拾柒亿零柒佰零玖万元整</v>
      </c>
      <c r="E119" s="3298"/>
      <c r="F119" s="3297" t="str">
        <f ca="1">NUMBERSTRING(INT(F118*10000),2)&amp;"元整"</f>
        <v>柒亿壹仟柒佰柒拾陆万元整</v>
      </c>
      <c r="G119" s="3298"/>
      <c r="H119" s="3297" t="str">
        <f ca="1">NUMBERSTRING(INT(H118*10000),2)&amp;"元整"</f>
        <v>贰拾肆亿贰仟肆佰捌拾伍万元整</v>
      </c>
      <c r="I119" s="3298"/>
    </row>
    <row r="120" spans="1:27" ht="18.75" customHeight="1">
      <c r="A120" s="3292" t="str">
        <f>IF(项目基本情况!B9="房地产市场价值","",MID(E103,3,LEN(E103)-2))</f>
        <v>估价师知悉的法定优先受偿款</v>
      </c>
      <c r="B120" s="3293"/>
      <c r="C120" s="3294"/>
      <c r="D120" s="3292">
        <f>H103</f>
        <v>2320</v>
      </c>
      <c r="E120" s="3293"/>
      <c r="F120" s="3293"/>
      <c r="G120" s="3293"/>
      <c r="H120" s="3293"/>
      <c r="I120" s="3294"/>
      <c r="J120" s="1619"/>
      <c r="K120" s="1619" t="str">
        <f>IF(D120=0,"故，本次评估不存在"&amp;A120,"故，本次评估"&amp;A120&amp;"为人民币"&amp;D120&amp;"万元整。")</f>
        <v>故，本次评估估价师知悉的法定优先受偿款为人民币2320万元整。</v>
      </c>
      <c r="L120" s="1619"/>
      <c r="M120" s="1619"/>
      <c r="N120" s="1619"/>
      <c r="O120" s="1619"/>
      <c r="P120" s="1619"/>
      <c r="Q120" s="1619"/>
      <c r="R120" s="1619"/>
      <c r="S120" s="1619"/>
    </row>
    <row r="121" spans="1:27" ht="18.75" customHeight="1">
      <c r="A121" s="3297" t="s">
        <v>1451</v>
      </c>
      <c r="B121" s="3299"/>
      <c r="C121" s="3298"/>
      <c r="D121" s="3297" t="str">
        <f>IF(D120=0,"零元整",NUMBERSTRING(INT(D120*10000),2)&amp;"元整")</f>
        <v>贰仟叁佰贰拾万元整</v>
      </c>
      <c r="E121" s="3299"/>
      <c r="F121" s="3299"/>
      <c r="G121" s="3299"/>
      <c r="H121" s="3299"/>
      <c r="I121" s="3298"/>
      <c r="AA121" s="684"/>
    </row>
    <row r="122" spans="1:27" ht="18.75" customHeight="1">
      <c r="A122" s="3303" t="str">
        <f>IF(项目基本情况!B9="房地产市场价值","",MID(E107,3,LEN(E107)-2))</f>
        <v>房地产抵押价值</v>
      </c>
      <c r="B122" s="3303"/>
      <c r="C122" s="3303"/>
      <c r="D122" s="3292">
        <f ca="1">H107</f>
        <v>240165</v>
      </c>
      <c r="E122" s="3293"/>
      <c r="F122" s="3293"/>
      <c r="G122" s="3293"/>
      <c r="H122" s="3293"/>
      <c r="I122" s="3294"/>
      <c r="AA122" s="684"/>
    </row>
    <row r="123" spans="1:27" ht="18.75" customHeight="1">
      <c r="A123" s="3291" t="s">
        <v>1451</v>
      </c>
      <c r="B123" s="3291"/>
      <c r="C123" s="3291"/>
      <c r="D123" s="3297" t="str">
        <f ca="1">NUMBERSTRING(INT(D122*10000),2)&amp;"元整"</f>
        <v>贰拾肆亿零壹佰陆拾伍万元整</v>
      </c>
      <c r="E123" s="3299"/>
      <c r="F123" s="3299"/>
      <c r="G123" s="3299"/>
      <c r="H123" s="3299"/>
      <c r="I123" s="3298"/>
      <c r="AA123" s="684"/>
    </row>
    <row r="124" spans="1:27" ht="18.75" customHeight="1">
      <c r="A124" s="3303" t="str">
        <f>IF(项目基本情况!B9="房地产市场价值","",MID(E109,3,LEN(E109)-2))</f>
        <v/>
      </c>
      <c r="B124" s="3303"/>
      <c r="C124" s="3303"/>
      <c r="D124" s="3292" t="str">
        <f>H109</f>
        <v>——</v>
      </c>
      <c r="E124" s="3293"/>
      <c r="F124" s="3293"/>
      <c r="G124" s="3293"/>
      <c r="H124" s="3293"/>
      <c r="I124" s="3294"/>
      <c r="AA124" s="684"/>
    </row>
    <row r="125" spans="1:27" ht="18.75" customHeight="1">
      <c r="A125" s="3291" t="s">
        <v>1451</v>
      </c>
      <c r="B125" s="3291"/>
      <c r="C125" s="3291"/>
      <c r="D125" s="3297" t="e">
        <f>NUMBERSTRING(INT(D124*10000),2)&amp;"元整"</f>
        <v>#VALUE!</v>
      </c>
      <c r="E125" s="3299"/>
      <c r="F125" s="3299"/>
      <c r="G125" s="3299"/>
      <c r="H125" s="3299"/>
      <c r="I125" s="3298"/>
      <c r="AA125" s="684"/>
    </row>
    <row r="126" spans="1:27" ht="18.75" customHeight="1">
      <c r="A126" s="3303" t="str">
        <f>IF(项目基本情况!B9="房地产市场价值","",MID(E111,3,LEN(E111)-2))</f>
        <v/>
      </c>
      <c r="B126" s="3303"/>
      <c r="C126" s="3303"/>
      <c r="D126" s="3292" t="str">
        <f>H111</f>
        <v>——</v>
      </c>
      <c r="E126" s="3293"/>
      <c r="F126" s="3293"/>
      <c r="G126" s="3293"/>
      <c r="H126" s="3293"/>
      <c r="I126" s="3294"/>
      <c r="AA126" s="684"/>
    </row>
    <row r="127" spans="1:27" ht="18.75" customHeight="1">
      <c r="A127" s="3291" t="s">
        <v>1451</v>
      </c>
      <c r="B127" s="3291"/>
      <c r="C127" s="3291"/>
      <c r="D127" s="3297" t="e">
        <f>NUMBERSTRING(INT(D126*10000),2)&amp;"元整"</f>
        <v>#VALUE!</v>
      </c>
      <c r="E127" s="3299"/>
      <c r="F127" s="3299"/>
      <c r="G127" s="3299"/>
      <c r="H127" s="3299"/>
      <c r="I127" s="3298"/>
      <c r="AA127" s="684"/>
    </row>
    <row r="128" spans="1:27" ht="21.75" customHeight="1">
      <c r="A128" s="3300" t="s">
        <v>1452</v>
      </c>
      <c r="B128" s="3300"/>
      <c r="C128" s="3300"/>
      <c r="D128" s="3300"/>
      <c r="E128" s="3300"/>
      <c r="F128" s="3300"/>
      <c r="G128" s="3300"/>
      <c r="H128" s="3300"/>
      <c r="I128" s="3300"/>
      <c r="AA128" s="684"/>
    </row>
    <row r="129" spans="1:35" ht="21.75" customHeight="1">
      <c r="A129" s="1687" t="s">
        <v>1453</v>
      </c>
      <c r="B129" s="1688"/>
      <c r="C129" s="1689" t="s">
        <v>1454</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1455</v>
      </c>
      <c r="G135" s="1702"/>
      <c r="H135" s="1702"/>
      <c r="I135" s="1703" t="s">
        <v>1456</v>
      </c>
    </row>
    <row r="136" spans="1:35" ht="21.75" customHeight="1">
      <c r="A136" s="684"/>
      <c r="B136" s="1704"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1458</v>
      </c>
    </row>
    <row r="139" spans="1:35" ht="21.75" customHeight="1">
      <c r="A139" s="684"/>
      <c r="B139" s="1704" t="s">
        <v>1459</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1458</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topLeftCell="A22" zoomScaleNormal="60" zoomScaleSheetLayoutView="100" workbookViewId="0">
      <selection activeCell="E58" sqref="E5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f>F65</f>
        <v>142662</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ROUND(IF(D3="",B2*10000/'数据-汇总表'!E3,B2*10000/D3),0)</f>
        <v>13116</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96" t="s">
        <v>1769</v>
      </c>
      <c r="D4" s="3397"/>
      <c r="E4" s="3398" t="s">
        <v>1770</v>
      </c>
      <c r="F4" s="3399"/>
      <c r="G4" s="3396" t="s">
        <v>1771</v>
      </c>
      <c r="H4" s="3397"/>
      <c r="I4" s="3396" t="s">
        <v>1772</v>
      </c>
      <c r="J4" s="3397"/>
      <c r="K4" s="537" t="s">
        <v>1773</v>
      </c>
      <c r="L4" s="2478"/>
      <c r="M4" s="2479"/>
      <c r="N4" s="2479"/>
      <c r="O4" s="2479"/>
      <c r="P4" s="3430" t="s">
        <v>1774</v>
      </c>
      <c r="Q4" s="3431"/>
      <c r="R4" s="3427" t="s">
        <v>1770</v>
      </c>
      <c r="S4" s="3428"/>
      <c r="T4" s="3427" t="s">
        <v>1771</v>
      </c>
      <c r="U4" s="3428"/>
      <c r="V4" s="3409" t="s">
        <v>1772</v>
      </c>
      <c r="W4" s="3409"/>
      <c r="X4" s="1261"/>
      <c r="Y4" s="3427" t="s">
        <v>1774</v>
      </c>
      <c r="Z4" s="3428"/>
      <c r="AA4" s="3426" t="s">
        <v>1770</v>
      </c>
      <c r="AB4" s="3375" t="s">
        <v>1771</v>
      </c>
      <c r="AC4" s="3426" t="s">
        <v>1772</v>
      </c>
    </row>
    <row r="5" spans="1:29" ht="61.5" customHeight="1">
      <c r="A5" s="348"/>
      <c r="B5" s="349"/>
      <c r="C5" s="3385" t="s">
        <v>1672</v>
      </c>
      <c r="D5" s="3386"/>
      <c r="E5" s="3429" t="str">
        <f>土地案例!A2</f>
        <v>北京丽泽金融商务区北区A地块建设及综合治理项目FT00-0609-0037(2)地块B4综合性商业金融服务业用地</v>
      </c>
      <c r="F5" s="3384"/>
      <c r="G5" s="3385" t="str">
        <f>土地案例!A3</f>
        <v>北京市丰台区丽泽金融商务区FT00-0612-0016等地块F3其他类多功能用地、S32公交场站设施用地</v>
      </c>
      <c r="H5" s="3386"/>
      <c r="I5" s="3385" t="str">
        <f>土地案例!A4</f>
        <v>北京市丰台区丽泽金融商务区D-01地块B4综合性商业金融服务业用地</v>
      </c>
      <c r="J5" s="3386"/>
      <c r="K5" s="537"/>
      <c r="L5" s="2478"/>
      <c r="M5" s="2479"/>
      <c r="N5" s="2479"/>
      <c r="O5" s="2479"/>
      <c r="P5" s="3432"/>
      <c r="Q5" s="3403"/>
      <c r="R5" s="3381"/>
      <c r="S5" s="3382"/>
      <c r="T5" s="3381"/>
      <c r="U5" s="3382"/>
      <c r="V5" s="3409"/>
      <c r="W5" s="3409"/>
      <c r="X5" s="1261"/>
      <c r="Y5" s="3381"/>
      <c r="Z5" s="3382"/>
      <c r="AA5" s="3375"/>
      <c r="AB5" s="3375"/>
      <c r="AC5" s="3375"/>
    </row>
    <row r="6" spans="1:29" ht="15.75" thickBot="1">
      <c r="A6" s="350"/>
      <c r="B6" s="351"/>
      <c r="C6" s="3387" t="s">
        <v>1676</v>
      </c>
      <c r="D6" s="3388"/>
      <c r="E6" s="3390" t="s">
        <v>1676</v>
      </c>
      <c r="F6" s="3391"/>
      <c r="G6" s="3387" t="s">
        <v>1676</v>
      </c>
      <c r="H6" s="3388"/>
      <c r="I6" s="3387" t="s">
        <v>1676</v>
      </c>
      <c r="J6" s="3388"/>
      <c r="K6" s="537" t="s">
        <v>1677</v>
      </c>
      <c r="L6" s="2478"/>
      <c r="M6" s="2479"/>
      <c r="N6" s="2479"/>
      <c r="O6" s="2479"/>
      <c r="P6" s="3433"/>
      <c r="Q6" s="3405"/>
      <c r="R6" s="3381"/>
      <c r="S6" s="3382"/>
      <c r="T6" s="3406"/>
      <c r="U6" s="3407"/>
      <c r="V6" s="3409"/>
      <c r="W6" s="3409"/>
      <c r="X6" s="1261"/>
      <c r="Y6" s="3406"/>
      <c r="Z6" s="3407"/>
      <c r="AA6" s="3376"/>
      <c r="AB6" s="3376"/>
      <c r="AC6" s="3376"/>
    </row>
    <row r="7" spans="1:29" s="102" customFormat="1" ht="15.75" thickBot="1">
      <c r="A7" s="352" t="s">
        <v>1678</v>
      </c>
      <c r="B7" s="353"/>
      <c r="C7" s="354">
        <f>'数据-取费表'!B2</f>
        <v>45635</v>
      </c>
      <c r="D7" s="355">
        <v>100</v>
      </c>
      <c r="E7" s="356">
        <f>土地案例!AG2</f>
        <v>45288.000497685185</v>
      </c>
      <c r="F7" s="357">
        <f>SUMIF(69:69,YEAR(E7)&amp;"-"&amp;INT((MONTH(E7)+2)/3),70:70)</f>
        <v>100</v>
      </c>
      <c r="G7" s="1818">
        <f>土地案例!AG3</f>
        <v>45090.000497685185</v>
      </c>
      <c r="H7" s="355">
        <f>SUMIF(69:69,YEAR(G7)&amp;"-"&amp;INT((MONTH(G7)+2)/3),70:70)</f>
        <v>100</v>
      </c>
      <c r="I7" s="1818">
        <f>土地案例!AG4</f>
        <v>44798.000497685185</v>
      </c>
      <c r="J7" s="355">
        <f>SUMIF(69:69,YEAR(I7)&amp;"-"&amp;INT((MONTH(I7)+2)/3),70:70)</f>
        <v>100</v>
      </c>
      <c r="K7" s="38"/>
      <c r="L7" s="2480"/>
      <c r="M7" s="2432"/>
      <c r="N7" s="2432"/>
      <c r="O7" s="2432"/>
      <c r="P7" s="3377" t="s">
        <v>1679</v>
      </c>
      <c r="Q7" s="3412"/>
      <c r="R7" s="664" t="s">
        <v>14</v>
      </c>
      <c r="S7" s="665">
        <f t="shared" ref="S7:S15" si="0">F7</f>
        <v>100</v>
      </c>
      <c r="T7" s="664" t="s">
        <v>14</v>
      </c>
      <c r="U7" s="665">
        <f t="shared" ref="U7:U15" si="1">H7</f>
        <v>100</v>
      </c>
      <c r="V7" s="664" t="s">
        <v>14</v>
      </c>
      <c r="W7" s="665">
        <f t="shared" ref="W7:W15" si="2">J7</f>
        <v>100</v>
      </c>
      <c r="X7" s="666"/>
      <c r="Y7" s="3377" t="s">
        <v>1679</v>
      </c>
      <c r="Z7" s="3378"/>
      <c r="AA7" s="50">
        <f>D7/F7</f>
        <v>1</v>
      </c>
      <c r="AB7" s="50">
        <f>D7/H7</f>
        <v>1</v>
      </c>
      <c r="AC7" s="50">
        <f>D7/J7</f>
        <v>1</v>
      </c>
    </row>
    <row r="8" spans="1:29" s="102" customFormat="1" ht="15.75" thickBot="1">
      <c r="A8" s="352" t="s">
        <v>1680</v>
      </c>
      <c r="B8" s="353"/>
      <c r="C8" s="358" t="s">
        <v>1681</v>
      </c>
      <c r="D8" s="355">
        <v>100</v>
      </c>
      <c r="E8" s="358" t="s">
        <v>3434</v>
      </c>
      <c r="F8" s="357">
        <f>SUMIF(72:72,E8,73:73)-SUMIF(72:72,C8,73:73)+100</f>
        <v>100</v>
      </c>
      <c r="G8" s="358" t="s">
        <v>3434</v>
      </c>
      <c r="H8" s="355">
        <f>SUMIF(72:72,G8,73:73)-SUMIF(72:72,C8,73:73)+100</f>
        <v>100</v>
      </c>
      <c r="I8" s="358" t="s">
        <v>3434</v>
      </c>
      <c r="J8" s="355">
        <f>SUMIF(72:72,I8,73:73)-SUMIF(72:72,C8,73:73)+100</f>
        <v>100</v>
      </c>
      <c r="K8" s="38"/>
      <c r="L8" s="2480"/>
      <c r="M8" s="2432"/>
      <c r="N8" s="2432"/>
      <c r="O8" s="2432"/>
      <c r="P8" s="3377" t="s">
        <v>1682</v>
      </c>
      <c r="Q8" s="3378"/>
      <c r="R8" s="664" t="s">
        <v>14</v>
      </c>
      <c r="S8" s="665">
        <f t="shared" si="0"/>
        <v>100</v>
      </c>
      <c r="T8" s="664" t="s">
        <v>14</v>
      </c>
      <c r="U8" s="665">
        <f t="shared" si="1"/>
        <v>100</v>
      </c>
      <c r="V8" s="664" t="s">
        <v>14</v>
      </c>
      <c r="W8" s="665">
        <f t="shared" si="2"/>
        <v>100</v>
      </c>
      <c r="X8" s="666"/>
      <c r="Y8" s="3377" t="s">
        <v>1682</v>
      </c>
      <c r="Z8" s="3378"/>
      <c r="AA8" s="50">
        <f t="shared" ref="AA8:AA45" si="3">D8/F8</f>
        <v>1</v>
      </c>
      <c r="AB8" s="50">
        <f t="shared" ref="AB8:AB45" si="4">D8/H8</f>
        <v>1</v>
      </c>
      <c r="AC8" s="50">
        <f t="shared" ref="AC8:AC45" si="5">D8/J8</f>
        <v>1</v>
      </c>
    </row>
    <row r="9" spans="1:29" s="102" customFormat="1" ht="42.75">
      <c r="A9" s="359" t="s">
        <v>1683</v>
      </c>
      <c r="B9" s="60" t="s">
        <v>1684</v>
      </c>
      <c r="C9" s="1821" t="s">
        <v>3599</v>
      </c>
      <c r="D9" s="59">
        <v>100</v>
      </c>
      <c r="E9" s="1821" t="s">
        <v>3600</v>
      </c>
      <c r="F9" s="59">
        <f>SUMIF(74:74,E9,75:75)-SUMIF(74:74,C9,75:75)+100</f>
        <v>103</v>
      </c>
      <c r="G9" s="1821" t="s">
        <v>3624</v>
      </c>
      <c r="H9" s="59">
        <f>SUMIF(74:74,G9,75:75)-SUMIF(74:74,C9,75:75)+100</f>
        <v>95</v>
      </c>
      <c r="I9" s="1821" t="s">
        <v>3600</v>
      </c>
      <c r="J9" s="59">
        <f>SUMIF(74:74,I9,75:75)-SUMIF(74:74,C9,75:75)+100</f>
        <v>103</v>
      </c>
      <c r="K9" s="38"/>
      <c r="L9" s="2480"/>
      <c r="M9" s="2432"/>
      <c r="N9" s="2432"/>
      <c r="O9" s="2532"/>
      <c r="P9" s="3422" t="s">
        <v>1685</v>
      </c>
      <c r="Q9" s="530" t="str">
        <f t="shared" ref="Q9:Q15" si="6">B9</f>
        <v>用途</v>
      </c>
      <c r="R9" s="664" t="s">
        <v>14</v>
      </c>
      <c r="S9" s="665">
        <f t="shared" si="0"/>
        <v>103</v>
      </c>
      <c r="T9" s="664" t="s">
        <v>14</v>
      </c>
      <c r="U9" s="665">
        <f t="shared" si="1"/>
        <v>95</v>
      </c>
      <c r="V9" s="664" t="s">
        <v>14</v>
      </c>
      <c r="W9" s="665">
        <f t="shared" si="2"/>
        <v>103</v>
      </c>
      <c r="X9" s="666"/>
      <c r="Y9" s="3346" t="s">
        <v>1686</v>
      </c>
      <c r="Z9" s="50" t="str">
        <f t="shared" ref="Z9:Z15" si="7">Q9</f>
        <v>用途</v>
      </c>
      <c r="AA9" s="50">
        <f t="shared" si="3"/>
        <v>0.970873786407767</v>
      </c>
      <c r="AB9" s="50">
        <f t="shared" si="4"/>
        <v>1.0526315789473684</v>
      </c>
      <c r="AC9" s="50">
        <f t="shared" si="5"/>
        <v>0.970873786407767</v>
      </c>
    </row>
    <row r="10" spans="1:29" s="366" customFormat="1" ht="27">
      <c r="A10" s="363"/>
      <c r="B10" s="364" t="s">
        <v>1687</v>
      </c>
      <c r="C10" s="371"/>
      <c r="D10" s="119">
        <v>100</v>
      </c>
      <c r="E10" s="403"/>
      <c r="F10" s="119">
        <f>ROUND(100/'数据-取费表'!G16,0)</f>
        <v>109</v>
      </c>
      <c r="G10" s="402"/>
      <c r="H10" s="119">
        <f>ROUND(100/'数据-取费表'!G16,0)</f>
        <v>109</v>
      </c>
      <c r="I10" s="402"/>
      <c r="J10" s="119">
        <f>ROUND(100/'数据-取费表'!G16,0)</f>
        <v>109</v>
      </c>
      <c r="K10" s="592"/>
      <c r="L10" s="2481"/>
      <c r="M10" s="2482"/>
      <c r="N10" s="2482"/>
      <c r="O10" s="2533"/>
      <c r="P10" s="3422"/>
      <c r="Q10" s="530" t="str">
        <f t="shared" si="6"/>
        <v>土地使用年限（年）</v>
      </c>
      <c r="R10" s="664" t="s">
        <v>14</v>
      </c>
      <c r="S10" s="665">
        <f t="shared" si="0"/>
        <v>109</v>
      </c>
      <c r="T10" s="664" t="s">
        <v>14</v>
      </c>
      <c r="U10" s="665">
        <f t="shared" si="1"/>
        <v>109</v>
      </c>
      <c r="V10" s="664" t="s">
        <v>14</v>
      </c>
      <c r="W10" s="665">
        <f t="shared" si="2"/>
        <v>109</v>
      </c>
      <c r="X10" s="666"/>
      <c r="Y10" s="3346"/>
      <c r="Z10" s="50" t="str">
        <f t="shared" si="7"/>
        <v>土地使用年限（年）</v>
      </c>
      <c r="AA10" s="50">
        <f t="shared" si="3"/>
        <v>0.91743119266055051</v>
      </c>
      <c r="AB10" s="50">
        <f t="shared" si="4"/>
        <v>0.91743119266055051</v>
      </c>
      <c r="AC10" s="50">
        <f t="shared" si="5"/>
        <v>0.91743119266055051</v>
      </c>
    </row>
    <row r="11" spans="1:29" ht="15">
      <c r="A11" s="367"/>
      <c r="B11" s="364" t="s">
        <v>1688</v>
      </c>
      <c r="C11" s="368">
        <v>3</v>
      </c>
      <c r="D11" s="119">
        <v>100</v>
      </c>
      <c r="E11" s="368">
        <v>7</v>
      </c>
      <c r="F11" s="119">
        <f>LOOKUP(E11,79:79,80:80)-LOOKUP(C11,79:79,80:80)+100</f>
        <v>96</v>
      </c>
      <c r="G11" s="369">
        <v>4.4000000000000004</v>
      </c>
      <c r="H11" s="119">
        <f>LOOKUP(G11,79:79,80:80)-LOOKUP(C11,79:79,80:80)+100</f>
        <v>98</v>
      </c>
      <c r="I11" s="368">
        <v>6.33</v>
      </c>
      <c r="J11" s="119">
        <f>LOOKUP(I11,79:79,80:80)-LOOKUP(C11,79:79,80:80)+100</f>
        <v>96</v>
      </c>
      <c r="K11" s="593">
        <v>2</v>
      </c>
      <c r="L11" s="2483"/>
      <c r="M11" s="2479"/>
      <c r="N11" s="2479"/>
      <c r="O11" s="2534"/>
      <c r="P11" s="3422"/>
      <c r="Q11" s="530" t="str">
        <f t="shared" si="6"/>
        <v>容积率</v>
      </c>
      <c r="R11" s="664" t="s">
        <v>14</v>
      </c>
      <c r="S11" s="665">
        <f t="shared" si="0"/>
        <v>96</v>
      </c>
      <c r="T11" s="664" t="s">
        <v>14</v>
      </c>
      <c r="U11" s="665">
        <f t="shared" si="1"/>
        <v>98</v>
      </c>
      <c r="V11" s="664" t="s">
        <v>14</v>
      </c>
      <c r="W11" s="665">
        <f t="shared" si="2"/>
        <v>96</v>
      </c>
      <c r="X11" s="666"/>
      <c r="Y11" s="3346"/>
      <c r="Z11" s="50" t="str">
        <f t="shared" si="7"/>
        <v>容积率</v>
      </c>
      <c r="AA11" s="50">
        <f t="shared" si="3"/>
        <v>1.0416666666666667</v>
      </c>
      <c r="AB11" s="50">
        <f t="shared" si="4"/>
        <v>1.0204081632653061</v>
      </c>
      <c r="AC11" s="50">
        <f t="shared" si="5"/>
        <v>1.0416666666666667</v>
      </c>
    </row>
    <row r="12" spans="1:29" s="102" customFormat="1" ht="15">
      <c r="A12" s="370"/>
      <c r="B12" s="3167" t="s">
        <v>3625</v>
      </c>
      <c r="C12" s="368" t="s">
        <v>3603</v>
      </c>
      <c r="D12" s="372">
        <v>100</v>
      </c>
      <c r="E12" s="3166" t="s">
        <v>3604</v>
      </c>
      <c r="F12" s="119">
        <f>SUMIF(81:81,E12,82:82)-SUMIF(81:81,C12,82:82)+100</f>
        <v>110</v>
      </c>
      <c r="G12" s="3166" t="s">
        <v>3604</v>
      </c>
      <c r="H12" s="119">
        <f>SUMIF(81:81,G12,82:82)-SUMIF(81:81,C12,82:82)+100</f>
        <v>110</v>
      </c>
      <c r="I12" s="3166" t="s">
        <v>3604</v>
      </c>
      <c r="J12" s="119">
        <f>SUMIF(81:81,I12,82:82)-SUMIF(81:81,C12,82:82)+100</f>
        <v>110</v>
      </c>
      <c r="K12" s="592"/>
      <c r="L12" s="2480"/>
      <c r="M12" s="2432"/>
      <c r="N12" s="2432"/>
      <c r="O12" s="2532"/>
      <c r="P12" s="3422"/>
      <c r="Q12" s="530" t="str">
        <f t="shared" si="6"/>
        <v>自持比例及年限</v>
      </c>
      <c r="R12" s="664" t="s">
        <v>14</v>
      </c>
      <c r="S12" s="665">
        <f t="shared" si="0"/>
        <v>110</v>
      </c>
      <c r="T12" s="664" t="s">
        <v>14</v>
      </c>
      <c r="U12" s="665">
        <f t="shared" si="1"/>
        <v>110</v>
      </c>
      <c r="V12" s="664" t="s">
        <v>14</v>
      </c>
      <c r="W12" s="665">
        <f t="shared" si="2"/>
        <v>110</v>
      </c>
      <c r="X12" s="666"/>
      <c r="Y12" s="3346"/>
      <c r="Z12" s="50" t="str">
        <f t="shared" si="7"/>
        <v>自持比例及年限</v>
      </c>
      <c r="AA12" s="50">
        <f>D12/F12</f>
        <v>0.90909090909090906</v>
      </c>
      <c r="AB12" s="50">
        <f>D12/H12</f>
        <v>0.90909090909090906</v>
      </c>
      <c r="AC12" s="50">
        <f>D12/J12</f>
        <v>0.90909090909090906</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422"/>
      <c r="Q13" s="530">
        <f t="shared" si="6"/>
        <v>111</v>
      </c>
      <c r="R13" s="664" t="s">
        <v>14</v>
      </c>
      <c r="S13" s="665">
        <f t="shared" si="0"/>
        <v>100</v>
      </c>
      <c r="T13" s="664" t="s">
        <v>14</v>
      </c>
      <c r="U13" s="665">
        <f t="shared" si="1"/>
        <v>100</v>
      </c>
      <c r="V13" s="664" t="s">
        <v>14</v>
      </c>
      <c r="W13" s="665">
        <f t="shared" si="2"/>
        <v>100</v>
      </c>
      <c r="X13" s="666"/>
      <c r="Y13" s="3346"/>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422"/>
      <c r="Q14" s="530">
        <f t="shared" si="6"/>
        <v>111</v>
      </c>
      <c r="R14" s="664" t="s">
        <v>14</v>
      </c>
      <c r="S14" s="665">
        <f t="shared" si="0"/>
        <v>100</v>
      </c>
      <c r="T14" s="664" t="s">
        <v>14</v>
      </c>
      <c r="U14" s="665">
        <f t="shared" si="1"/>
        <v>100</v>
      </c>
      <c r="V14" s="664" t="s">
        <v>14</v>
      </c>
      <c r="W14" s="665">
        <f t="shared" si="2"/>
        <v>100</v>
      </c>
      <c r="X14" s="666"/>
      <c r="Y14" s="3346"/>
      <c r="Z14" s="50">
        <f t="shared" si="7"/>
        <v>111</v>
      </c>
      <c r="AA14" s="50">
        <f>D14/F14</f>
        <v>1</v>
      </c>
      <c r="AB14" s="50">
        <f>D14/H14</f>
        <v>1</v>
      </c>
      <c r="AC14" s="50">
        <f>D14/J14</f>
        <v>1</v>
      </c>
    </row>
    <row r="15" spans="1:29" ht="15">
      <c r="A15" s="379" t="s">
        <v>1689</v>
      </c>
      <c r="B15" s="58" t="s">
        <v>1256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415" t="s">
        <v>1690</v>
      </c>
      <c r="Q15" s="1259" t="str">
        <f t="shared" si="6"/>
        <v>居住社区成熟度</v>
      </c>
      <c r="R15" s="667" t="s">
        <v>14</v>
      </c>
      <c r="S15" s="668">
        <f t="shared" si="0"/>
        <v>100</v>
      </c>
      <c r="T15" s="667" t="s">
        <v>14</v>
      </c>
      <c r="U15" s="668">
        <f t="shared" si="1"/>
        <v>100</v>
      </c>
      <c r="V15" s="667" t="s">
        <v>14</v>
      </c>
      <c r="W15" s="668">
        <f t="shared" si="2"/>
        <v>100</v>
      </c>
      <c r="X15" s="1261"/>
      <c r="Y15" s="3415" t="s">
        <v>1690</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416"/>
      <c r="Q16" s="1259"/>
      <c r="R16" s="667"/>
      <c r="S16" s="668"/>
      <c r="T16" s="667"/>
      <c r="U16" s="668"/>
      <c r="V16" s="667"/>
      <c r="W16" s="668"/>
      <c r="X16" s="1261"/>
      <c r="Y16" s="3416"/>
      <c r="Z16" s="1260"/>
      <c r="AA16" s="1260">
        <v>1</v>
      </c>
      <c r="AB16" s="1260">
        <v>1</v>
      </c>
      <c r="AC16" s="1260">
        <v>1</v>
      </c>
    </row>
    <row r="17" spans="1:29" ht="28.5">
      <c r="A17" s="367"/>
      <c r="B17" s="390" t="s">
        <v>1776</v>
      </c>
      <c r="C17" s="1802" t="str">
        <f>估价对象房地状况!C16</f>
        <v>花乡奥莱村，万达广场，较好</v>
      </c>
      <c r="D17" s="389">
        <v>100</v>
      </c>
      <c r="E17" s="3169" t="s">
        <v>3632</v>
      </c>
      <c r="F17" s="389">
        <f>SUMIF(89:89,E18,90:90)-SUMIF(89:89,C18,90:90)+100</f>
        <v>100</v>
      </c>
      <c r="G17" s="3169" t="s">
        <v>3632</v>
      </c>
      <c r="H17" s="394">
        <f>SUMIF(89:89,G18,90:90)-SUMIF(89:89,C18,90:90)+100</f>
        <v>100</v>
      </c>
      <c r="I17" s="3169" t="s">
        <v>3632</v>
      </c>
      <c r="J17" s="394">
        <f>SUMIF(89:89,I18,90:90)-SUMIF(89:89,C18,90:90)+100</f>
        <v>100</v>
      </c>
      <c r="K17" s="593">
        <v>3</v>
      </c>
      <c r="L17" s="2484"/>
      <c r="M17" s="2479"/>
      <c r="N17" s="2479"/>
      <c r="O17" s="2534"/>
      <c r="P17" s="3416"/>
      <c r="Q17" s="1259" t="str">
        <f>B17</f>
        <v>商业繁华度</v>
      </c>
      <c r="R17" s="667" t="s">
        <v>14</v>
      </c>
      <c r="S17" s="668">
        <f>F17</f>
        <v>100</v>
      </c>
      <c r="T17" s="667" t="s">
        <v>14</v>
      </c>
      <c r="U17" s="668">
        <f>H17</f>
        <v>100</v>
      </c>
      <c r="V17" s="667" t="s">
        <v>14</v>
      </c>
      <c r="W17" s="668">
        <f>J17</f>
        <v>100</v>
      </c>
      <c r="X17" s="1261"/>
      <c r="Y17" s="3416"/>
      <c r="Z17" s="1260" t="str">
        <f>Q17</f>
        <v>商业繁华度</v>
      </c>
      <c r="AA17" s="1260">
        <f t="shared" si="3"/>
        <v>1</v>
      </c>
      <c r="AB17" s="1260">
        <f t="shared" si="4"/>
        <v>1</v>
      </c>
      <c r="AC17" s="1260">
        <f t="shared" si="5"/>
        <v>1</v>
      </c>
    </row>
    <row r="18" spans="1:29" ht="15">
      <c r="A18" s="367"/>
      <c r="B18" s="395"/>
      <c r="C18" s="1751" t="s">
        <v>3426</v>
      </c>
      <c r="D18" s="389"/>
      <c r="E18" s="1751" t="s">
        <v>3426</v>
      </c>
      <c r="F18" s="389"/>
      <c r="G18" s="1751" t="s">
        <v>3426</v>
      </c>
      <c r="H18" s="387"/>
      <c r="I18" s="1751" t="s">
        <v>3426</v>
      </c>
      <c r="J18" s="387"/>
      <c r="K18" s="592"/>
      <c r="L18" s="2484"/>
      <c r="M18" s="2479"/>
      <c r="N18" s="2479"/>
      <c r="O18" s="2534"/>
      <c r="P18" s="3416"/>
      <c r="Q18" s="1259"/>
      <c r="R18" s="667"/>
      <c r="S18" s="668"/>
      <c r="T18" s="667"/>
      <c r="U18" s="668"/>
      <c r="V18" s="667"/>
      <c r="W18" s="668"/>
      <c r="X18" s="1261"/>
      <c r="Y18" s="3416"/>
      <c r="Z18" s="1260"/>
      <c r="AA18" s="1260">
        <v>1</v>
      </c>
      <c r="AB18" s="1260">
        <v>1</v>
      </c>
      <c r="AC18" s="1260">
        <v>1</v>
      </c>
    </row>
    <row r="19" spans="1:29" ht="42.75">
      <c r="A19" s="367"/>
      <c r="B19" s="390" t="s">
        <v>1810</v>
      </c>
      <c r="C19" s="1802" t="str">
        <f>估价对象房地状况!C17</f>
        <v>东旭国际中心、交控大厦、旭阳大厦，较好</v>
      </c>
      <c r="D19" s="394">
        <v>100</v>
      </c>
      <c r="E19" s="3170" t="s">
        <v>3633</v>
      </c>
      <c r="F19" s="394">
        <f>SUMIF(91:91,E20,92:92)-SUMIF(91:91,C20,92:92)+100</f>
        <v>100</v>
      </c>
      <c r="G19" s="3170" t="s">
        <v>3633</v>
      </c>
      <c r="H19" s="389">
        <f>SUMIF(91:91,G20,92:92)-SUMIF(91:91,C20,92:92)+100</f>
        <v>100</v>
      </c>
      <c r="I19" s="3170" t="s">
        <v>3633</v>
      </c>
      <c r="J19" s="389">
        <f>SUMIF(91:91,I20,92:92)-SUMIF(91:91,C20,92:92)+100</f>
        <v>100</v>
      </c>
      <c r="K19" s="593">
        <v>3</v>
      </c>
      <c r="L19" s="2484"/>
      <c r="M19" s="2479"/>
      <c r="N19" s="2479"/>
      <c r="O19" s="2534"/>
      <c r="P19" s="3416"/>
      <c r="Q19" s="1259" t="str">
        <f>B19</f>
        <v>办公集聚程度</v>
      </c>
      <c r="R19" s="667" t="s">
        <v>14</v>
      </c>
      <c r="S19" s="668">
        <f>F19</f>
        <v>100</v>
      </c>
      <c r="T19" s="667" t="s">
        <v>14</v>
      </c>
      <c r="U19" s="668">
        <f>H19</f>
        <v>100</v>
      </c>
      <c r="V19" s="667" t="s">
        <v>14</v>
      </c>
      <c r="W19" s="668">
        <f>J19</f>
        <v>100</v>
      </c>
      <c r="X19" s="1261"/>
      <c r="Y19" s="3416"/>
      <c r="Z19" s="1260" t="str">
        <f>Q19</f>
        <v>办公集聚程度</v>
      </c>
      <c r="AA19" s="1260">
        <f t="shared" si="3"/>
        <v>1</v>
      </c>
      <c r="AB19" s="1260">
        <f t="shared" si="4"/>
        <v>1</v>
      </c>
      <c r="AC19" s="1260">
        <f t="shared" si="5"/>
        <v>1</v>
      </c>
    </row>
    <row r="20" spans="1:29" ht="15">
      <c r="A20" s="367"/>
      <c r="B20" s="395"/>
      <c r="C20" s="386" t="s">
        <v>3426</v>
      </c>
      <c r="D20" s="387"/>
      <c r="E20" s="1748" t="s">
        <v>3426</v>
      </c>
      <c r="F20" s="387"/>
      <c r="G20" s="1748" t="s">
        <v>3426</v>
      </c>
      <c r="H20" s="387"/>
      <c r="I20" s="1747" t="s">
        <v>3426</v>
      </c>
      <c r="J20" s="387"/>
      <c r="K20" s="592"/>
      <c r="L20" s="2484"/>
      <c r="M20" s="2479"/>
      <c r="N20" s="2479"/>
      <c r="O20" s="2534"/>
      <c r="P20" s="3416"/>
      <c r="Q20" s="1259"/>
      <c r="R20" s="667"/>
      <c r="S20" s="668"/>
      <c r="T20" s="667"/>
      <c r="U20" s="668"/>
      <c r="V20" s="667"/>
      <c r="W20" s="668"/>
      <c r="X20" s="1261"/>
      <c r="Y20" s="3416"/>
      <c r="Z20" s="1260"/>
      <c r="AA20" s="1260">
        <v>1</v>
      </c>
      <c r="AB20" s="1260">
        <v>1</v>
      </c>
      <c r="AC20" s="1260">
        <v>1</v>
      </c>
    </row>
    <row r="21" spans="1:29" ht="28.5">
      <c r="A21" s="367"/>
      <c r="B21" s="390" t="s">
        <v>1832</v>
      </c>
      <c r="C21" s="1750" t="str">
        <f>估价对象房地状况!C18</f>
        <v>9号线、房山线，较好</v>
      </c>
      <c r="D21" s="389">
        <v>100</v>
      </c>
      <c r="E21" s="391" t="s">
        <v>3634</v>
      </c>
      <c r="F21" s="394">
        <f>SUMIF(93:93,E22,94:94)-SUMIF(93:93,C22,94:94)+100</f>
        <v>100</v>
      </c>
      <c r="G21" s="391" t="s">
        <v>3634</v>
      </c>
      <c r="H21" s="389">
        <f>SUMIF(93:93,G22,94:94)-SUMIF(93:93,C22,94:94)+100</f>
        <v>100</v>
      </c>
      <c r="I21" s="391" t="s">
        <v>3634</v>
      </c>
      <c r="J21" s="389">
        <f>SUMIF(93:93,I22,94:94)-SUMIF(93:93,C22,94:94)+100</f>
        <v>100</v>
      </c>
      <c r="K21" s="593">
        <v>2</v>
      </c>
      <c r="L21" s="2484"/>
      <c r="M21" s="2479"/>
      <c r="N21" s="2479"/>
      <c r="O21" s="2534"/>
      <c r="P21" s="3416"/>
      <c r="Q21" s="1259" t="str">
        <f>B21</f>
        <v>交通便捷度</v>
      </c>
      <c r="R21" s="667" t="s">
        <v>14</v>
      </c>
      <c r="S21" s="668">
        <f>F21</f>
        <v>100</v>
      </c>
      <c r="T21" s="667" t="s">
        <v>14</v>
      </c>
      <c r="U21" s="668">
        <f>H21</f>
        <v>100</v>
      </c>
      <c r="V21" s="667" t="s">
        <v>14</v>
      </c>
      <c r="W21" s="668">
        <f>J21</f>
        <v>100</v>
      </c>
      <c r="X21" s="1261"/>
      <c r="Y21" s="3416"/>
      <c r="Z21" s="1260" t="str">
        <f>Q21</f>
        <v>交通便捷度</v>
      </c>
      <c r="AA21" s="1260">
        <f t="shared" si="3"/>
        <v>1</v>
      </c>
      <c r="AB21" s="1260">
        <f t="shared" si="4"/>
        <v>1</v>
      </c>
      <c r="AC21" s="1260">
        <f t="shared" si="5"/>
        <v>1</v>
      </c>
    </row>
    <row r="22" spans="1:29" ht="15">
      <c r="A22" s="367"/>
      <c r="B22" s="586"/>
      <c r="C22" s="386" t="s">
        <v>3426</v>
      </c>
      <c r="D22" s="389"/>
      <c r="E22" s="1748" t="s">
        <v>3426</v>
      </c>
      <c r="F22" s="387"/>
      <c r="G22" s="1748" t="s">
        <v>3426</v>
      </c>
      <c r="H22" s="387"/>
      <c r="I22" s="1748" t="s">
        <v>3426</v>
      </c>
      <c r="J22" s="387"/>
      <c r="K22" s="592"/>
      <c r="L22" s="2484"/>
      <c r="M22" s="2479"/>
      <c r="N22" s="2479"/>
      <c r="O22" s="2534"/>
      <c r="P22" s="3416"/>
      <c r="Q22" s="1259"/>
      <c r="R22" s="667"/>
      <c r="S22" s="668"/>
      <c r="T22" s="667"/>
      <c r="U22" s="668"/>
      <c r="V22" s="667"/>
      <c r="W22" s="668"/>
      <c r="X22" s="1261"/>
      <c r="Y22" s="3416"/>
      <c r="Z22" s="1260"/>
      <c r="AA22" s="1260">
        <v>1</v>
      </c>
      <c r="AB22" s="1260">
        <v>1</v>
      </c>
      <c r="AC22" s="1260">
        <v>1</v>
      </c>
    </row>
    <row r="23" spans="1:29" ht="15">
      <c r="A23" s="348"/>
      <c r="B23" s="390" t="s">
        <v>1869</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416"/>
      <c r="Q23" s="1259" t="str">
        <f t="shared" ref="Q23:Q37" si="8">B23</f>
        <v>区域土地利用方向</v>
      </c>
      <c r="R23" s="667" t="s">
        <v>14</v>
      </c>
      <c r="S23" s="668">
        <f>F23</f>
        <v>100</v>
      </c>
      <c r="T23" s="667" t="s">
        <v>14</v>
      </c>
      <c r="U23" s="668">
        <f>H23</f>
        <v>100</v>
      </c>
      <c r="V23" s="667" t="s">
        <v>14</v>
      </c>
      <c r="W23" s="668">
        <f>J23</f>
        <v>100</v>
      </c>
      <c r="X23" s="1261"/>
      <c r="Y23" s="3416"/>
      <c r="Z23" s="1260" t="str">
        <f>Q23</f>
        <v>区域土地利用方向</v>
      </c>
      <c r="AA23" s="1260">
        <f t="shared" si="3"/>
        <v>1</v>
      </c>
      <c r="AB23" s="1260">
        <f t="shared" si="4"/>
        <v>1</v>
      </c>
      <c r="AC23" s="1260">
        <f t="shared" si="5"/>
        <v>1</v>
      </c>
    </row>
    <row r="24" spans="1:29" ht="15">
      <c r="A24" s="348"/>
      <c r="B24" s="395"/>
      <c r="C24" s="542" t="s">
        <v>3426</v>
      </c>
      <c r="D24" s="387"/>
      <c r="E24" s="1748" t="s">
        <v>3426</v>
      </c>
      <c r="F24" s="387"/>
      <c r="G24" s="1747" t="s">
        <v>3426</v>
      </c>
      <c r="H24" s="387"/>
      <c r="I24" s="1747" t="s">
        <v>3426</v>
      </c>
      <c r="J24" s="387"/>
      <c r="K24" s="695"/>
      <c r="L24" s="2484"/>
      <c r="M24" s="2479"/>
      <c r="N24" s="2479"/>
      <c r="O24" s="2534"/>
      <c r="P24" s="3416"/>
      <c r="Q24" s="1259"/>
      <c r="R24" s="667"/>
      <c r="S24" s="668"/>
      <c r="T24" s="667"/>
      <c r="U24" s="668"/>
      <c r="V24" s="667"/>
      <c r="W24" s="668"/>
      <c r="X24" s="1261"/>
      <c r="Y24" s="3416"/>
      <c r="Z24" s="1260"/>
      <c r="AA24" s="1260"/>
      <c r="AB24" s="1260"/>
      <c r="AC24" s="1260"/>
    </row>
    <row r="25" spans="1:29" ht="42.75">
      <c r="A25" s="348"/>
      <c r="B25" s="586" t="s">
        <v>1870</v>
      </c>
      <c r="C25" s="1802" t="str">
        <f>估价对象房地状况!C20</f>
        <v>白盆窑公园、国际法官学院，一般</v>
      </c>
      <c r="D25" s="389">
        <v>100</v>
      </c>
      <c r="E25" s="3169" t="s">
        <v>3635</v>
      </c>
      <c r="F25" s="389">
        <f>SUMIF(97:97,E26,98:98)-SUMIF(97:97,C26,98:98)+100</f>
        <v>100</v>
      </c>
      <c r="G25" s="3169" t="s">
        <v>3635</v>
      </c>
      <c r="H25" s="389">
        <f>SUMIF(97:97,G26,98:98)-SUMIF(97:97,C26,98:98)+100</f>
        <v>100</v>
      </c>
      <c r="I25" s="3169" t="s">
        <v>3635</v>
      </c>
      <c r="J25" s="389">
        <f>SUMIF(97:97,I26,98:98)-SUMIF(97:97,C26,98:98)+100</f>
        <v>100</v>
      </c>
      <c r="K25" s="593">
        <v>2</v>
      </c>
      <c r="L25" s="2484"/>
      <c r="M25" s="2479"/>
      <c r="N25" s="2479"/>
      <c r="O25" s="2534"/>
      <c r="P25" s="3416"/>
      <c r="Q25" s="1259" t="str">
        <f t="shared" si="8"/>
        <v>自然及人文环境状况</v>
      </c>
      <c r="R25" s="667" t="s">
        <v>14</v>
      </c>
      <c r="S25" s="668">
        <f>F25</f>
        <v>100</v>
      </c>
      <c r="T25" s="667" t="s">
        <v>14</v>
      </c>
      <c r="U25" s="668">
        <f>H25</f>
        <v>100</v>
      </c>
      <c r="V25" s="667" t="s">
        <v>14</v>
      </c>
      <c r="W25" s="668">
        <f>J25</f>
        <v>100</v>
      </c>
      <c r="X25" s="1261"/>
      <c r="Y25" s="3416"/>
      <c r="Z25" s="1260" t="str">
        <f>Q25</f>
        <v>自然及人文环境状况</v>
      </c>
      <c r="AA25" s="1260">
        <f t="shared" si="3"/>
        <v>1</v>
      </c>
      <c r="AB25" s="1260">
        <f t="shared" si="4"/>
        <v>1</v>
      </c>
      <c r="AC25" s="1260">
        <f t="shared" si="5"/>
        <v>1</v>
      </c>
    </row>
    <row r="26" spans="1:29" ht="15">
      <c r="A26" s="348"/>
      <c r="B26" s="395"/>
      <c r="C26" s="386" t="s">
        <v>3437</v>
      </c>
      <c r="D26" s="387"/>
      <c r="E26" s="1754" t="s">
        <v>3437</v>
      </c>
      <c r="F26" s="387"/>
      <c r="G26" s="1754" t="s">
        <v>3437</v>
      </c>
      <c r="H26" s="387"/>
      <c r="I26" s="1754" t="s">
        <v>3437</v>
      </c>
      <c r="J26" s="387"/>
      <c r="K26" s="592"/>
      <c r="L26" s="2484"/>
      <c r="M26" s="2479"/>
      <c r="N26" s="2479"/>
      <c r="O26" s="2534"/>
      <c r="P26" s="3416"/>
      <c r="Q26" s="1259"/>
      <c r="R26" s="667"/>
      <c r="S26" s="668"/>
      <c r="T26" s="667"/>
      <c r="U26" s="668"/>
      <c r="V26" s="667"/>
      <c r="W26" s="668"/>
      <c r="X26" s="1261"/>
      <c r="Y26" s="3416"/>
      <c r="Z26" s="1260"/>
      <c r="AA26" s="1260">
        <v>1</v>
      </c>
      <c r="AB26" s="1260">
        <v>1</v>
      </c>
      <c r="AC26" s="1260">
        <v>1</v>
      </c>
    </row>
    <row r="27" spans="1:29" s="102" customFormat="1" ht="15">
      <c r="A27" s="443"/>
      <c r="B27" s="586" t="s">
        <v>1777</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3</v>
      </c>
      <c r="L27" s="2480"/>
      <c r="M27" s="2432"/>
      <c r="N27" s="2432"/>
      <c r="O27" s="2532"/>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0">
        <f>D27/F27</f>
        <v>1</v>
      </c>
      <c r="AB27" s="1260">
        <f>D27/H27</f>
        <v>1</v>
      </c>
      <c r="AC27" s="1260">
        <f>D27/J27</f>
        <v>1</v>
      </c>
    </row>
    <row r="28" spans="1:29" s="102" customFormat="1" ht="15">
      <c r="A28" s="443"/>
      <c r="B28" s="395"/>
      <c r="C28" s="1822" t="s">
        <v>3426</v>
      </c>
      <c r="D28" s="387"/>
      <c r="E28" s="1822" t="s">
        <v>3426</v>
      </c>
      <c r="F28" s="387"/>
      <c r="G28" s="1822" t="s">
        <v>3426</v>
      </c>
      <c r="H28" s="387"/>
      <c r="I28" s="1822" t="s">
        <v>3426</v>
      </c>
      <c r="J28" s="387"/>
      <c r="K28" s="592"/>
      <c r="L28" s="2480"/>
      <c r="M28" s="2432"/>
      <c r="N28" s="2432"/>
      <c r="O28" s="2532"/>
      <c r="P28" s="3416"/>
      <c r="Q28" s="530"/>
      <c r="R28" s="664"/>
      <c r="S28" s="665"/>
      <c r="T28" s="664"/>
      <c r="U28" s="665"/>
      <c r="V28" s="664"/>
      <c r="W28" s="665"/>
      <c r="X28" s="666"/>
      <c r="Y28" s="3416"/>
      <c r="Z28" s="50"/>
      <c r="AA28" s="1260">
        <v>1</v>
      </c>
      <c r="AB28" s="1260">
        <v>1</v>
      </c>
      <c r="AC28" s="1260">
        <v>1</v>
      </c>
    </row>
    <row r="29" spans="1:29" s="102" customFormat="1" ht="15">
      <c r="A29" s="443"/>
      <c r="B29" s="586" t="s">
        <v>1778</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0"/>
      <c r="M29" s="2432"/>
      <c r="N29" s="2432"/>
      <c r="O29" s="2532"/>
      <c r="P29" s="3416"/>
      <c r="Q29" s="530" t="str">
        <f>B29</f>
        <v>基础设施水平</v>
      </c>
      <c r="R29" s="664" t="s">
        <v>14</v>
      </c>
      <c r="S29" s="665">
        <f>F29</f>
        <v>100</v>
      </c>
      <c r="T29" s="664" t="s">
        <v>14</v>
      </c>
      <c r="U29" s="665">
        <f>H29</f>
        <v>100</v>
      </c>
      <c r="V29" s="664" t="s">
        <v>14</v>
      </c>
      <c r="W29" s="665">
        <f>J29</f>
        <v>100</v>
      </c>
      <c r="X29" s="666"/>
      <c r="Y29" s="3416"/>
      <c r="Z29" s="50" t="str">
        <f>Q29</f>
        <v>基础设施水平</v>
      </c>
      <c r="AA29" s="1260">
        <f>D29/F29</f>
        <v>1</v>
      </c>
      <c r="AB29" s="1260">
        <f>D29/H29</f>
        <v>1</v>
      </c>
      <c r="AC29" s="1260">
        <f>D29/J29</f>
        <v>1</v>
      </c>
    </row>
    <row r="30" spans="1:29" s="102" customFormat="1" ht="15">
      <c r="A30" s="443"/>
      <c r="B30" s="395"/>
      <c r="C30" s="1822" t="s">
        <v>3436</v>
      </c>
      <c r="D30" s="387"/>
      <c r="E30" s="1823" t="s">
        <v>3436</v>
      </c>
      <c r="F30" s="387"/>
      <c r="G30" s="1823" t="s">
        <v>3436</v>
      </c>
      <c r="H30" s="387"/>
      <c r="I30" s="1823" t="s">
        <v>3436</v>
      </c>
      <c r="J30" s="387"/>
      <c r="K30" s="592"/>
      <c r="L30" s="2480"/>
      <c r="M30" s="2432"/>
      <c r="N30" s="2432"/>
      <c r="O30" s="2532"/>
      <c r="P30" s="3416"/>
      <c r="Q30" s="530"/>
      <c r="R30" s="664"/>
      <c r="S30" s="665"/>
      <c r="T30" s="664"/>
      <c r="U30" s="665"/>
      <c r="V30" s="664"/>
      <c r="W30" s="665"/>
      <c r="X30" s="666"/>
      <c r="Y30" s="3416"/>
      <c r="Z30" s="50"/>
      <c r="AA30" s="1260">
        <v>1</v>
      </c>
      <c r="AB30" s="1260">
        <v>1</v>
      </c>
      <c r="AC30" s="1260">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416"/>
      <c r="Q31" s="1259" t="str">
        <f t="shared" si="8"/>
        <v>临街状况</v>
      </c>
      <c r="R31" s="667" t="s">
        <v>14</v>
      </c>
      <c r="S31" s="668">
        <f t="shared" ref="S31:S45" si="9">F31</f>
        <v>100</v>
      </c>
      <c r="T31" s="667" t="s">
        <v>14</v>
      </c>
      <c r="U31" s="668">
        <f t="shared" ref="U31:U45" si="10">H31</f>
        <v>100</v>
      </c>
      <c r="V31" s="667" t="s">
        <v>14</v>
      </c>
      <c r="W31" s="668">
        <f t="shared" ref="W31:W45" si="11">J31</f>
        <v>100</v>
      </c>
      <c r="X31" s="1261"/>
      <c r="Y31" s="3416"/>
      <c r="Z31" s="1260" t="str">
        <f t="shared" ref="Z31:Z45" si="12">Q31</f>
        <v>临街状况</v>
      </c>
      <c r="AA31" s="1260">
        <f t="shared" si="3"/>
        <v>1</v>
      </c>
      <c r="AB31" s="1260">
        <f t="shared" si="4"/>
        <v>1</v>
      </c>
      <c r="AC31" s="1260">
        <f t="shared" si="5"/>
        <v>1</v>
      </c>
    </row>
    <row r="32" spans="1:29" ht="27">
      <c r="A32" s="367"/>
      <c r="B32" s="586" t="s">
        <v>1814</v>
      </c>
      <c r="C32" s="393"/>
      <c r="D32" s="389">
        <v>100</v>
      </c>
      <c r="E32" s="391"/>
      <c r="F32" s="389">
        <f>SUMIF(105:105,E33,106:106)-SUMIF(105:105,C33,106:106)+100</f>
        <v>101</v>
      </c>
      <c r="G32" s="391"/>
      <c r="H32" s="389">
        <f>SUMIF(105:105,G33,106:106)-SUMIF(105:105,C33,106:106)+100</f>
        <v>99</v>
      </c>
      <c r="I32" s="393"/>
      <c r="J32" s="389">
        <f>SUMIF(105:105,I33,106:106)-SUMIF(105:105,C33,106:106)+100</f>
        <v>99</v>
      </c>
      <c r="K32" s="593">
        <v>1</v>
      </c>
      <c r="L32" s="2484"/>
      <c r="M32" s="2479"/>
      <c r="N32" s="2479"/>
      <c r="O32" s="2534"/>
      <c r="P32" s="3416"/>
      <c r="Q32" s="1259" t="str">
        <f t="shared" si="8"/>
        <v>毗邻道路的类型与等级</v>
      </c>
      <c r="R32" s="667" t="s">
        <v>14</v>
      </c>
      <c r="S32" s="668">
        <f t="shared" si="9"/>
        <v>101</v>
      </c>
      <c r="T32" s="667" t="s">
        <v>14</v>
      </c>
      <c r="U32" s="668">
        <f t="shared" si="10"/>
        <v>99</v>
      </c>
      <c r="V32" s="667" t="s">
        <v>14</v>
      </c>
      <c r="W32" s="668">
        <f t="shared" si="11"/>
        <v>99</v>
      </c>
      <c r="X32" s="1261"/>
      <c r="Y32" s="3416"/>
      <c r="Z32" s="1260" t="str">
        <f t="shared" si="12"/>
        <v>毗邻道路的类型与等级</v>
      </c>
      <c r="AA32" s="1260">
        <f t="shared" si="3"/>
        <v>0.99009900990099009</v>
      </c>
      <c r="AB32" s="1260">
        <f t="shared" si="4"/>
        <v>1.0101010101010102</v>
      </c>
      <c r="AC32" s="1260">
        <f t="shared" si="5"/>
        <v>1.0101010101010102</v>
      </c>
    </row>
    <row r="33" spans="1:29" ht="15">
      <c r="A33" s="367"/>
      <c r="B33" s="395"/>
      <c r="C33" s="386" t="s">
        <v>3626</v>
      </c>
      <c r="D33" s="387"/>
      <c r="E33" s="1754" t="s">
        <v>3618</v>
      </c>
      <c r="F33" s="387"/>
      <c r="G33" s="1754" t="s">
        <v>3619</v>
      </c>
      <c r="H33" s="387"/>
      <c r="I33" s="386" t="s">
        <v>3619</v>
      </c>
      <c r="J33" s="387"/>
      <c r="K33" s="539"/>
      <c r="L33" s="2484"/>
      <c r="M33" s="2479"/>
      <c r="N33" s="2479"/>
      <c r="O33" s="2534"/>
      <c r="P33" s="3416"/>
      <c r="Q33" s="1259"/>
      <c r="R33" s="667"/>
      <c r="S33" s="668"/>
      <c r="T33" s="667"/>
      <c r="U33" s="668"/>
      <c r="V33" s="667"/>
      <c r="W33" s="668"/>
      <c r="X33" s="1261"/>
      <c r="Y33" s="3416"/>
      <c r="Z33" s="1260"/>
      <c r="AA33" s="1260">
        <v>1</v>
      </c>
      <c r="AB33" s="1260">
        <v>1</v>
      </c>
      <c r="AC33" s="1260">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416"/>
      <c r="Q34" s="1259" t="str">
        <f t="shared" si="8"/>
        <v>土地级别</v>
      </c>
      <c r="R34" s="667" t="s">
        <v>14</v>
      </c>
      <c r="S34" s="668">
        <f t="shared" si="9"/>
        <v>100</v>
      </c>
      <c r="T34" s="667" t="s">
        <v>14</v>
      </c>
      <c r="U34" s="668">
        <f t="shared" si="10"/>
        <v>100</v>
      </c>
      <c r="V34" s="667" t="s">
        <v>14</v>
      </c>
      <c r="W34" s="668">
        <f t="shared" si="11"/>
        <v>100</v>
      </c>
      <c r="X34" s="1261"/>
      <c r="Y34" s="3416"/>
      <c r="Z34" s="1260" t="str">
        <f t="shared" si="12"/>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416"/>
      <c r="Q35" s="1259">
        <f t="shared" si="8"/>
        <v>111</v>
      </c>
      <c r="R35" s="667" t="s">
        <v>14</v>
      </c>
      <c r="S35" s="668">
        <f t="shared" si="9"/>
        <v>100</v>
      </c>
      <c r="T35" s="667" t="s">
        <v>14</v>
      </c>
      <c r="U35" s="668">
        <f t="shared" si="10"/>
        <v>100</v>
      </c>
      <c r="V35" s="667" t="s">
        <v>14</v>
      </c>
      <c r="W35" s="668">
        <f t="shared" si="11"/>
        <v>100</v>
      </c>
      <c r="X35" s="1261"/>
      <c r="Y35" s="3416"/>
      <c r="Z35" s="1260">
        <f t="shared" si="12"/>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434" t="s">
        <v>1695</v>
      </c>
      <c r="Q36" s="1259">
        <f t="shared" si="8"/>
        <v>111</v>
      </c>
      <c r="R36" s="667" t="s">
        <v>14</v>
      </c>
      <c r="S36" s="668">
        <f t="shared" si="9"/>
        <v>100</v>
      </c>
      <c r="T36" s="667" t="s">
        <v>14</v>
      </c>
      <c r="U36" s="668">
        <f t="shared" si="10"/>
        <v>100</v>
      </c>
      <c r="V36" s="667" t="s">
        <v>14</v>
      </c>
      <c r="W36" s="668">
        <f t="shared" si="11"/>
        <v>100</v>
      </c>
      <c r="X36" s="1261"/>
      <c r="Y36" s="3420" t="s">
        <v>1695</v>
      </c>
      <c r="Z36" s="1260">
        <f t="shared" si="12"/>
        <v>111</v>
      </c>
      <c r="AA36" s="1260">
        <f t="shared" si="3"/>
        <v>1</v>
      </c>
      <c r="AB36" s="1260">
        <f t="shared" si="4"/>
        <v>1</v>
      </c>
      <c r="AC36" s="1260">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420"/>
      <c r="Q37" s="1259">
        <f t="shared" si="8"/>
        <v>111</v>
      </c>
      <c r="R37" s="669" t="s">
        <v>14</v>
      </c>
      <c r="S37" s="670">
        <f t="shared" si="9"/>
        <v>100</v>
      </c>
      <c r="T37" s="669" t="s">
        <v>14</v>
      </c>
      <c r="U37" s="670">
        <f t="shared" si="10"/>
        <v>100</v>
      </c>
      <c r="V37" s="669" t="s">
        <v>14</v>
      </c>
      <c r="W37" s="670">
        <f t="shared" si="11"/>
        <v>100</v>
      </c>
      <c r="X37" s="671"/>
      <c r="Y37" s="3420"/>
      <c r="Z37" s="672">
        <f t="shared" si="12"/>
        <v>111</v>
      </c>
      <c r="AA37" s="1260">
        <f t="shared" si="3"/>
        <v>1</v>
      </c>
      <c r="AB37" s="1260">
        <f t="shared" si="4"/>
        <v>1</v>
      </c>
      <c r="AC37" s="1260">
        <f t="shared" si="5"/>
        <v>1</v>
      </c>
    </row>
    <row r="38" spans="1:29" ht="15">
      <c r="A38" s="409" t="s">
        <v>1693</v>
      </c>
      <c r="B38" s="395" t="s">
        <v>1872</v>
      </c>
      <c r="C38" s="599">
        <f>'数据-基础表'!A3</f>
        <v>23493.01</v>
      </c>
      <c r="D38" s="405">
        <v>100</v>
      </c>
      <c r="E38" s="599">
        <f>土地案例!I2</f>
        <v>7467</v>
      </c>
      <c r="F38" s="405">
        <f>LOOKUP(E38,116:116,117:117)-LOOKUP(C38,116:116,117:117)+100</f>
        <v>100</v>
      </c>
      <c r="G38" s="599">
        <f>土地案例!I3</f>
        <v>67829.210000000006</v>
      </c>
      <c r="H38" s="405">
        <f>LOOKUP(G38,116:116,117:117)-LOOKUP(C38,116:116,117:117)+100</f>
        <v>102</v>
      </c>
      <c r="I38" s="462">
        <f>土地案例!I4</f>
        <v>12629.88</v>
      </c>
      <c r="J38" s="405">
        <f>LOOKUP(I38,116:116,117:117)-LOOKUP(C38,116:116,117:117)+100</f>
        <v>100</v>
      </c>
      <c r="K38" s="539"/>
      <c r="L38" s="2484"/>
      <c r="M38" s="2479"/>
      <c r="N38" s="2479"/>
      <c r="O38" s="2534"/>
      <c r="P38" s="3420"/>
      <c r="Q38" s="1259" t="str">
        <f>B38</f>
        <v>宗地面积</v>
      </c>
      <c r="R38" s="667" t="s">
        <v>14</v>
      </c>
      <c r="S38" s="668">
        <f t="shared" si="9"/>
        <v>100</v>
      </c>
      <c r="T38" s="667" t="s">
        <v>14</v>
      </c>
      <c r="U38" s="668">
        <f t="shared" si="10"/>
        <v>102</v>
      </c>
      <c r="V38" s="667" t="s">
        <v>14</v>
      </c>
      <c r="W38" s="668">
        <f t="shared" si="11"/>
        <v>100</v>
      </c>
      <c r="X38" s="1261"/>
      <c r="Y38" s="3420"/>
      <c r="Z38" s="1260" t="str">
        <f t="shared" si="12"/>
        <v>宗地面积</v>
      </c>
      <c r="AA38" s="1260">
        <f t="shared" si="3"/>
        <v>1</v>
      </c>
      <c r="AB38" s="1260">
        <f t="shared" si="4"/>
        <v>0.98039215686274506</v>
      </c>
      <c r="AC38" s="1260">
        <f t="shared" si="5"/>
        <v>1</v>
      </c>
    </row>
    <row r="39" spans="1:29" ht="1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420"/>
      <c r="Q39" s="1259" t="str">
        <f t="shared" ref="Q39:Q45" si="13">B39</f>
        <v>宗地形状</v>
      </c>
      <c r="R39" s="667" t="s">
        <v>14</v>
      </c>
      <c r="S39" s="668">
        <f t="shared" si="9"/>
        <v>100</v>
      </c>
      <c r="T39" s="667" t="s">
        <v>14</v>
      </c>
      <c r="U39" s="668">
        <f t="shared" si="10"/>
        <v>100</v>
      </c>
      <c r="V39" s="667" t="s">
        <v>14</v>
      </c>
      <c r="W39" s="668">
        <f t="shared" si="11"/>
        <v>100</v>
      </c>
      <c r="X39" s="1261"/>
      <c r="Y39" s="3420"/>
      <c r="Z39" s="1260" t="str">
        <f t="shared" si="12"/>
        <v>宗地形状</v>
      </c>
      <c r="AA39" s="1260">
        <f t="shared" si="3"/>
        <v>1</v>
      </c>
      <c r="AB39" s="1260">
        <f t="shared" si="4"/>
        <v>1</v>
      </c>
      <c r="AC39" s="1260">
        <f t="shared" si="5"/>
        <v>1</v>
      </c>
    </row>
    <row r="40" spans="1:29" ht="15">
      <c r="A40" s="409"/>
      <c r="B40" s="364" t="s">
        <v>1874</v>
      </c>
      <c r="C40" s="1756" t="s">
        <v>3426</v>
      </c>
      <c r="D40" s="374">
        <v>100</v>
      </c>
      <c r="E40" s="1756" t="s">
        <v>3426</v>
      </c>
      <c r="F40" s="374">
        <f>SUMIF(120:120,E40,121:121)-SUMIF(120:120,C40,121:121)+100</f>
        <v>100</v>
      </c>
      <c r="G40" s="1756" t="s">
        <v>3426</v>
      </c>
      <c r="H40" s="374">
        <f>SUMIF(120:120,G40,121:121)-SUMIF(120:120,C40,121:121)+100</f>
        <v>100</v>
      </c>
      <c r="I40" s="1756" t="s">
        <v>3426</v>
      </c>
      <c r="J40" s="374">
        <f>SUMIF(120:120,I40,121:121)-SUMIF(120:120,C40,121:121)+100</f>
        <v>100</v>
      </c>
      <c r="K40" s="538">
        <v>2</v>
      </c>
      <c r="L40" s="2484"/>
      <c r="M40" s="2479"/>
      <c r="N40" s="2479"/>
      <c r="O40" s="2534"/>
      <c r="P40" s="3420"/>
      <c r="Q40" s="1259" t="str">
        <f t="shared" si="13"/>
        <v>临街宽度及深度</v>
      </c>
      <c r="R40" s="667" t="s">
        <v>14</v>
      </c>
      <c r="S40" s="668">
        <f t="shared" si="9"/>
        <v>100</v>
      </c>
      <c r="T40" s="667" t="s">
        <v>14</v>
      </c>
      <c r="U40" s="668">
        <f t="shared" si="10"/>
        <v>100</v>
      </c>
      <c r="V40" s="667" t="s">
        <v>14</v>
      </c>
      <c r="W40" s="668">
        <f t="shared" si="11"/>
        <v>100</v>
      </c>
      <c r="X40" s="1261"/>
      <c r="Y40" s="3420"/>
      <c r="Z40" s="1260" t="str">
        <f t="shared" si="12"/>
        <v>临街宽度及深度</v>
      </c>
      <c r="AA40" s="1260">
        <f t="shared" si="3"/>
        <v>1</v>
      </c>
      <c r="AB40" s="1260">
        <f t="shared" si="4"/>
        <v>1</v>
      </c>
      <c r="AC40" s="1260">
        <f t="shared" si="5"/>
        <v>1</v>
      </c>
    </row>
    <row r="41" spans="1:29" s="102" customFormat="1" ht="15">
      <c r="A41" s="410"/>
      <c r="B41" s="364" t="s">
        <v>1875</v>
      </c>
      <c r="C41" s="1824" t="s">
        <v>3429</v>
      </c>
      <c r="D41" s="119">
        <v>100</v>
      </c>
      <c r="E41" s="1824" t="s">
        <v>3616</v>
      </c>
      <c r="F41" s="374">
        <f>SUMIF(122:122,E41,123:123)-SUMIF(122:122,C41,123:123)+100</f>
        <v>97</v>
      </c>
      <c r="G41" s="1824" t="s">
        <v>3616</v>
      </c>
      <c r="H41" s="374">
        <f>SUMIF(122:122,G41,123:123)-SUMIF(122:122,C41,123:123)+100</f>
        <v>97</v>
      </c>
      <c r="I41" s="1824" t="s">
        <v>3616</v>
      </c>
      <c r="J41" s="374">
        <f>SUMIF(122:122,I41,123:123)-SUMIF(122:122,C41,123:123)+100</f>
        <v>97</v>
      </c>
      <c r="K41" s="538">
        <v>1</v>
      </c>
      <c r="L41" s="2480"/>
      <c r="M41" s="2432"/>
      <c r="N41" s="2432"/>
      <c r="O41" s="2532"/>
      <c r="P41" s="3420"/>
      <c r="Q41" s="1259" t="str">
        <f t="shared" si="13"/>
        <v>宗地开发程度</v>
      </c>
      <c r="R41" s="664" t="s">
        <v>14</v>
      </c>
      <c r="S41" s="665">
        <f t="shared" si="9"/>
        <v>97</v>
      </c>
      <c r="T41" s="664" t="s">
        <v>14</v>
      </c>
      <c r="U41" s="665">
        <f t="shared" si="10"/>
        <v>97</v>
      </c>
      <c r="V41" s="664" t="s">
        <v>14</v>
      </c>
      <c r="W41" s="665">
        <f t="shared" si="11"/>
        <v>97</v>
      </c>
      <c r="X41" s="666"/>
      <c r="Y41" s="3420"/>
      <c r="Z41" s="50" t="str">
        <f t="shared" si="12"/>
        <v>宗地开发程度</v>
      </c>
      <c r="AA41" s="50">
        <f t="shared" si="3"/>
        <v>1.0309278350515463</v>
      </c>
      <c r="AB41" s="50">
        <f t="shared" si="4"/>
        <v>1.0309278350515463</v>
      </c>
      <c r="AC41" s="50">
        <f t="shared" si="5"/>
        <v>1.0309278350515463</v>
      </c>
    </row>
    <row r="42" spans="1:29" ht="15">
      <c r="A42" s="409"/>
      <c r="B42" s="364" t="s">
        <v>1876</v>
      </c>
      <c r="C42" s="1756" t="s">
        <v>3426</v>
      </c>
      <c r="D42" s="374">
        <v>100</v>
      </c>
      <c r="E42" s="1756" t="s">
        <v>3426</v>
      </c>
      <c r="F42" s="374">
        <f>SUMIF(124:124,E42,125:125)-SUMIF(124:124,C42,125:125)+100</f>
        <v>100</v>
      </c>
      <c r="G42" s="1756" t="s">
        <v>3426</v>
      </c>
      <c r="H42" s="374">
        <f>SUMIF(124:124,G42,125:125)-SUMIF(124:124,C42,125:125)+100</f>
        <v>100</v>
      </c>
      <c r="I42" s="1756" t="s">
        <v>3426</v>
      </c>
      <c r="J42" s="374">
        <f>SUMIF(124:124,I42,125:125)-SUMIF(124:124,C42,125:125)+100</f>
        <v>100</v>
      </c>
      <c r="K42" s="538">
        <v>2</v>
      </c>
      <c r="L42" s="2484"/>
      <c r="M42" s="2479"/>
      <c r="N42" s="2479"/>
      <c r="O42" s="2534"/>
      <c r="P42" s="3420" t="s">
        <v>1695</v>
      </c>
      <c r="Q42" s="1259" t="str">
        <f t="shared" si="13"/>
        <v>工程地质条件</v>
      </c>
      <c r="R42" s="667" t="s">
        <v>14</v>
      </c>
      <c r="S42" s="668">
        <f t="shared" si="9"/>
        <v>100</v>
      </c>
      <c r="T42" s="667" t="s">
        <v>14</v>
      </c>
      <c r="U42" s="668">
        <f t="shared" si="10"/>
        <v>100</v>
      </c>
      <c r="V42" s="667" t="s">
        <v>14</v>
      </c>
      <c r="W42" s="668">
        <f t="shared" si="11"/>
        <v>100</v>
      </c>
      <c r="X42" s="1261"/>
      <c r="Y42" s="3420" t="s">
        <v>1695</v>
      </c>
      <c r="Z42" s="1260" t="str">
        <f t="shared" si="12"/>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420"/>
      <c r="Q43" s="1259">
        <f t="shared" si="13"/>
        <v>111</v>
      </c>
      <c r="R43" s="667" t="s">
        <v>14</v>
      </c>
      <c r="S43" s="668">
        <f t="shared" si="9"/>
        <v>100</v>
      </c>
      <c r="T43" s="667" t="s">
        <v>14</v>
      </c>
      <c r="U43" s="668">
        <f t="shared" si="10"/>
        <v>100</v>
      </c>
      <c r="V43" s="667" t="s">
        <v>14</v>
      </c>
      <c r="W43" s="668">
        <f t="shared" si="11"/>
        <v>100</v>
      </c>
      <c r="X43" s="1261"/>
      <c r="Y43" s="3420"/>
      <c r="Z43" s="1260">
        <f t="shared" si="12"/>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420"/>
      <c r="Q44" s="1259">
        <f t="shared" si="13"/>
        <v>111</v>
      </c>
      <c r="R44" s="667" t="s">
        <v>14</v>
      </c>
      <c r="S44" s="668">
        <f t="shared" si="9"/>
        <v>100</v>
      </c>
      <c r="T44" s="667" t="s">
        <v>14</v>
      </c>
      <c r="U44" s="668">
        <f t="shared" si="10"/>
        <v>100</v>
      </c>
      <c r="V44" s="667" t="s">
        <v>14</v>
      </c>
      <c r="W44" s="668">
        <f t="shared" si="11"/>
        <v>100</v>
      </c>
      <c r="X44" s="1261"/>
      <c r="Y44" s="3420"/>
      <c r="Z44" s="1260">
        <f t="shared" si="12"/>
        <v>111</v>
      </c>
      <c r="AA44" s="1260">
        <f t="shared" si="3"/>
        <v>1</v>
      </c>
      <c r="AB44" s="1260">
        <f t="shared" si="4"/>
        <v>1</v>
      </c>
      <c r="AC44" s="1260">
        <f t="shared" si="5"/>
        <v>1</v>
      </c>
    </row>
    <row r="45" spans="1:29" s="408" customFormat="1" ht="15.75"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420"/>
      <c r="Q45" s="1259">
        <f t="shared" si="13"/>
        <v>111</v>
      </c>
      <c r="R45" s="669" t="s">
        <v>14</v>
      </c>
      <c r="S45" s="670">
        <f t="shared" si="9"/>
        <v>100</v>
      </c>
      <c r="T45" s="669" t="s">
        <v>14</v>
      </c>
      <c r="U45" s="670">
        <f t="shared" si="10"/>
        <v>100</v>
      </c>
      <c r="V45" s="669" t="s">
        <v>14</v>
      </c>
      <c r="W45" s="670">
        <f t="shared" si="11"/>
        <v>100</v>
      </c>
      <c r="X45" s="671"/>
      <c r="Y45" s="3420"/>
      <c r="Z45" s="672">
        <f t="shared" si="12"/>
        <v>111</v>
      </c>
      <c r="AA45" s="1260">
        <f t="shared" si="3"/>
        <v>1</v>
      </c>
      <c r="AB45" s="1260">
        <f t="shared" si="4"/>
        <v>1</v>
      </c>
      <c r="AC45" s="1260">
        <f t="shared" si="5"/>
        <v>1</v>
      </c>
    </row>
    <row r="46" spans="1:29" ht="15">
      <c r="A46" s="416" t="s">
        <v>1843</v>
      </c>
      <c r="B46" s="1826" t="s">
        <v>1877</v>
      </c>
      <c r="C46" s="602" t="s">
        <v>0</v>
      </c>
      <c r="D46" s="418"/>
      <c r="E46" s="419">
        <f>土地案例!AW2</f>
        <v>22692</v>
      </c>
      <c r="F46" s="420"/>
      <c r="G46" s="421">
        <f>土地案例!AW3</f>
        <v>22811</v>
      </c>
      <c r="H46" s="422"/>
      <c r="I46" s="419">
        <f>土地案例!AW4</f>
        <v>20750</v>
      </c>
      <c r="J46" s="422"/>
      <c r="K46" s="674"/>
      <c r="L46" s="2486"/>
      <c r="M46" s="2479"/>
      <c r="N46" s="2479"/>
      <c r="O46" s="2479"/>
      <c r="P46" s="3422" t="str">
        <f>A46</f>
        <v>成交单价</v>
      </c>
      <c r="Q46" s="3422"/>
      <c r="R46" s="3409">
        <f>E46</f>
        <v>22692</v>
      </c>
      <c r="S46" s="3409"/>
      <c r="T46" s="3409">
        <f>G46</f>
        <v>22811</v>
      </c>
      <c r="U46" s="3409"/>
      <c r="V46" s="3409">
        <f>I46</f>
        <v>20750</v>
      </c>
      <c r="W46" s="3409"/>
      <c r="X46" s="385"/>
      <c r="Y46" s="673"/>
      <c r="Z46" s="385"/>
      <c r="AA46" s="385"/>
      <c r="AB46" s="385"/>
      <c r="AC46" s="385"/>
    </row>
    <row r="47" spans="1:29" ht="15.75" thickBot="1">
      <c r="A47" s="423" t="s">
        <v>1792</v>
      </c>
      <c r="B47" s="603"/>
      <c r="C47" s="426">
        <f>R48</f>
        <v>19542</v>
      </c>
      <c r="D47" s="2136" t="s">
        <v>2136</v>
      </c>
      <c r="E47" s="426">
        <f>R47</f>
        <v>19537</v>
      </c>
      <c r="F47" s="2137"/>
      <c r="G47" s="425">
        <f>T47</f>
        <v>20863</v>
      </c>
      <c r="H47" s="2137"/>
      <c r="I47" s="426">
        <f>V47</f>
        <v>18226</v>
      </c>
      <c r="J47" s="2137"/>
      <c r="K47" s="2139">
        <f>F47+H47+J47</f>
        <v>0</v>
      </c>
      <c r="L47" s="2486"/>
      <c r="M47" s="2479"/>
      <c r="N47" s="2479"/>
      <c r="O47" s="2479"/>
      <c r="P47" s="3422" t="str">
        <f>A47</f>
        <v>比较价值（元/平方米）</v>
      </c>
      <c r="Q47" s="3422"/>
      <c r="R47" s="3435">
        <f>ROUND(PRODUCT(R46,AA7:AA45),0)</f>
        <v>19537</v>
      </c>
      <c r="S47" s="3435"/>
      <c r="T47" s="3435">
        <f>ROUND(PRODUCT(T46,AB7:AB45),0)</f>
        <v>20863</v>
      </c>
      <c r="U47" s="3435"/>
      <c r="V47" s="3435">
        <f>ROUND(PRODUCT(V46,AC7:AC45),0)</f>
        <v>18226</v>
      </c>
      <c r="W47" s="3435"/>
      <c r="X47" s="385"/>
      <c r="Y47" s="385"/>
      <c r="Z47" s="385"/>
      <c r="AA47" s="385"/>
      <c r="AB47" s="385"/>
      <c r="AC47" s="385"/>
    </row>
    <row r="48" spans="1:29" ht="15.75" thickBot="1">
      <c r="A48" s="427" t="s">
        <v>1878</v>
      </c>
      <c r="B48" s="428"/>
      <c r="C48" s="429">
        <f>R48</f>
        <v>19542</v>
      </c>
      <c r="D48" s="429"/>
      <c r="E48" s="429"/>
      <c r="F48" s="429"/>
      <c r="G48" s="429"/>
      <c r="H48" s="429"/>
      <c r="I48" s="429"/>
      <c r="J48" s="429"/>
      <c r="K48" s="675"/>
      <c r="L48" s="2486"/>
      <c r="M48" s="2479"/>
      <c r="N48" s="2479"/>
      <c r="O48" s="2479"/>
      <c r="P48" s="3436" t="str">
        <f>A48</f>
        <v>估价对象XX用房的比较价值（楼面单价，元/平方米）</v>
      </c>
      <c r="Q48" s="3437"/>
      <c r="R48" s="3438">
        <f>ROUND(IF(D47="简单平均",AVERAGE(R47:W47),R47*F47+T47*H47+V47*J47),0)</f>
        <v>19542</v>
      </c>
      <c r="S48" s="3438"/>
      <c r="T48" s="3438"/>
      <c r="U48" s="3438"/>
      <c r="V48" s="3438"/>
      <c r="W48" s="3438"/>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1794</v>
      </c>
      <c r="D51" s="433"/>
      <c r="E51" s="434">
        <f>IF(E46&lt;E47,E47/E46-1,E46/E47-1)</f>
        <v>0.16148845779802423</v>
      </c>
      <c r="F51" s="435" t="str">
        <f>IF(OR(E51&gt;=0.3,E51&lt;=-0.3),"超过30%","")</f>
        <v/>
      </c>
      <c r="G51" s="434">
        <f>IF(G46&lt;G47,G47/G46-1,G46/G47-1)</f>
        <v>9.3371039639553288E-2</v>
      </c>
      <c r="H51" s="435" t="str">
        <f>IF(OR(G51&gt;=0.3,G51&lt;=-0.3),"超过30%","")</f>
        <v/>
      </c>
      <c r="I51" s="434">
        <f>IF(I46&lt;I47,I47/I46-1,I46/I47-1)</f>
        <v>0.1384834851311314</v>
      </c>
      <c r="J51" s="435"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1795</v>
      </c>
      <c r="D52" s="436"/>
      <c r="E52" s="434">
        <f>IF(E47&lt;G47,G47/E47-1,E47/G47-1)</f>
        <v>6.787121871321089E-2</v>
      </c>
      <c r="F52" s="435" t="str">
        <f>IF(OR(E52&gt;=0.2,E52&lt;=-0.2),"超过20%","")</f>
        <v/>
      </c>
      <c r="G52" s="434">
        <f>IF(G47&lt;I47,I47/G47-1,G47/I47-1)</f>
        <v>0.14468341929112261</v>
      </c>
      <c r="H52" s="435" t="str">
        <f>IF(OR(G52&gt;=0.2,G52&lt;=-0.2),"超过20%","")</f>
        <v/>
      </c>
      <c r="I52" s="434">
        <f>IF(I47&lt;E47,E47/I47-1,I47/E47-1)</f>
        <v>7.1930209590694627E-2</v>
      </c>
      <c r="J52" s="435"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1796</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5"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1879</v>
      </c>
      <c r="B55" s="605" t="s">
        <v>1880</v>
      </c>
      <c r="C55" s="1827" t="s">
        <v>1881</v>
      </c>
      <c r="D55" s="1828" t="s">
        <v>1882</v>
      </c>
      <c r="E55" s="606" t="s">
        <v>1883</v>
      </c>
      <c r="F55" s="834" t="s">
        <v>1884</v>
      </c>
      <c r="G55" s="3396" t="s">
        <v>1885</v>
      </c>
      <c r="H55" s="3439"/>
      <c r="I55" s="127" t="s">
        <v>1886</v>
      </c>
      <c r="J55" s="1829">
        <f>项目基本情况!F35</f>
        <v>0</v>
      </c>
      <c r="K55" s="1830" t="s">
        <v>1887</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1888</v>
      </c>
      <c r="B56" s="609">
        <f>C48</f>
        <v>19542</v>
      </c>
      <c r="C56" s="610">
        <v>1</v>
      </c>
      <c r="D56" s="887">
        <v>1</v>
      </c>
      <c r="E56" s="610">
        <f>'数据-汇总表'!E8+'数据-汇总表'!E9</f>
        <v>70457.77</v>
      </c>
      <c r="F56" s="830">
        <f t="shared" ref="F56:F64" si="14">ROUND(B56*E56/10000,0)</f>
        <v>137689</v>
      </c>
      <c r="G56" s="3392"/>
      <c r="H56" s="3422"/>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1889</v>
      </c>
      <c r="B57" s="210">
        <f>ROUND($C$48*C57*D57,0)</f>
        <v>2931</v>
      </c>
      <c r="C57" s="163">
        <f t="shared" ref="C57:C64" si="15">IF($C$55="北京市系数",I57,J57)</f>
        <v>0.6</v>
      </c>
      <c r="D57" s="888">
        <v>0.25</v>
      </c>
      <c r="E57" s="614">
        <f>'数据-汇总表'!G19</f>
        <v>9849.01</v>
      </c>
      <c r="F57" s="830">
        <f t="shared" si="14"/>
        <v>2887</v>
      </c>
      <c r="G57" s="2742" t="s">
        <v>1890</v>
      </c>
      <c r="H57" s="831" t="str">
        <f>项目基本情况!B37</f>
        <v>五级</v>
      </c>
      <c r="I57" s="835">
        <f>SUMIF(修正!A57:A68,H57,修正!B57:B68)</f>
        <v>0.6</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1891</v>
      </c>
      <c r="B58" s="210">
        <f t="shared" ref="B58:B64" si="16">ROUND($C$48*C58*D58,0)</f>
        <v>1466</v>
      </c>
      <c r="C58" s="163">
        <f t="shared" si="15"/>
        <v>0.3</v>
      </c>
      <c r="D58" s="888">
        <v>0.25</v>
      </c>
      <c r="E58" s="614"/>
      <c r="F58" s="830">
        <f t="shared" si="14"/>
        <v>0</v>
      </c>
      <c r="G58" s="2743"/>
      <c r="H58" s="831" t="str">
        <f>项目基本情况!B37</f>
        <v>五级</v>
      </c>
      <c r="I58" s="835">
        <f>SUMIF(修正!A57:A68,H58,修正!C57:C68)</f>
        <v>0.3</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1892</v>
      </c>
      <c r="B59" s="210">
        <f t="shared" si="16"/>
        <v>1221</v>
      </c>
      <c r="C59" s="163">
        <f t="shared" si="15"/>
        <v>0.25</v>
      </c>
      <c r="D59" s="888">
        <v>0.25</v>
      </c>
      <c r="E59" s="614"/>
      <c r="F59" s="830">
        <f t="shared" si="14"/>
        <v>0</v>
      </c>
      <c r="G59" s="2743"/>
      <c r="H59" s="831" t="str">
        <f>项目基本情况!B37</f>
        <v>五级</v>
      </c>
      <c r="I59" s="835">
        <f>SUMIF(修正!A57:A68,H59,修正!D57:D68)</f>
        <v>0.25</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1893</v>
      </c>
      <c r="B60" s="210">
        <f t="shared" si="16"/>
        <v>1221</v>
      </c>
      <c r="C60" s="163">
        <f t="shared" si="15"/>
        <v>0.25</v>
      </c>
      <c r="D60" s="888">
        <v>0.25</v>
      </c>
      <c r="E60" s="209">
        <f>'数据-汇总表'!E11</f>
        <v>0</v>
      </c>
      <c r="F60" s="830">
        <f t="shared" si="14"/>
        <v>0</v>
      </c>
      <c r="G60" s="1831" t="s">
        <v>1894</v>
      </c>
      <c r="H60" s="831" t="str">
        <f>项目基本情况!C37</f>
        <v>五级</v>
      </c>
      <c r="I60" s="835">
        <f>SUMIF(修正!A57:A68,H60,修正!E57:E68)</f>
        <v>0.25</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1895</v>
      </c>
      <c r="B61" s="210">
        <f t="shared" si="16"/>
        <v>1221</v>
      </c>
      <c r="C61" s="163">
        <f t="shared" si="15"/>
        <v>0.25</v>
      </c>
      <c r="D61" s="888">
        <v>0.25</v>
      </c>
      <c r="E61" s="209">
        <f>'数据-汇总表'!E12</f>
        <v>0</v>
      </c>
      <c r="F61" s="830">
        <f t="shared" si="14"/>
        <v>0</v>
      </c>
      <c r="G61" s="836" t="s">
        <v>1896</v>
      </c>
      <c r="H61" s="831" t="str">
        <f>IF(G61="商业",项目基本情况!B37,IF(G61="办公",项目基本情况!C37,IF(G61="住宅",项目基本情况!D37,项目基本情况!E37)))</f>
        <v>五级</v>
      </c>
      <c r="I61" s="835">
        <f>SUMIF(修正!A57:A68,H61,修正!F57:F68)</f>
        <v>0.25</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1897</v>
      </c>
      <c r="B62" s="210">
        <f t="shared" si="16"/>
        <v>733</v>
      </c>
      <c r="C62" s="163">
        <f t="shared" si="15"/>
        <v>0.15</v>
      </c>
      <c r="D62" s="888">
        <v>0.25</v>
      </c>
      <c r="E62" s="209">
        <f>'数据-汇总表'!E13</f>
        <v>28458.699999999997</v>
      </c>
      <c r="F62" s="830">
        <f t="shared" si="14"/>
        <v>2086</v>
      </c>
      <c r="G62" s="836" t="s">
        <v>1898</v>
      </c>
      <c r="H62" s="831" t="str">
        <f>IF(G62="商业",项目基本情况!B37,IF(G62="办公",项目基本情况!C37,IF(G62="住宅",项目基本情况!D37,项目基本情况!E37)))</f>
        <v>五级</v>
      </c>
      <c r="I62" s="835">
        <f>SUMIF(修正!A57:A68,H62,修正!G57:G68)</f>
        <v>0.15</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1899</v>
      </c>
      <c r="B63" s="210">
        <f t="shared" si="16"/>
        <v>733</v>
      </c>
      <c r="C63" s="163">
        <f t="shared" si="15"/>
        <v>0.15</v>
      </c>
      <c r="D63" s="888">
        <v>0.25</v>
      </c>
      <c r="E63" s="209">
        <f>'数据-汇总表'!E14</f>
        <v>0</v>
      </c>
      <c r="F63" s="830">
        <f t="shared" si="14"/>
        <v>0</v>
      </c>
      <c r="G63" s="1831" t="s">
        <v>1890</v>
      </c>
      <c r="H63" s="831" t="str">
        <f>项目基本情况!B37</f>
        <v>五级</v>
      </c>
      <c r="I63" s="835">
        <f>SUMIF(修正!A57:A68,H63,修正!G57:G68)</f>
        <v>0.15</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5" thickBot="1">
      <c r="A64" s="613" t="s">
        <v>1900</v>
      </c>
      <c r="B64" s="210">
        <f t="shared" si="16"/>
        <v>733</v>
      </c>
      <c r="C64" s="163">
        <f t="shared" si="15"/>
        <v>0.15</v>
      </c>
      <c r="D64" s="888">
        <v>0.25</v>
      </c>
      <c r="E64" s="209">
        <f>'数据-汇总表'!E15</f>
        <v>0</v>
      </c>
      <c r="F64" s="830">
        <f t="shared" si="14"/>
        <v>0</v>
      </c>
      <c r="G64" s="1832" t="s">
        <v>1894</v>
      </c>
      <c r="H64" s="841" t="str">
        <f>项目基本情况!C37</f>
        <v>五级</v>
      </c>
      <c r="I64" s="837">
        <f>SUMIF(修正!A57:A68,H64,修正!G57:G68)</f>
        <v>0.15</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ht="13.5" thickBot="1">
      <c r="A65" s="615" t="s">
        <v>1901</v>
      </c>
      <c r="B65" s="616" t="s">
        <v>22</v>
      </c>
      <c r="C65" s="616" t="s">
        <v>23</v>
      </c>
      <c r="D65" s="616" t="s">
        <v>392</v>
      </c>
      <c r="E65" s="616">
        <f>IF(B46="楼面地价",SUM(E56:E64),'数据-汇总表'!D3)</f>
        <v>108765.48</v>
      </c>
      <c r="F65" s="617">
        <f>IF(B46="楼面地价",SUM(F56:F64),ROUND(C48*E65/10000,0))</f>
        <v>142662</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2024-12-1</v>
      </c>
      <c r="D67" s="656">
        <f>EDATE(C67,-3)</f>
        <v>45536</v>
      </c>
      <c r="E67" s="656">
        <f>EDATE(D67,-3)</f>
        <v>45444</v>
      </c>
      <c r="F67" s="656">
        <f t="shared" ref="F67:O67" si="17">EDATE(E67,-3)</f>
        <v>45352</v>
      </c>
      <c r="G67" s="656">
        <f t="shared" si="17"/>
        <v>45261</v>
      </c>
      <c r="H67" s="656">
        <f t="shared" si="17"/>
        <v>45170</v>
      </c>
      <c r="I67" s="656">
        <f t="shared" si="17"/>
        <v>45078</v>
      </c>
      <c r="J67" s="656">
        <f t="shared" si="17"/>
        <v>44986</v>
      </c>
      <c r="K67" s="656">
        <f t="shared" si="17"/>
        <v>44896</v>
      </c>
      <c r="L67" s="656">
        <f t="shared" si="17"/>
        <v>44805</v>
      </c>
      <c r="M67" s="656">
        <f t="shared" si="17"/>
        <v>44713</v>
      </c>
      <c r="N67" s="656">
        <f t="shared" si="17"/>
        <v>44621</v>
      </c>
      <c r="O67" s="656">
        <f t="shared" si="17"/>
        <v>44531</v>
      </c>
      <c r="P67" s="2479"/>
      <c r="Q67" s="2479"/>
      <c r="R67" s="2479"/>
      <c r="S67" s="2479"/>
      <c r="T67" s="2479"/>
      <c r="U67" s="2479"/>
      <c r="V67" s="2479"/>
      <c r="W67" s="2479"/>
      <c r="X67" s="2479"/>
      <c r="Y67" s="2479"/>
      <c r="Z67" s="2479"/>
      <c r="AA67" s="2479"/>
      <c r="AB67" s="2479"/>
      <c r="AC67" s="2479"/>
    </row>
    <row r="68" spans="1:29" ht="21.75" thickBot="1">
      <c r="A68" s="658" t="s">
        <v>1797</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5">
      <c r="A69" s="1626" t="s">
        <v>1902</v>
      </c>
      <c r="B69" s="1043"/>
      <c r="C69" s="1097" t="str">
        <f>YEAR(C67)&amp;"-"&amp;ROUNDUP(MONTH(C67)/3,0)</f>
        <v>2024-4</v>
      </c>
      <c r="D69" s="1097" t="str">
        <f>YEAR(D67)&amp;"-"&amp;ROUNDUP(MONTH(D67)/3,0)</f>
        <v>2024-3</v>
      </c>
      <c r="E69" s="1097" t="str">
        <f t="shared" ref="E69:O69" si="18">YEAR(E67)&amp;"-"&amp;ROUNDUP(MONTH(E67)/3,0)</f>
        <v>2024-2</v>
      </c>
      <c r="F69" s="1097" t="str">
        <f t="shared" si="18"/>
        <v>2024-1</v>
      </c>
      <c r="G69" s="1097" t="str">
        <f t="shared" si="18"/>
        <v>2023-4</v>
      </c>
      <c r="H69" s="1097" t="str">
        <f t="shared" si="18"/>
        <v>2023-3</v>
      </c>
      <c r="I69" s="1097" t="str">
        <f t="shared" si="18"/>
        <v>2023-2</v>
      </c>
      <c r="J69" s="1097" t="str">
        <f t="shared" si="18"/>
        <v>2023-1</v>
      </c>
      <c r="K69" s="1097" t="str">
        <f t="shared" si="18"/>
        <v>2022-4</v>
      </c>
      <c r="L69" s="1097" t="str">
        <f t="shared" si="18"/>
        <v>2022-3</v>
      </c>
      <c r="M69" s="1097" t="str">
        <f t="shared" si="18"/>
        <v>2022-2</v>
      </c>
      <c r="N69" s="1097" t="str">
        <f t="shared" si="18"/>
        <v>2022-1</v>
      </c>
      <c r="O69" s="1097" t="str">
        <f t="shared" si="18"/>
        <v>2021-4</v>
      </c>
      <c r="P69" s="2502"/>
      <c r="Q69" s="2502"/>
      <c r="R69" s="2502"/>
      <c r="S69" s="2502"/>
      <c r="T69" s="2502"/>
      <c r="U69" s="2502"/>
      <c r="V69" s="2502"/>
      <c r="W69" s="2502"/>
      <c r="X69" s="2502"/>
      <c r="Y69" s="2502"/>
      <c r="Z69" s="2502"/>
      <c r="AA69" s="2502"/>
      <c r="AB69" s="2502"/>
      <c r="AC69" s="2502"/>
    </row>
    <row r="70" spans="1:29" s="102" customFormat="1" ht="30" customHeight="1">
      <c r="A70" s="1833"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0"/>
      <c r="Q70" s="2432"/>
      <c r="R70" s="2432"/>
      <c r="S70" s="2432"/>
      <c r="T70" s="2432"/>
      <c r="U70" s="2432"/>
      <c r="V70" s="2432"/>
      <c r="W70" s="2432"/>
      <c r="X70" s="2432"/>
      <c r="Y70" s="2432"/>
      <c r="Z70" s="2432"/>
      <c r="AA70" s="2432"/>
      <c r="AB70" s="2432"/>
      <c r="AC70" s="2432"/>
    </row>
    <row r="71" spans="1:29" s="102" customFormat="1" ht="15.75" thickBot="1">
      <c r="A71" s="449" t="s">
        <v>1715</v>
      </c>
      <c r="B71" s="450"/>
      <c r="C71" s="451"/>
      <c r="D71" s="452"/>
      <c r="E71" s="452"/>
      <c r="F71" s="452"/>
      <c r="G71" s="452"/>
      <c r="H71" s="452"/>
      <c r="I71" s="452"/>
      <c r="J71" s="452"/>
      <c r="K71" s="452"/>
      <c r="L71" s="452"/>
      <c r="M71" s="453"/>
      <c r="N71" s="452"/>
      <c r="O71" s="886"/>
      <c r="P71" s="2500"/>
      <c r="Q71" s="2500"/>
      <c r="R71" s="2432"/>
      <c r="S71" s="2432"/>
      <c r="T71" s="2432"/>
      <c r="U71" s="2432"/>
      <c r="V71" s="2432"/>
      <c r="W71" s="2432"/>
      <c r="X71" s="2432"/>
      <c r="Y71" s="2432"/>
      <c r="Z71" s="2432"/>
      <c r="AA71" s="2432"/>
      <c r="AB71" s="2432"/>
      <c r="AC71" s="2432"/>
    </row>
    <row r="72" spans="1:29" s="102" customFormat="1" ht="15">
      <c r="A72" s="455" t="s">
        <v>1680</v>
      </c>
      <c r="B72" s="444"/>
      <c r="C72" s="456" t="s">
        <v>1775</v>
      </c>
      <c r="D72" s="31"/>
      <c r="E72" s="31"/>
      <c r="F72" s="31"/>
      <c r="G72" s="31"/>
      <c r="H72" s="31"/>
      <c r="I72" s="31"/>
      <c r="J72" s="31"/>
      <c r="K72" s="31"/>
      <c r="L72" s="457"/>
      <c r="M72" s="458"/>
      <c r="N72" s="2512"/>
      <c r="O72" s="2512"/>
      <c r="P72" s="2536"/>
      <c r="Q72" s="2500"/>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2"/>
      <c r="O73" s="2512"/>
      <c r="P73" s="2500"/>
      <c r="Q73" s="2500"/>
      <c r="R73" s="2432"/>
      <c r="S73" s="2432"/>
      <c r="T73" s="2432"/>
      <c r="U73" s="2432"/>
      <c r="V73" s="2432"/>
      <c r="W73" s="2432"/>
      <c r="X73" s="2432"/>
      <c r="Y73" s="2432"/>
      <c r="Z73" s="2432"/>
      <c r="AA73" s="2432"/>
      <c r="AB73" s="2432"/>
      <c r="AC73" s="2432"/>
    </row>
    <row r="74" spans="1:29" ht="55.5">
      <c r="A74" s="379" t="s">
        <v>1718</v>
      </c>
      <c r="B74" s="460" t="s">
        <v>1684</v>
      </c>
      <c r="C74" s="462" t="s">
        <v>3599</v>
      </c>
      <c r="D74" s="462" t="s">
        <v>3600</v>
      </c>
      <c r="E74" s="462" t="s">
        <v>3601</v>
      </c>
      <c r="F74" s="462" t="s">
        <v>3602</v>
      </c>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5.75" thickBot="1">
      <c r="A75" s="367"/>
      <c r="B75" s="466"/>
      <c r="C75" s="467">
        <v>100</v>
      </c>
      <c r="D75" s="467">
        <v>103</v>
      </c>
      <c r="E75" s="467">
        <v>97</v>
      </c>
      <c r="F75" s="467">
        <v>95</v>
      </c>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7.75" thickTop="1">
      <c r="A76" s="367"/>
      <c r="B76" s="469" t="s">
        <v>1687</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5.75"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75" thickTop="1">
      <c r="A78" s="367"/>
      <c r="B78" s="477" t="s">
        <v>1688</v>
      </c>
      <c r="C78" s="478" t="str">
        <f>C79&amp;"（含）"&amp;"-"&amp;D79</f>
        <v>0（含）-1</v>
      </c>
      <c r="D78" s="478" t="str">
        <f t="shared" ref="D78:L78" si="19">D79&amp;"（含）"&amp;"-"&amp;E79</f>
        <v>1（含）-2</v>
      </c>
      <c r="E78" s="478" t="str">
        <f t="shared" si="19"/>
        <v>2（含）-3</v>
      </c>
      <c r="F78" s="478" t="str">
        <f t="shared" si="19"/>
        <v>3（含）-4</v>
      </c>
      <c r="G78" s="478" t="str">
        <f t="shared" si="19"/>
        <v>4（含）-5</v>
      </c>
      <c r="H78" s="478" t="str">
        <f t="shared" si="19"/>
        <v>5（含）-</v>
      </c>
      <c r="I78" s="478" t="str">
        <f t="shared" si="19"/>
        <v>（含）-</v>
      </c>
      <c r="J78" s="478" t="str">
        <f t="shared" si="19"/>
        <v>（含）-</v>
      </c>
      <c r="K78" s="478" t="str">
        <f t="shared" si="19"/>
        <v>（含）-</v>
      </c>
      <c r="L78" s="478" t="str">
        <f t="shared" si="19"/>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ht="15">
      <c r="A79" s="367"/>
      <c r="B79" s="479"/>
      <c r="C79" s="480">
        <v>0</v>
      </c>
      <c r="D79" s="480">
        <v>1</v>
      </c>
      <c r="E79" s="480">
        <v>2</v>
      </c>
      <c r="F79" s="480">
        <v>3</v>
      </c>
      <c r="G79" s="480">
        <v>4</v>
      </c>
      <c r="H79" s="480">
        <v>5</v>
      </c>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5.75" thickBot="1">
      <c r="A80" s="367"/>
      <c r="B80" s="466"/>
      <c r="C80" s="475">
        <v>100</v>
      </c>
      <c r="D80" s="475">
        <f t="shared" ref="D80:M80" si="20">IF($B$46="单位面积地价",C80+$K11,C80-$K11)</f>
        <v>98</v>
      </c>
      <c r="E80" s="475">
        <f t="shared" si="20"/>
        <v>96</v>
      </c>
      <c r="F80" s="475">
        <f t="shared" si="20"/>
        <v>94</v>
      </c>
      <c r="G80" s="475">
        <f t="shared" si="20"/>
        <v>92</v>
      </c>
      <c r="H80" s="475">
        <f t="shared" si="20"/>
        <v>90</v>
      </c>
      <c r="I80" s="475">
        <f t="shared" si="20"/>
        <v>88</v>
      </c>
      <c r="J80" s="475">
        <f t="shared" si="20"/>
        <v>86</v>
      </c>
      <c r="K80" s="475">
        <f t="shared" si="20"/>
        <v>84</v>
      </c>
      <c r="L80" s="475">
        <f t="shared" si="20"/>
        <v>82</v>
      </c>
      <c r="M80" s="475">
        <f t="shared" si="20"/>
        <v>80</v>
      </c>
      <c r="N80" s="2514"/>
      <c r="O80" s="2514"/>
      <c r="P80" s="2512"/>
      <c r="Q80" s="2500"/>
      <c r="R80" s="2479"/>
      <c r="S80" s="2479"/>
      <c r="T80" s="2479"/>
      <c r="U80" s="2479"/>
      <c r="V80" s="2479"/>
      <c r="W80" s="2479"/>
      <c r="X80" s="2479"/>
      <c r="Y80" s="2479"/>
      <c r="Z80" s="2479"/>
      <c r="AA80" s="2479"/>
      <c r="AB80" s="2479"/>
      <c r="AC80" s="2479"/>
    </row>
    <row r="81" spans="1:29" s="408" customFormat="1" ht="55.5" thickTop="1">
      <c r="A81" s="484"/>
      <c r="B81" s="469" t="str">
        <f>B12</f>
        <v>自持比例及年限</v>
      </c>
      <c r="C81" s="371" t="s">
        <v>3603</v>
      </c>
      <c r="D81" s="3166" t="s">
        <v>3604</v>
      </c>
      <c r="E81" s="403" t="s">
        <v>3605</v>
      </c>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5.75" thickBot="1">
      <c r="A82" s="484"/>
      <c r="B82" s="474"/>
      <c r="C82" s="491">
        <v>100</v>
      </c>
      <c r="D82" s="467">
        <v>110</v>
      </c>
      <c r="E82" s="467">
        <v>98</v>
      </c>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5.75"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5.75"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5.75"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5.75"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c r="A87" s="379" t="s">
        <v>1689</v>
      </c>
      <c r="B87" s="460" t="s">
        <v>1719</v>
      </c>
      <c r="C87" s="504" t="s">
        <v>1720</v>
      </c>
      <c r="D87" s="504" t="s">
        <v>1721</v>
      </c>
      <c r="E87" s="504" t="s">
        <v>1722</v>
      </c>
      <c r="F87" s="504" t="s">
        <v>1723</v>
      </c>
      <c r="G87" s="504" t="s">
        <v>1724</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75" thickTop="1">
      <c r="A89" s="367"/>
      <c r="B89" s="469" t="s">
        <v>1904</v>
      </c>
      <c r="C89" s="509" t="s">
        <v>1720</v>
      </c>
      <c r="D89" s="509" t="s">
        <v>1721</v>
      </c>
      <c r="E89" s="509" t="s">
        <v>1722</v>
      </c>
      <c r="F89" s="509" t="s">
        <v>1723</v>
      </c>
      <c r="G89" s="509" t="s">
        <v>1724</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5.75" thickBot="1">
      <c r="A90" s="367"/>
      <c r="B90" s="474"/>
      <c r="C90" s="475">
        <v>100</v>
      </c>
      <c r="D90" s="475">
        <f>C90-$K17</f>
        <v>97</v>
      </c>
      <c r="E90" s="475">
        <f>D90-$K17</f>
        <v>94</v>
      </c>
      <c r="F90" s="475">
        <f>E90-$K17</f>
        <v>91</v>
      </c>
      <c r="G90" s="475">
        <f>F90-$K17</f>
        <v>88</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75" thickTop="1">
      <c r="A91" s="367"/>
      <c r="B91" s="469" t="s">
        <v>1820</v>
      </c>
      <c r="C91" s="509" t="s">
        <v>1720</v>
      </c>
      <c r="D91" s="509" t="s">
        <v>1721</v>
      </c>
      <c r="E91" s="509" t="s">
        <v>1722</v>
      </c>
      <c r="F91" s="509" t="s">
        <v>1723</v>
      </c>
      <c r="G91" s="509" t="s">
        <v>1724</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5.75" thickBot="1">
      <c r="A92" s="367"/>
      <c r="B92" s="474"/>
      <c r="C92" s="475">
        <v>100</v>
      </c>
      <c r="D92" s="475">
        <f>C92-$K19</f>
        <v>97</v>
      </c>
      <c r="E92" s="475">
        <f>D92-$K19</f>
        <v>94</v>
      </c>
      <c r="F92" s="475">
        <f>E92-$K19</f>
        <v>91</v>
      </c>
      <c r="G92" s="475">
        <f>F92-$K19</f>
        <v>88</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75" thickTop="1">
      <c r="A93" s="367"/>
      <c r="B93" s="469" t="s">
        <v>1725</v>
      </c>
      <c r="C93" s="509" t="s">
        <v>1720</v>
      </c>
      <c r="D93" s="509" t="s">
        <v>1721</v>
      </c>
      <c r="E93" s="509" t="s">
        <v>1722</v>
      </c>
      <c r="F93" s="509" t="s">
        <v>1723</v>
      </c>
      <c r="G93" s="509" t="s">
        <v>1724</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5.75" thickBot="1">
      <c r="A94" s="367"/>
      <c r="B94" s="474"/>
      <c r="C94" s="475">
        <v>100</v>
      </c>
      <c r="D94" s="475">
        <f>C94-$K21</f>
        <v>98</v>
      </c>
      <c r="E94" s="475">
        <f>D94-$K21</f>
        <v>96</v>
      </c>
      <c r="F94" s="475">
        <f>E94-$K21</f>
        <v>94</v>
      </c>
      <c r="G94" s="475">
        <f>F94-$K21</f>
        <v>92</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15.75" thickTop="1">
      <c r="A95" s="370"/>
      <c r="B95" s="469" t="s">
        <v>1905</v>
      </c>
      <c r="C95" s="509" t="s">
        <v>1720</v>
      </c>
      <c r="D95" s="509" t="s">
        <v>1721</v>
      </c>
      <c r="E95" s="509" t="s">
        <v>1722</v>
      </c>
      <c r="F95" s="509" t="s">
        <v>1723</v>
      </c>
      <c r="G95" s="509" t="s">
        <v>1724</v>
      </c>
      <c r="H95" s="509"/>
      <c r="I95" s="509"/>
      <c r="J95" s="509"/>
      <c r="K95" s="509"/>
      <c r="L95" s="618"/>
      <c r="M95" s="547"/>
      <c r="N95" s="2512"/>
      <c r="O95" s="2512"/>
      <c r="P95" s="2512"/>
      <c r="Q95" s="2500"/>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2"/>
      <c r="S96" s="2432"/>
      <c r="T96" s="2432"/>
      <c r="U96" s="2432"/>
      <c r="V96" s="2432"/>
      <c r="W96" s="2432"/>
      <c r="X96" s="2432"/>
      <c r="Y96" s="2432"/>
      <c r="Z96" s="2432"/>
      <c r="AA96" s="2432"/>
      <c r="AB96" s="2432"/>
      <c r="AC96" s="2432"/>
    </row>
    <row r="97" spans="1:29" s="102" customFormat="1" ht="27.75" thickTop="1">
      <c r="A97" s="370"/>
      <c r="B97" s="469" t="s">
        <v>1906</v>
      </c>
      <c r="C97" s="504" t="s">
        <v>1720</v>
      </c>
      <c r="D97" s="504" t="s">
        <v>1721</v>
      </c>
      <c r="E97" s="504" t="s">
        <v>1722</v>
      </c>
      <c r="F97" s="504" t="s">
        <v>1723</v>
      </c>
      <c r="G97" s="504" t="s">
        <v>1724</v>
      </c>
      <c r="H97" s="509"/>
      <c r="I97" s="509"/>
      <c r="J97" s="509"/>
      <c r="K97" s="509"/>
      <c r="L97" s="509"/>
      <c r="M97" s="547"/>
      <c r="N97" s="2512"/>
      <c r="O97" s="2512"/>
      <c r="P97" s="2512"/>
      <c r="Q97" s="2500"/>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4"/>
      <c r="O98" s="2514"/>
      <c r="P98" s="2512"/>
      <c r="Q98" s="2500"/>
      <c r="R98" s="2432"/>
      <c r="S98" s="2432"/>
      <c r="T98" s="2432"/>
      <c r="U98" s="2432"/>
      <c r="V98" s="2432"/>
      <c r="W98" s="2432"/>
      <c r="X98" s="2432"/>
      <c r="Y98" s="2432"/>
      <c r="Z98" s="2432"/>
      <c r="AA98" s="2432"/>
      <c r="AB98" s="2432"/>
      <c r="AC98" s="2432"/>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14"/>
      <c r="O104" s="2514"/>
      <c r="P104" s="2512"/>
      <c r="Q104" s="2500"/>
      <c r="R104" s="2479"/>
      <c r="S104" s="2479"/>
      <c r="T104" s="2479"/>
      <c r="U104" s="2479"/>
      <c r="V104" s="2479"/>
      <c r="W104" s="2479"/>
      <c r="X104" s="2479"/>
      <c r="Y104" s="2479"/>
      <c r="Z104" s="2479"/>
      <c r="AA104" s="2479"/>
      <c r="AB104" s="2479"/>
      <c r="AC104" s="2479"/>
    </row>
    <row r="105" spans="1:29" ht="27.75" thickTop="1">
      <c r="A105" s="367"/>
      <c r="B105" s="469" t="s">
        <v>1814</v>
      </c>
      <c r="C105" s="3113" t="s">
        <v>3620</v>
      </c>
      <c r="D105" s="3113" t="s">
        <v>3621</v>
      </c>
      <c r="E105" s="3113" t="s">
        <v>3622</v>
      </c>
      <c r="F105" s="3113" t="s">
        <v>3623</v>
      </c>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2">C106-$K32</f>
        <v>99</v>
      </c>
      <c r="E106" s="475">
        <f t="shared" si="22"/>
        <v>98</v>
      </c>
      <c r="F106" s="475">
        <f t="shared" si="22"/>
        <v>97</v>
      </c>
      <c r="G106" s="475">
        <f t="shared" si="22"/>
        <v>96</v>
      </c>
      <c r="H106" s="475">
        <f t="shared" si="22"/>
        <v>95</v>
      </c>
      <c r="I106" s="475">
        <f t="shared" si="22"/>
        <v>94</v>
      </c>
      <c r="J106" s="475">
        <f t="shared" si="22"/>
        <v>93</v>
      </c>
      <c r="K106" s="475">
        <f t="shared" si="22"/>
        <v>92</v>
      </c>
      <c r="L106" s="475">
        <f t="shared" si="22"/>
        <v>91</v>
      </c>
      <c r="M106" s="475">
        <f t="shared" si="22"/>
        <v>90</v>
      </c>
      <c r="N106" s="2514"/>
      <c r="O106" s="2514"/>
      <c r="P106" s="2512"/>
      <c r="Q106" s="2500"/>
      <c r="R106" s="2479"/>
      <c r="S106" s="2479"/>
      <c r="T106" s="2479"/>
      <c r="U106" s="2479"/>
      <c r="V106" s="2479"/>
      <c r="W106" s="2479"/>
      <c r="X106" s="2479"/>
      <c r="Y106" s="2479"/>
      <c r="Z106" s="2479"/>
      <c r="AA106" s="2479"/>
      <c r="AB106" s="2479"/>
      <c r="AC106" s="2479"/>
    </row>
    <row r="107" spans="1:29" ht="15.75" thickTop="1">
      <c r="A107" s="367"/>
      <c r="B107" s="469" t="s">
        <v>1871</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14"/>
      <c r="O108" s="2514"/>
      <c r="P108" s="2512"/>
      <c r="Q108" s="2500"/>
      <c r="R108" s="2479"/>
      <c r="S108" s="2479"/>
      <c r="T108" s="2479"/>
      <c r="U108" s="2479"/>
      <c r="V108" s="2479"/>
      <c r="W108" s="2479"/>
      <c r="X108" s="2479"/>
      <c r="Y108" s="2479"/>
      <c r="Z108" s="2479"/>
      <c r="AA108" s="2479"/>
      <c r="AB108" s="2479"/>
      <c r="AC108" s="2479"/>
    </row>
    <row r="109" spans="1:29" ht="15.75"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5.75"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5"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5.75"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5"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5.75"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28.5">
      <c r="A115" s="379" t="s">
        <v>1693</v>
      </c>
      <c r="B115" s="460" t="s">
        <v>1911</v>
      </c>
      <c r="C115" s="461" t="str">
        <f>C116&amp;"(含)"&amp;"-"&amp;D116</f>
        <v>0(含)-30000</v>
      </c>
      <c r="D115" s="461" t="str">
        <f t="shared" ref="D115:M115" si="24">D116&amp;"(含)"&amp;"-"&amp;E116</f>
        <v>30000(含)-60000</v>
      </c>
      <c r="E115" s="461" t="str">
        <f t="shared" si="24"/>
        <v>60000(含)-90000</v>
      </c>
      <c r="F115" s="461" t="str">
        <f t="shared" si="24"/>
        <v>90000(含)-120000</v>
      </c>
      <c r="G115" s="461" t="str">
        <f t="shared" si="24"/>
        <v>120000(含)-150000</v>
      </c>
      <c r="H115" s="461" t="str">
        <f t="shared" si="24"/>
        <v>150000(含)-180000</v>
      </c>
      <c r="I115" s="461" t="str">
        <f t="shared" si="24"/>
        <v>180000(含)-210000</v>
      </c>
      <c r="J115" s="461" t="str">
        <f t="shared" si="24"/>
        <v>210000(含)-</v>
      </c>
      <c r="K115" s="461" t="str">
        <f t="shared" si="24"/>
        <v>(含)-</v>
      </c>
      <c r="L115" s="461" t="str">
        <f t="shared" si="24"/>
        <v>(含)-</v>
      </c>
      <c r="M115" s="461" t="str">
        <f t="shared" si="24"/>
        <v>(含)-</v>
      </c>
      <c r="N115" s="2513"/>
      <c r="O115" s="2513"/>
      <c r="P115" s="2512"/>
      <c r="Q115" s="2500"/>
      <c r="R115" s="2479"/>
      <c r="S115" s="2479"/>
      <c r="T115" s="2479"/>
      <c r="U115" s="2479"/>
      <c r="V115" s="2479"/>
      <c r="W115" s="2479"/>
      <c r="X115" s="2479"/>
      <c r="Y115" s="2479"/>
      <c r="Z115" s="2479"/>
      <c r="AA115" s="2479"/>
      <c r="AB115" s="2479"/>
      <c r="AC115" s="2479"/>
    </row>
    <row r="116" spans="1:29" ht="15">
      <c r="A116" s="367"/>
      <c r="B116" s="477"/>
      <c r="C116" s="6">
        <v>0</v>
      </c>
      <c r="D116" s="6">
        <v>30000</v>
      </c>
      <c r="E116" s="6">
        <v>60000</v>
      </c>
      <c r="F116" s="6">
        <f>E116+30000</f>
        <v>90000</v>
      </c>
      <c r="G116" s="6">
        <f>F116+30000</f>
        <v>120000</v>
      </c>
      <c r="H116" s="6">
        <f>G116+30000</f>
        <v>150000</v>
      </c>
      <c r="I116" s="6">
        <f>H116+30000</f>
        <v>180000</v>
      </c>
      <c r="J116" s="6">
        <f>I116+30000</f>
        <v>210000</v>
      </c>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5.75" thickBot="1">
      <c r="A117" s="367"/>
      <c r="B117" s="474"/>
      <c r="C117" s="501">
        <v>100</v>
      </c>
      <c r="D117" s="521">
        <f>C117+1</f>
        <v>101</v>
      </c>
      <c r="E117" s="521">
        <f t="shared" ref="E117:J117" si="25">D117+1</f>
        <v>102</v>
      </c>
      <c r="F117" s="521">
        <f t="shared" si="25"/>
        <v>103</v>
      </c>
      <c r="G117" s="521">
        <f t="shared" si="25"/>
        <v>104</v>
      </c>
      <c r="H117" s="521">
        <f t="shared" si="25"/>
        <v>105</v>
      </c>
      <c r="I117" s="521">
        <f t="shared" si="25"/>
        <v>106</v>
      </c>
      <c r="J117" s="521">
        <f t="shared" si="25"/>
        <v>107</v>
      </c>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1912</v>
      </c>
      <c r="C118" s="3115" t="s">
        <v>3606</v>
      </c>
      <c r="D118" s="3115" t="s">
        <v>3607</v>
      </c>
      <c r="E118" s="3115" t="s">
        <v>3608</v>
      </c>
      <c r="F118" s="3115" t="s">
        <v>3609</v>
      </c>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1913</v>
      </c>
      <c r="C120" s="3113" t="s">
        <v>3610</v>
      </c>
      <c r="D120" s="3113" t="s">
        <v>3611</v>
      </c>
      <c r="E120" s="3113" t="s">
        <v>3612</v>
      </c>
      <c r="F120" s="3115" t="s">
        <v>3613</v>
      </c>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1914</v>
      </c>
      <c r="C122" s="485" t="s">
        <v>3436</v>
      </c>
      <c r="D122" s="485" t="s">
        <v>3429</v>
      </c>
      <c r="E122" s="485" t="s">
        <v>3614</v>
      </c>
      <c r="F122" s="485" t="s">
        <v>3615</v>
      </c>
      <c r="G122" s="485" t="s">
        <v>3616</v>
      </c>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1915</v>
      </c>
      <c r="C124" s="3113" t="s">
        <v>3617</v>
      </c>
      <c r="D124" s="485" t="s">
        <v>3426</v>
      </c>
      <c r="E124" s="513" t="s">
        <v>3437</v>
      </c>
      <c r="F124" s="513" t="s">
        <v>3441</v>
      </c>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14"/>
      <c r="O125" s="2514"/>
      <c r="P125" s="2512"/>
      <c r="Q125" s="2500"/>
      <c r="R125" s="2479"/>
      <c r="S125" s="2479"/>
      <c r="T125" s="2479"/>
      <c r="U125" s="2479"/>
      <c r="V125" s="2479"/>
      <c r="W125" s="2479"/>
      <c r="X125" s="2479"/>
      <c r="Y125" s="2479"/>
      <c r="Z125" s="2479"/>
      <c r="AA125" s="2479"/>
      <c r="AB125" s="2479"/>
      <c r="AC125" s="2479"/>
    </row>
    <row r="126" spans="1:29" ht="15"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5.75"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5"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5.75"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5"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5.75"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2" priority="13"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F7:F45 H7:H45 J7:J45">
    <cfRule type="cellIs" dxfId="129" priority="1" operator="notEqual">
      <formula>100</formula>
    </cfRule>
  </conditionalFormatting>
  <conditionalFormatting sqref="F47">
    <cfRule type="expression" dxfId="128" priority="4">
      <formula>$D$47="简单平均"</formula>
    </cfRule>
  </conditionalFormatting>
  <conditionalFormatting sqref="F51:F53 H51:H53 J51:J53">
    <cfRule type="containsText" dxfId="127" priority="14" stopIfTrue="1" operator="containsText" text="超过">
      <formula>NOT(ISERROR(SEARCH("超过",F51)))</formula>
    </cfRule>
  </conditionalFormatting>
  <conditionalFormatting sqref="G51">
    <cfRule type="expression" dxfId="126" priority="9" stopIfTrue="1">
      <formula>$H$53+$H$51="超过30%"</formula>
    </cfRule>
  </conditionalFormatting>
  <conditionalFormatting sqref="G52">
    <cfRule type="expression" dxfId="125" priority="8" stopIfTrue="1">
      <formula>$H$52="超过20%"</formula>
    </cfRule>
  </conditionalFormatting>
  <conditionalFormatting sqref="G53">
    <cfRule type="expression" dxfId="124" priority="12" stopIfTrue="1">
      <formula>$H$53="超过30%"</formula>
    </cfRule>
  </conditionalFormatting>
  <conditionalFormatting sqref="H47">
    <cfRule type="expression" dxfId="123" priority="3">
      <formula>$D$47="简单平均"</formula>
    </cfRule>
  </conditionalFormatting>
  <conditionalFormatting sqref="I51">
    <cfRule type="expression" dxfId="122" priority="7" stopIfTrue="1">
      <formula>$J$51="超过30%"</formula>
    </cfRule>
  </conditionalFormatting>
  <conditionalFormatting sqref="I52">
    <cfRule type="expression" dxfId="121" priority="6" stopIfTrue="1">
      <formula>$J$52="超过20%"</formula>
    </cfRule>
  </conditionalFormatting>
  <conditionalFormatting sqref="I53">
    <cfRule type="expression" dxfId="120" priority="5" stopIfTrue="1">
      <formula>$J$53="超过30%"</formula>
    </cfRule>
  </conditionalFormatting>
  <conditionalFormatting sqref="J47">
    <cfRule type="expression" dxfId="119"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I4"/>
  <sheetViews>
    <sheetView workbookViewId="0">
      <selection activeCell="Q19" sqref="Q19"/>
    </sheetView>
  </sheetViews>
  <sheetFormatPr defaultColWidth="9" defaultRowHeight="12.75"/>
  <cols>
    <col min="1" max="1" width="9" style="3165"/>
    <col min="2" max="8" width="0" style="3165" hidden="1" customWidth="1"/>
    <col min="9" max="10" width="9.125" style="3165" bestFit="1" customWidth="1"/>
    <col min="11" max="14" width="0" style="3165" hidden="1" customWidth="1"/>
    <col min="15" max="18" width="9" style="3165"/>
    <col min="19" max="19" width="9.125" style="3165" bestFit="1" customWidth="1"/>
    <col min="20" max="20" width="9.125" style="3165" hidden="1" customWidth="1"/>
    <col min="21" max="29" width="0" style="3165" hidden="1" customWidth="1"/>
    <col min="30" max="32" width="11.625" style="3165" hidden="1" customWidth="1"/>
    <col min="33" max="33" width="11.625" style="3165" bestFit="1" customWidth="1"/>
    <col min="34" max="36" width="9" style="3165"/>
    <col min="37" max="39" width="0" style="3165" hidden="1" customWidth="1"/>
    <col min="40" max="41" width="9.125" style="3165" hidden="1" customWidth="1"/>
    <col min="42" max="42" width="0" style="3165" hidden="1" customWidth="1"/>
    <col min="43" max="43" width="9.125" style="3165" bestFit="1" customWidth="1"/>
    <col min="44" max="48" width="9.125" style="3165" hidden="1" customWidth="1"/>
    <col min="49" max="49" width="9.125" style="3165" bestFit="1" customWidth="1"/>
    <col min="50" max="51" width="0" style="3165" hidden="1" customWidth="1"/>
    <col min="52" max="52" width="9.125" style="3165" bestFit="1" customWidth="1"/>
    <col min="53" max="54" width="9" style="3165"/>
    <col min="55" max="55" width="9.125" style="3165" bestFit="1" customWidth="1"/>
    <col min="56" max="16384" width="9" style="3165"/>
  </cols>
  <sheetData>
    <row r="1" spans="1:61" s="3163" customFormat="1" ht="15">
      <c r="A1" s="3163" t="s">
        <v>3493</v>
      </c>
      <c r="B1" s="3163" t="s">
        <v>3494</v>
      </c>
      <c r="C1" s="3163" t="s">
        <v>3495</v>
      </c>
      <c r="D1" s="3163" t="s">
        <v>3496</v>
      </c>
      <c r="E1" s="3163" t="s">
        <v>3497</v>
      </c>
      <c r="F1" s="3163" t="s">
        <v>3498</v>
      </c>
      <c r="G1" s="3163" t="s">
        <v>3499</v>
      </c>
      <c r="H1" s="3163" t="s">
        <v>3500</v>
      </c>
      <c r="I1" s="3163" t="s">
        <v>3501</v>
      </c>
      <c r="J1" s="3163" t="s">
        <v>3502</v>
      </c>
      <c r="K1" s="3163" t="s">
        <v>3503</v>
      </c>
      <c r="L1" s="3163" t="s">
        <v>3504</v>
      </c>
      <c r="M1" s="3163" t="s">
        <v>3505</v>
      </c>
      <c r="N1" s="3163" t="s">
        <v>3506</v>
      </c>
      <c r="O1" s="3163" t="s">
        <v>3507</v>
      </c>
      <c r="P1" s="3163" t="s">
        <v>3508</v>
      </c>
      <c r="Q1" s="3163" t="s">
        <v>3509</v>
      </c>
      <c r="R1" s="3163" t="s">
        <v>3510</v>
      </c>
      <c r="S1" s="3163" t="s">
        <v>3511</v>
      </c>
      <c r="T1" s="3163" t="s">
        <v>3512</v>
      </c>
      <c r="U1" s="3163" t="s">
        <v>3513</v>
      </c>
      <c r="V1" s="3163" t="s">
        <v>3514</v>
      </c>
      <c r="W1" s="3163" t="s">
        <v>3515</v>
      </c>
      <c r="X1" s="3163" t="s">
        <v>3516</v>
      </c>
      <c r="Y1" s="3163" t="s">
        <v>3517</v>
      </c>
      <c r="Z1" s="3163" t="s">
        <v>3518</v>
      </c>
      <c r="AA1" s="3163" t="s">
        <v>3519</v>
      </c>
      <c r="AB1" s="3163" t="s">
        <v>3520</v>
      </c>
      <c r="AC1" s="3163" t="s">
        <v>3521</v>
      </c>
      <c r="AD1" s="3163" t="s">
        <v>3522</v>
      </c>
      <c r="AE1" s="3163" t="s">
        <v>3523</v>
      </c>
      <c r="AF1" s="3163" t="s">
        <v>3524</v>
      </c>
      <c r="AG1" s="3163" t="s">
        <v>3525</v>
      </c>
      <c r="AH1" s="3163" t="s">
        <v>3526</v>
      </c>
      <c r="AI1" s="3163" t="s">
        <v>3527</v>
      </c>
      <c r="AJ1" s="3163" t="s">
        <v>3528</v>
      </c>
      <c r="AK1" s="3163" t="s">
        <v>3529</v>
      </c>
      <c r="AL1" s="3163" t="s">
        <v>3530</v>
      </c>
      <c r="AM1" s="3163" t="s">
        <v>3531</v>
      </c>
      <c r="AN1" s="3163" t="s">
        <v>3532</v>
      </c>
      <c r="AO1" s="3163" t="s">
        <v>3533</v>
      </c>
      <c r="AP1" s="3163" t="s">
        <v>3534</v>
      </c>
      <c r="AQ1" s="3163" t="s">
        <v>3535</v>
      </c>
      <c r="AR1" s="3163" t="s">
        <v>3536</v>
      </c>
      <c r="AS1" s="3163" t="s">
        <v>3537</v>
      </c>
      <c r="AT1" s="3163" t="s">
        <v>3538</v>
      </c>
      <c r="AU1" s="3163" t="s">
        <v>3539</v>
      </c>
      <c r="AV1" s="3163" t="s">
        <v>3540</v>
      </c>
      <c r="AW1" s="3163" t="s">
        <v>3541</v>
      </c>
      <c r="AX1" s="3163" t="s">
        <v>3542</v>
      </c>
      <c r="AY1" s="3163" t="s">
        <v>3543</v>
      </c>
      <c r="AZ1" s="3163" t="s">
        <v>3544</v>
      </c>
      <c r="BA1" s="3163" t="s">
        <v>3545</v>
      </c>
      <c r="BB1" s="3163" t="s">
        <v>3546</v>
      </c>
      <c r="BC1" s="3163" t="s">
        <v>3547</v>
      </c>
      <c r="BD1" s="3163" t="s">
        <v>3548</v>
      </c>
      <c r="BE1" s="3163" t="s">
        <v>3549</v>
      </c>
      <c r="BF1" s="3163" t="s">
        <v>3550</v>
      </c>
      <c r="BG1" s="3163" t="s">
        <v>3551</v>
      </c>
      <c r="BH1" s="3163" t="s">
        <v>3552</v>
      </c>
      <c r="BI1" s="3163" t="s">
        <v>3553</v>
      </c>
    </row>
    <row r="2" spans="1:61" s="3163" customFormat="1" ht="15">
      <c r="A2" s="3163" t="s">
        <v>3554</v>
      </c>
      <c r="B2" s="3163" t="s">
        <v>3555</v>
      </c>
      <c r="C2" s="3163" t="s">
        <v>3556</v>
      </c>
      <c r="D2" s="3163" t="s">
        <v>3557</v>
      </c>
      <c r="E2" s="3163" t="s">
        <v>3558</v>
      </c>
      <c r="F2" s="3163" t="s">
        <v>3559</v>
      </c>
      <c r="G2" s="3163" t="s">
        <v>3560</v>
      </c>
      <c r="H2" s="3163" t="s">
        <v>3561</v>
      </c>
      <c r="I2" s="3163">
        <v>7467</v>
      </c>
      <c r="J2" s="3163">
        <v>52000</v>
      </c>
      <c r="K2" s="3163" t="s">
        <v>3562</v>
      </c>
      <c r="L2" s="3163" t="s">
        <v>3562</v>
      </c>
      <c r="M2" s="3163">
        <v>0</v>
      </c>
      <c r="N2" s="3163">
        <v>0</v>
      </c>
      <c r="O2" s="3163" t="s">
        <v>3563</v>
      </c>
      <c r="P2" s="3163" t="s">
        <v>3564</v>
      </c>
      <c r="Q2" s="3163" t="s">
        <v>3565</v>
      </c>
      <c r="R2" s="3163" t="s">
        <v>3566</v>
      </c>
      <c r="S2" s="3163" t="s">
        <v>3567</v>
      </c>
      <c r="T2" s="3163">
        <v>7</v>
      </c>
      <c r="U2" s="3163" t="s">
        <v>3562</v>
      </c>
      <c r="V2" s="3163" t="s">
        <v>3562</v>
      </c>
      <c r="W2" s="3163">
        <v>90</v>
      </c>
      <c r="X2" s="3163" t="s">
        <v>3568</v>
      </c>
      <c r="Y2" s="3163" t="s">
        <v>3569</v>
      </c>
      <c r="Z2" s="3163" t="s">
        <v>3562</v>
      </c>
      <c r="AA2" s="3163" t="s">
        <v>3562</v>
      </c>
      <c r="AB2" s="3163" t="s">
        <v>3562</v>
      </c>
      <c r="AC2" s="3163" t="s">
        <v>3562</v>
      </c>
      <c r="AD2" s="3164">
        <v>45254.000497685185</v>
      </c>
      <c r="AE2" s="3164">
        <v>45274.000497685185</v>
      </c>
      <c r="AF2" s="3164">
        <v>45288.000497685185</v>
      </c>
      <c r="AG2" s="3164">
        <v>45288.000497685185</v>
      </c>
      <c r="AH2" s="3163" t="s">
        <v>3570</v>
      </c>
      <c r="AI2" s="3163" t="s">
        <v>3571</v>
      </c>
      <c r="AJ2" s="3163" t="s">
        <v>3572</v>
      </c>
      <c r="AK2" s="3163" t="s">
        <v>3573</v>
      </c>
      <c r="AL2" s="3163" t="s">
        <v>3574</v>
      </c>
      <c r="AM2" s="3163" t="s">
        <v>3562</v>
      </c>
      <c r="AN2" s="3163">
        <v>118000</v>
      </c>
      <c r="AO2" s="3163">
        <v>24000</v>
      </c>
      <c r="AP2" s="3163" t="s">
        <v>3575</v>
      </c>
      <c r="AQ2" s="3163">
        <v>118000</v>
      </c>
      <c r="AR2" s="3163">
        <v>158028.66</v>
      </c>
      <c r="AS2" s="3163">
        <v>158028.66</v>
      </c>
      <c r="AT2" s="3163">
        <v>10535.24</v>
      </c>
      <c r="AU2" s="3163">
        <v>10535.24</v>
      </c>
      <c r="AV2" s="3163">
        <v>22692</v>
      </c>
      <c r="AW2" s="3163">
        <v>22692</v>
      </c>
      <c r="AX2" s="3163" t="s">
        <v>3562</v>
      </c>
      <c r="AY2" s="3163" t="s">
        <v>3562</v>
      </c>
      <c r="AZ2" s="3163">
        <v>0</v>
      </c>
      <c r="BA2" s="3163" t="s">
        <v>3562</v>
      </c>
      <c r="BB2" s="3163" t="s">
        <v>3562</v>
      </c>
      <c r="BC2" s="3163" t="s">
        <v>3562</v>
      </c>
      <c r="BD2" s="3163" t="s">
        <v>3562</v>
      </c>
      <c r="BE2" s="3163" t="s">
        <v>3562</v>
      </c>
      <c r="BF2" s="3163" t="s">
        <v>3562</v>
      </c>
      <c r="BG2" s="3163" t="s">
        <v>3562</v>
      </c>
      <c r="BH2" s="3163" t="s">
        <v>3576</v>
      </c>
      <c r="BI2" s="3163" t="s">
        <v>3577</v>
      </c>
    </row>
    <row r="3" spans="1:61" s="3163" customFormat="1" ht="15">
      <c r="A3" s="3163" t="s">
        <v>3578</v>
      </c>
      <c r="B3" s="3163" t="s">
        <v>3555</v>
      </c>
      <c r="C3" s="3163" t="s">
        <v>3556</v>
      </c>
      <c r="D3" s="3163" t="s">
        <v>3557</v>
      </c>
      <c r="E3" s="3163" t="s">
        <v>3558</v>
      </c>
      <c r="F3" s="3163" t="s">
        <v>3579</v>
      </c>
      <c r="G3" s="3163" t="s">
        <v>3580</v>
      </c>
      <c r="H3" s="3163" t="s">
        <v>3561</v>
      </c>
      <c r="I3" s="3163">
        <v>67829.210000000006</v>
      </c>
      <c r="J3" s="3163">
        <v>298100</v>
      </c>
      <c r="K3" s="3163" t="s">
        <v>3562</v>
      </c>
      <c r="L3" s="3163" t="s">
        <v>3562</v>
      </c>
      <c r="M3" s="3163">
        <v>0</v>
      </c>
      <c r="N3" s="3163">
        <v>0</v>
      </c>
      <c r="O3" s="3163" t="s">
        <v>3563</v>
      </c>
      <c r="P3" s="3163" t="s">
        <v>3581</v>
      </c>
      <c r="Q3" s="3163" t="s">
        <v>3582</v>
      </c>
      <c r="R3" s="3163" t="s">
        <v>3583</v>
      </c>
      <c r="S3" s="3163">
        <v>4.4000000000000004</v>
      </c>
      <c r="T3" s="3163">
        <v>4.4000000000000004</v>
      </c>
      <c r="U3" s="3163" t="s">
        <v>3562</v>
      </c>
      <c r="V3" s="3163" t="s">
        <v>3562</v>
      </c>
      <c r="W3" s="3163" t="s">
        <v>3562</v>
      </c>
      <c r="X3" s="3163" t="s">
        <v>3568</v>
      </c>
      <c r="Y3" s="3163" t="s">
        <v>3569</v>
      </c>
      <c r="Z3" s="3163" t="s">
        <v>3562</v>
      </c>
      <c r="AA3" s="3163" t="s">
        <v>3562</v>
      </c>
      <c r="AB3" s="3163" t="s">
        <v>3562</v>
      </c>
      <c r="AC3" s="3163" t="s">
        <v>3562</v>
      </c>
      <c r="AD3" s="3164">
        <v>45056.000497685185</v>
      </c>
      <c r="AE3" s="3164">
        <v>45076.000497685185</v>
      </c>
      <c r="AF3" s="3164">
        <v>45090.000497685185</v>
      </c>
      <c r="AG3" s="3164">
        <v>45090.000497685185</v>
      </c>
      <c r="AH3" s="3163" t="s">
        <v>3570</v>
      </c>
      <c r="AI3" s="3163" t="s">
        <v>3571</v>
      </c>
      <c r="AJ3" s="3163" t="s">
        <v>3584</v>
      </c>
      <c r="AK3" s="3163" t="s">
        <v>3585</v>
      </c>
      <c r="AL3" s="3163" t="s">
        <v>3586</v>
      </c>
      <c r="AM3" s="3163" t="s">
        <v>3587</v>
      </c>
      <c r="AN3" s="3163">
        <v>680000</v>
      </c>
      <c r="AO3" s="3163">
        <v>136000</v>
      </c>
      <c r="AP3" s="3163" t="s">
        <v>3588</v>
      </c>
      <c r="AQ3" s="3163">
        <v>680000</v>
      </c>
      <c r="AR3" s="3163">
        <v>100251.8</v>
      </c>
      <c r="AS3" s="3163">
        <v>100251.8</v>
      </c>
      <c r="AT3" s="3163">
        <v>6683.45</v>
      </c>
      <c r="AU3" s="3163">
        <v>6683.45</v>
      </c>
      <c r="AV3" s="3163">
        <v>22811</v>
      </c>
      <c r="AW3" s="3163">
        <v>22811</v>
      </c>
      <c r="AX3" s="3163" t="s">
        <v>3562</v>
      </c>
      <c r="AY3" s="3163" t="s">
        <v>3562</v>
      </c>
      <c r="AZ3" s="3163">
        <v>0</v>
      </c>
      <c r="BA3" s="3163" t="s">
        <v>3562</v>
      </c>
      <c r="BB3" s="3163" t="s">
        <v>3562</v>
      </c>
      <c r="BC3" s="3163" t="s">
        <v>3562</v>
      </c>
      <c r="BD3" s="3163" t="s">
        <v>3562</v>
      </c>
      <c r="BE3" s="3163" t="s">
        <v>3562</v>
      </c>
      <c r="BF3" s="3163" t="s">
        <v>3562</v>
      </c>
      <c r="BG3" s="3163" t="s">
        <v>3562</v>
      </c>
      <c r="BH3" s="3163" t="s">
        <v>3576</v>
      </c>
      <c r="BI3" s="3163" t="s">
        <v>3577</v>
      </c>
    </row>
    <row r="4" spans="1:61" s="3163" customFormat="1" ht="15">
      <c r="A4" s="3163" t="s">
        <v>3589</v>
      </c>
      <c r="B4" s="3163" t="s">
        <v>3555</v>
      </c>
      <c r="C4" s="3163" t="s">
        <v>3556</v>
      </c>
      <c r="D4" s="3163" t="s">
        <v>3557</v>
      </c>
      <c r="E4" s="3163" t="s">
        <v>3558</v>
      </c>
      <c r="F4" s="3163" t="s">
        <v>3590</v>
      </c>
      <c r="G4" s="3163" t="s">
        <v>3591</v>
      </c>
      <c r="H4" s="3163" t="s">
        <v>3561</v>
      </c>
      <c r="I4" s="3163">
        <v>12629.88</v>
      </c>
      <c r="J4" s="3163">
        <v>80000</v>
      </c>
      <c r="K4" s="3163" t="s">
        <v>3562</v>
      </c>
      <c r="L4" s="3163" t="s">
        <v>3562</v>
      </c>
      <c r="M4" s="3163">
        <v>0</v>
      </c>
      <c r="N4" s="3163">
        <v>0</v>
      </c>
      <c r="O4" s="3163" t="s">
        <v>3563</v>
      </c>
      <c r="P4" s="3163" t="s">
        <v>3564</v>
      </c>
      <c r="Q4" s="3163" t="s">
        <v>3592</v>
      </c>
      <c r="R4" s="3163" t="s">
        <v>3583</v>
      </c>
      <c r="S4" s="3163" t="s">
        <v>3593</v>
      </c>
      <c r="T4" s="3163">
        <v>6.33</v>
      </c>
      <c r="U4" s="3163" t="s">
        <v>3562</v>
      </c>
      <c r="V4" s="3163">
        <v>0.4</v>
      </c>
      <c r="W4" s="3163" t="s">
        <v>3562</v>
      </c>
      <c r="X4" s="3163" t="s">
        <v>3568</v>
      </c>
      <c r="Y4" s="3163" t="s">
        <v>3569</v>
      </c>
      <c r="Z4" s="3163" t="s">
        <v>3562</v>
      </c>
      <c r="AA4" s="3163" t="s">
        <v>3562</v>
      </c>
      <c r="AB4" s="3163" t="s">
        <v>3562</v>
      </c>
      <c r="AC4" s="3163" t="s">
        <v>3562</v>
      </c>
      <c r="AD4" s="3164">
        <v>44764.000497685185</v>
      </c>
      <c r="AE4" s="3164">
        <v>44784.000497685185</v>
      </c>
      <c r="AF4" s="3164">
        <v>44798.000497685185</v>
      </c>
      <c r="AG4" s="3164">
        <v>44798.000497685185</v>
      </c>
      <c r="AH4" s="3163" t="s">
        <v>3570</v>
      </c>
      <c r="AI4" s="3163" t="s">
        <v>3571</v>
      </c>
      <c r="AJ4" s="3163" t="s">
        <v>3594</v>
      </c>
      <c r="AK4" s="3163" t="s">
        <v>3595</v>
      </c>
      <c r="AL4" s="3163" t="s">
        <v>3596</v>
      </c>
      <c r="AM4" s="3163" t="s">
        <v>3597</v>
      </c>
      <c r="AN4" s="3163">
        <v>166000</v>
      </c>
      <c r="AO4" s="3163">
        <v>34000</v>
      </c>
      <c r="AP4" s="3163" t="s">
        <v>3598</v>
      </c>
      <c r="AQ4" s="3163">
        <v>166000</v>
      </c>
      <c r="AR4" s="3163">
        <v>131434.34</v>
      </c>
      <c r="AS4" s="3163">
        <v>131434.34</v>
      </c>
      <c r="AT4" s="3163">
        <v>8762.2900000000009</v>
      </c>
      <c r="AU4" s="3163">
        <v>8762.2900000000009</v>
      </c>
      <c r="AV4" s="3163">
        <v>20750</v>
      </c>
      <c r="AW4" s="3163">
        <v>20750</v>
      </c>
      <c r="AX4" s="3163" t="s">
        <v>3562</v>
      </c>
      <c r="AY4" s="3163" t="s">
        <v>3562</v>
      </c>
      <c r="AZ4" s="3163">
        <v>0</v>
      </c>
      <c r="BA4" s="3163" t="s">
        <v>3562</v>
      </c>
      <c r="BB4" s="3163" t="s">
        <v>3562</v>
      </c>
      <c r="BC4" s="3163">
        <v>0</v>
      </c>
      <c r="BD4" s="3163" t="s">
        <v>3562</v>
      </c>
      <c r="BE4" s="3163" t="s">
        <v>3562</v>
      </c>
      <c r="BF4" s="3163" t="s">
        <v>3562</v>
      </c>
      <c r="BG4" s="3163" t="s">
        <v>3562</v>
      </c>
      <c r="BH4" s="3163" t="s">
        <v>3576</v>
      </c>
      <c r="BI4" s="3163" t="s">
        <v>3577</v>
      </c>
    </row>
  </sheetData>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0"/>
      <c r="C1" s="190"/>
      <c r="D1" s="190"/>
      <c r="E1" s="190"/>
      <c r="F1" s="190"/>
      <c r="G1" s="1059">
        <f>MATCH(B1,'数据-取费表'!A6:A16,0)+5</f>
        <v>9</v>
      </c>
    </row>
    <row r="2" spans="1:9" s="192" customFormat="1" ht="18" customHeight="1">
      <c r="A2" s="193" t="s">
        <v>1461</v>
      </c>
      <c r="B2" s="194">
        <f ca="1">IF(D2="——",C52,C52-E2)</f>
        <v>293564</v>
      </c>
      <c r="C2" s="191" t="s">
        <v>1462</v>
      </c>
      <c r="D2" s="1707" t="s">
        <v>43</v>
      </c>
      <c r="E2" s="1086" t="e">
        <f ca="1">SUMIF(INDIRECT("'"&amp;G2&amp;"'"&amp;"!A:A"),"承租人权益价值",INDIRECT("'"&amp;G2&amp;"'"&amp;"!c:c"))</f>
        <v>#REF!</v>
      </c>
      <c r="F2" s="1708" t="s">
        <v>1462</v>
      </c>
      <c r="G2" s="1709"/>
    </row>
    <row r="3" spans="1:9" s="192" customFormat="1" ht="18" customHeight="1" thickBot="1">
      <c r="A3" s="195" t="s">
        <v>1463</v>
      </c>
      <c r="B3" s="196">
        <f ca="1">ROUND(B2*10000/(IF(B1="",'数据-汇总表'!E3,INDIRECT("'数据-取费表'!k"&amp;$G$1))),0)</f>
        <v>26991</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149188</v>
      </c>
      <c r="D5" s="203" t="s">
        <v>1468</v>
      </c>
      <c r="E5" s="204" t="s">
        <v>1469</v>
      </c>
      <c r="F5" s="204" t="s">
        <v>1470</v>
      </c>
      <c r="G5" s="205"/>
    </row>
    <row r="6" spans="1:9" s="206" customFormat="1" ht="13.5" customHeight="1">
      <c r="A6" s="729" t="s">
        <v>1471</v>
      </c>
      <c r="B6" s="207" t="s">
        <v>1472</v>
      </c>
      <c r="C6" s="208">
        <f>'土地比较法-住宅、综合'!F65</f>
        <v>142662</v>
      </c>
      <c r="D6" s="209"/>
      <c r="E6" s="210"/>
      <c r="F6" s="210"/>
      <c r="G6" s="211"/>
    </row>
    <row r="7" spans="1:9" s="206" customFormat="1" ht="13.5" customHeight="1">
      <c r="A7" s="729" t="s">
        <v>1473</v>
      </c>
      <c r="B7" s="207" t="s">
        <v>1474</v>
      </c>
      <c r="C7" s="212">
        <f>ROUND(C6*F7,0)</f>
        <v>4351</v>
      </c>
      <c r="D7" s="212"/>
      <c r="E7" s="210"/>
      <c r="F7" s="213">
        <f>IF(项目基本情况!B8="出让",0,'数据-取费表'!B48+'数据-取费表'!B49)</f>
        <v>3.0499999999999999E-2</v>
      </c>
      <c r="G7" s="211"/>
    </row>
    <row r="8" spans="1:9" s="215" customFormat="1">
      <c r="A8" s="729" t="s">
        <v>1475</v>
      </c>
      <c r="B8" s="207" t="s">
        <v>1476</v>
      </c>
      <c r="C8" s="212">
        <f ca="1">IF(G8="已包含在土地购买价格中","0",IF(B1="",'数据-取费表'!B29,IF(G9="全部缴纳",C9+C10,H9)))</f>
        <v>2175</v>
      </c>
      <c r="D8" s="214"/>
      <c r="E8" s="212"/>
      <c r="F8" s="213"/>
      <c r="G8" s="1710" t="s">
        <v>3412</v>
      </c>
    </row>
    <row r="9" spans="1:9" s="206" customFormat="1" ht="13.5" customHeight="1">
      <c r="A9" s="730" t="s">
        <v>355</v>
      </c>
      <c r="B9" s="216" t="s">
        <v>1477</v>
      </c>
      <c r="C9" s="217">
        <f ca="1">ROUND(D9*E9/10000,0)</f>
        <v>0</v>
      </c>
      <c r="D9" s="792">
        <f ca="1">IF(B1="",'数据-汇总表'!E5,IF(INDIRECT("'数据-取费表'!c"&amp;$G$1)="住宅",INDIRECT("'数据-取费表'!k"&amp;$G$1),0))</f>
        <v>0</v>
      </c>
      <c r="E9" s="217">
        <f>'数据-取费表'!B27</f>
        <v>160</v>
      </c>
      <c r="F9" s="213"/>
      <c r="G9" s="1711" t="s">
        <v>3413</v>
      </c>
      <c r="H9" s="1067"/>
      <c r="I9" s="1712" t="s">
        <v>1478</v>
      </c>
    </row>
    <row r="10" spans="1:9" s="206" customFormat="1" ht="13.5" customHeight="1">
      <c r="A10" s="730" t="s">
        <v>356</v>
      </c>
      <c r="B10" s="216" t="s">
        <v>1479</v>
      </c>
      <c r="C10" s="217">
        <f ca="1">ROUND(D10*E10/10000,0)</f>
        <v>2175</v>
      </c>
      <c r="D10" s="792">
        <f ca="1">IF(B1="",'数据-汇总表'!E6,IF(INDIRECT("'数据-取费表'!c"&amp;$G$1)="住宅",INDIRECT("'数据-取费表'!s"&amp;$G$1),INDIRECT("'数据-取费表'!k"&amp;$G$1)+INDIRECT("'数据-取费表'!s"&amp;$G$1)))</f>
        <v>108765.47999999998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108765.47999999998</v>
      </c>
      <c r="E19" s="203">
        <f>'数据-取费表'!B31</f>
        <v>200</v>
      </c>
      <c r="F19" s="223"/>
      <c r="G19" s="1710" t="s">
        <v>3414</v>
      </c>
    </row>
    <row r="20" spans="1:7" s="206" customFormat="1" ht="13.5" customHeight="1">
      <c r="A20" s="247" t="s">
        <v>1492</v>
      </c>
      <c r="B20" s="202" t="s">
        <v>1493</v>
      </c>
      <c r="C20" s="224">
        <f ca="1">ROUND((C5+C19)*F20,0)</f>
        <v>4476</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38">
        <f ca="1">ROUND(SUM(C23:C25),0)</f>
        <v>11881</v>
      </c>
      <c r="D22" s="227">
        <f ca="1">C26</f>
        <v>1.1999999999999999E-3</v>
      </c>
      <c r="E22" s="228" t="s">
        <v>1497</v>
      </c>
      <c r="F22" s="229">
        <f ca="1">'数据-取费表'!B40</f>
        <v>3.1E-2</v>
      </c>
      <c r="G22" s="226" t="str">
        <f>IF('数据-取费表'!B22&lt;=1,"单利计息","复利计息")</f>
        <v>复利计息</v>
      </c>
    </row>
    <row r="23" spans="1:7" s="206" customFormat="1" ht="13.5" customHeight="1">
      <c r="A23" s="731" t="s">
        <v>1501</v>
      </c>
      <c r="B23" s="207" t="s">
        <v>1502</v>
      </c>
      <c r="C23" s="1039">
        <f ca="1">ROUND(IF('数据-取费表'!B22&lt;=1,C5*F22*'数据-取费表'!B23,C5*(POWER((1+F22),'数据-取费表'!B23)-1)),0)</f>
        <v>11709</v>
      </c>
      <c r="D23" s="230"/>
      <c r="E23" s="230"/>
      <c r="F23" s="231"/>
      <c r="G23" s="232" t="s">
        <v>1503</v>
      </c>
    </row>
    <row r="24" spans="1:7" s="206" customFormat="1" ht="13.5" customHeight="1">
      <c r="A24" s="731" t="s">
        <v>1504</v>
      </c>
      <c r="B24" s="207" t="s">
        <v>1505</v>
      </c>
      <c r="C24" s="1039">
        <f ca="1">ROUND(IF('数据-取费表'!B22&lt;=1,C19*F22*('数据-取费表'!B19/2+'数据-取费表'!B21),C19*(POWER((1+F22),('数据-取费表'!B19/2+'数据-取费表'!B21))-1)),0)</f>
        <v>0</v>
      </c>
      <c r="D24" s="230"/>
      <c r="E24" s="230"/>
      <c r="F24" s="231"/>
      <c r="G24" s="232" t="s">
        <v>1506</v>
      </c>
    </row>
    <row r="25" spans="1:7" s="206" customFormat="1" ht="24">
      <c r="A25" s="731" t="s">
        <v>1507</v>
      </c>
      <c r="B25" s="207" t="s">
        <v>1508</v>
      </c>
      <c r="C25" s="1039">
        <f ca="1">ROUND(IF('数据-取费表'!B22&lt;=1,C20*F22*'数据-取费表'!B23/2,C20*(POWER((1+F22),'数据-取费表'!B23/2)-1)),0)</f>
        <v>172</v>
      </c>
      <c r="D25" s="230"/>
      <c r="E25" s="233"/>
      <c r="F25" s="231"/>
      <c r="G25" s="234" t="s">
        <v>1509</v>
      </c>
    </row>
    <row r="26" spans="1:7" s="206" customFormat="1">
      <c r="A26" s="731" t="s">
        <v>350</v>
      </c>
      <c r="B26" s="207" t="s">
        <v>1510</v>
      </c>
      <c r="C26" s="230">
        <f ca="1">ROUND(IF('数据-取费表'!B22&lt;=1,F21*F22*'数据-取费表'!B23/2,F21*(POWER((1+F22),'数据-取费表'!B23/2)-1)),4)</f>
        <v>1.1999999999999999E-3</v>
      </c>
      <c r="D26" s="230"/>
      <c r="E26" s="233"/>
      <c r="F26" s="231"/>
      <c r="G26" s="235"/>
    </row>
    <row r="27" spans="1:7" s="206" customFormat="1" ht="24.75">
      <c r="A27" s="247" t="s">
        <v>1511</v>
      </c>
      <c r="B27" s="236" t="s">
        <v>1512</v>
      </c>
      <c r="C27" s="237">
        <f ca="1">C28</f>
        <v>22819</v>
      </c>
      <c r="D27" s="227">
        <f ca="1">C29</f>
        <v>4.4999999999999997E-3</v>
      </c>
      <c r="E27" s="228" t="s">
        <v>1513</v>
      </c>
      <c r="F27" s="238">
        <f ca="1">IF(B1="",'数据-取费表'!Q16,INDIRECT("'数据-取费表'!q"&amp;$G$1))</f>
        <v>0.15</v>
      </c>
      <c r="G27" s="239" t="s">
        <v>1514</v>
      </c>
    </row>
    <row r="28" spans="1:7" s="206" customFormat="1" ht="13.5" customHeight="1">
      <c r="A28" s="731" t="s">
        <v>346</v>
      </c>
      <c r="B28" s="240" t="s">
        <v>1515</v>
      </c>
      <c r="C28" s="241">
        <f ca="1">ROUND((C5+C19+C20)*F27*'数据-取费表'!B21/'数据-取费表'!B20,0)</f>
        <v>22819</v>
      </c>
      <c r="D28" s="227"/>
      <c r="E28" s="228"/>
      <c r="F28" s="238"/>
      <c r="G28" s="239"/>
    </row>
    <row r="29" spans="1:7" s="206" customFormat="1" ht="13.5" customHeight="1">
      <c r="A29" s="731" t="s">
        <v>347</v>
      </c>
      <c r="B29" s="240" t="s">
        <v>1516</v>
      </c>
      <c r="C29" s="230">
        <f ca="1">ROUND(C21*F27*'数据-取费表'!B21/'数据-取费表'!B20,4)</f>
        <v>4.4999999999999997E-3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206766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64593</v>
      </c>
      <c r="D33" s="224"/>
      <c r="E33" s="204"/>
      <c r="F33" s="233"/>
      <c r="G33" s="226"/>
    </row>
    <row r="34" spans="1:7" s="250" customFormat="1" ht="13.5" customHeight="1">
      <c r="A34" s="731" t="s">
        <v>346</v>
      </c>
      <c r="B34" s="207" t="s">
        <v>1524</v>
      </c>
      <c r="C34" s="212">
        <f ca="1">IF(B1="",IF(F34=100%,'数据-取费表'!M16,'数据-取费表'!O16),IF(F34=100%,INDIRECT("'数据-取费表'!m"&amp;$G$1)+INDIRECT("'数据-取费表'!t"&amp;$G$1),INDIRECT("'数据-取费表'!o"&amp;$G$1)+INDIRECT("'数据-取费表'!aq"&amp;$G$1)))</f>
        <v>57814</v>
      </c>
      <c r="D34" s="209"/>
      <c r="E34" s="212"/>
      <c r="F34" s="249">
        <f ca="1">IF('数据-取费表'!B24=0,1,IF(B1="",'数据-取费表'!N16,INDIRECT("'数据-取费表'!n"&amp;$G$1)))</f>
        <v>0.99</v>
      </c>
      <c r="G34" s="211" t="s">
        <v>1525</v>
      </c>
    </row>
    <row r="35" spans="1:7" ht="13.5" customHeight="1">
      <c r="A35" s="731" t="s">
        <v>351</v>
      </c>
      <c r="B35" s="207" t="s">
        <v>1526</v>
      </c>
      <c r="C35" s="212">
        <f ca="1">ROUND(C34*F35,0)</f>
        <v>2891</v>
      </c>
      <c r="D35" s="212"/>
      <c r="E35" s="212"/>
      <c r="F35" s="251">
        <f>'数据-取费表'!B33</f>
        <v>0.05</v>
      </c>
      <c r="G35" s="211" t="s">
        <v>1527</v>
      </c>
    </row>
    <row r="36" spans="1:7" ht="24">
      <c r="A36" s="731"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1" t="s">
        <v>353</v>
      </c>
      <c r="B37" s="207" t="s">
        <v>1530</v>
      </c>
      <c r="C37" s="241">
        <f ca="1">ROUND(E37*D37*F34/10000,0)</f>
        <v>2154</v>
      </c>
      <c r="D37" s="209">
        <f ca="1">D19</f>
        <v>108765.47999999998</v>
      </c>
      <c r="E37" s="241">
        <f>'数据-取费表'!B35</f>
        <v>200</v>
      </c>
      <c r="F37" s="251"/>
      <c r="G37" s="253" t="s">
        <v>1531</v>
      </c>
    </row>
    <row r="38" spans="1:7" ht="13.5" customHeight="1">
      <c r="A38" s="731" t="s">
        <v>354</v>
      </c>
      <c r="B38" s="207" t="s">
        <v>1532</v>
      </c>
      <c r="C38" s="212">
        <f ca="1">ROUND(C34*F38,0)</f>
        <v>1734</v>
      </c>
      <c r="D38" s="212"/>
      <c r="E38" s="212"/>
      <c r="F38" s="251">
        <f>'数据-取费表'!B36</f>
        <v>0.03</v>
      </c>
      <c r="G38" s="211" t="s">
        <v>1527</v>
      </c>
    </row>
    <row r="39" spans="1:7" s="206" customFormat="1" ht="13.5" customHeight="1">
      <c r="A39" s="247" t="s">
        <v>1533</v>
      </c>
      <c r="B39" s="202" t="s">
        <v>1534</v>
      </c>
      <c r="C39" s="224">
        <f ca="1">ROUND(C33*F20,0)</f>
        <v>1938</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2562</v>
      </c>
      <c r="D41" s="227">
        <f ca="1">C44</f>
        <v>1.1999999999999999E-3</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ROUND(IF('数据-取费表'!B22&lt;=1,C33*F22*'数据-取费表'!B21/2,C33*(POWER((1+F22),'数据-取费表'!B21/2)-1)),0)</f>
        <v>2487</v>
      </c>
      <c r="D42" s="230"/>
      <c r="E42" s="230"/>
      <c r="F42" s="231"/>
      <c r="G42" s="3440" t="s">
        <v>1543</v>
      </c>
    </row>
    <row r="43" spans="1:7" ht="13.5" customHeight="1">
      <c r="A43" s="731" t="s">
        <v>347</v>
      </c>
      <c r="B43" s="207" t="s">
        <v>1544</v>
      </c>
      <c r="C43" s="230">
        <f ca="1">ROUND(IF('数据-取费表'!B22&lt;=1,C39*F22*'数据-取费表'!B21/2,C39*(POWER((1+F22),'数据-取费表'!B21/2)-1)),0)</f>
        <v>75</v>
      </c>
      <c r="D43" s="230"/>
      <c r="E43" s="230"/>
      <c r="F43" s="231"/>
      <c r="G43" s="3441"/>
    </row>
    <row r="44" spans="1:7" ht="13.5" customHeight="1">
      <c r="A44" s="731" t="s">
        <v>348</v>
      </c>
      <c r="B44" s="207" t="s">
        <v>1545</v>
      </c>
      <c r="C44" s="230">
        <f ca="1">ROUND(IF('数据-取费表'!B22&lt;=1,C40*F22*'数据-取费表'!B21/2,C40*(POWER((1+F22),'数据-取费表'!B21/2)-1)),4)</f>
        <v>1.1999999999999999E-3</v>
      </c>
      <c r="D44" s="230"/>
      <c r="E44" s="230"/>
      <c r="F44" s="231"/>
      <c r="G44" s="3442"/>
    </row>
    <row r="45" spans="1:7" s="206" customFormat="1" ht="13.5" customHeight="1">
      <c r="A45" s="247" t="s">
        <v>1546</v>
      </c>
      <c r="B45" s="236" t="s">
        <v>1512</v>
      </c>
      <c r="C45" s="237">
        <f ca="1">C46</f>
        <v>9980</v>
      </c>
      <c r="D45" s="227">
        <f ca="1">C47</f>
        <v>4.4999999999999997E-3</v>
      </c>
      <c r="E45" s="228" t="s">
        <v>1538</v>
      </c>
      <c r="F45" s="238">
        <f ca="1">F27</f>
        <v>0.15</v>
      </c>
      <c r="G45" s="239" t="s">
        <v>1547</v>
      </c>
    </row>
    <row r="46" spans="1:7" s="206" customFormat="1" ht="13.5" customHeight="1">
      <c r="A46" s="731" t="s">
        <v>346</v>
      </c>
      <c r="B46" s="240" t="s">
        <v>1548</v>
      </c>
      <c r="C46" s="241">
        <f ca="1">ROUND((C33+C39)*F27,0)</f>
        <v>9980</v>
      </c>
      <c r="D46" s="255"/>
      <c r="E46" s="228"/>
      <c r="F46" s="238"/>
      <c r="G46" s="239"/>
    </row>
    <row r="47" spans="1:7" s="206" customFormat="1" ht="13.5" customHeight="1">
      <c r="A47" s="731" t="s">
        <v>347</v>
      </c>
      <c r="B47" s="240" t="s">
        <v>1549</v>
      </c>
      <c r="C47" s="230">
        <f ca="1">ROUND(C40*F27,4)</f>
        <v>4.4999999999999997E-3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86798</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86798</v>
      </c>
      <c r="D51" s="224"/>
      <c r="E51" s="224"/>
      <c r="F51" s="256"/>
      <c r="G51" s="226" t="s">
        <v>1559</v>
      </c>
    </row>
    <row r="52" spans="1:7" s="200" customFormat="1" ht="16.5" thickBot="1">
      <c r="A52" s="257" t="s">
        <v>1560</v>
      </c>
      <c r="B52" s="258"/>
      <c r="C52" s="259">
        <f ca="1">C31+C51</f>
        <v>293564</v>
      </c>
      <c r="D52" s="258"/>
      <c r="E52" s="258"/>
      <c r="F52" s="258"/>
      <c r="G52" s="260"/>
    </row>
    <row r="55" spans="1:7" ht="15">
      <c r="B55" s="262" t="s">
        <v>1561</v>
      </c>
      <c r="C55" s="263"/>
    </row>
    <row r="56" spans="1:7">
      <c r="B56" s="265" t="s">
        <v>802</v>
      </c>
      <c r="C56" s="267">
        <f ca="1">1-C57</f>
        <v>0.70399999999999996</v>
      </c>
    </row>
    <row r="57" spans="1:7">
      <c r="B57" s="265" t="s">
        <v>803</v>
      </c>
      <c r="C57" s="266">
        <f ca="1">ROUND(C51/C52,3)</f>
        <v>0.29599999999999999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2079</v>
      </c>
      <c r="B1" s="4"/>
      <c r="C1" s="4"/>
      <c r="D1" s="4"/>
      <c r="E1" s="4"/>
      <c r="F1" s="2536"/>
      <c r="G1" s="2536"/>
      <c r="H1" s="2536"/>
      <c r="I1" s="2536"/>
      <c r="J1" s="2536"/>
      <c r="K1" s="2536"/>
      <c r="L1" s="2536"/>
      <c r="M1" s="2536"/>
      <c r="N1" s="2536"/>
      <c r="O1" s="2536"/>
      <c r="P1" s="2536"/>
    </row>
    <row r="2" spans="1:16" ht="15.75">
      <c r="A2" s="1980" t="s">
        <v>2071</v>
      </c>
      <c r="B2" s="2380" t="e">
        <f ca="1">SUMIF(B6:B13,"&lt;&gt;#ref!",B6:B13)</f>
        <v>#VALUE!</v>
      </c>
      <c r="C2" s="1980" t="s">
        <v>2072</v>
      </c>
      <c r="D2" s="1980" t="s">
        <v>2073</v>
      </c>
      <c r="E2" s="2390">
        <f ca="1">SUMIF(E6:E13,"&lt;&gt;#ref!",E6:E13)</f>
        <v>84778.819999999992</v>
      </c>
      <c r="F2" s="2536"/>
      <c r="G2" s="2536"/>
      <c r="H2" s="2536"/>
      <c r="I2" s="2536"/>
      <c r="J2" s="2536"/>
      <c r="K2" s="2536"/>
      <c r="L2" s="2536"/>
      <c r="M2" s="2536"/>
      <c r="N2" s="2536"/>
      <c r="O2" s="2536"/>
      <c r="P2" s="2536"/>
    </row>
    <row r="3" spans="1:16" ht="15.75">
      <c r="A3" s="1980" t="s">
        <v>2074</v>
      </c>
      <c r="B3" s="2380" t="e">
        <f ca="1">ROUND(B2*10000/E2,0)</f>
        <v>#VALUE!</v>
      </c>
      <c r="C3" s="1980" t="s">
        <v>2080</v>
      </c>
      <c r="D3" s="2536"/>
      <c r="E3" s="2536"/>
      <c r="F3" s="2536"/>
      <c r="G3" s="2536"/>
      <c r="H3" s="2536"/>
      <c r="I3" s="2536"/>
      <c r="J3" s="2536"/>
      <c r="K3" s="2536"/>
      <c r="L3" s="2536"/>
      <c r="M3" s="2536"/>
      <c r="N3" s="2536"/>
      <c r="O3" s="2536"/>
      <c r="P3" s="2536"/>
    </row>
    <row r="4" spans="1:16" ht="15.75">
      <c r="A4" s="2548"/>
      <c r="B4" s="2536"/>
      <c r="C4" s="2536"/>
      <c r="D4" s="2536"/>
      <c r="E4" s="2536"/>
      <c r="F4" s="2536"/>
      <c r="G4" s="2536"/>
      <c r="H4" s="2536"/>
      <c r="I4" s="2536"/>
      <c r="J4" s="2536"/>
      <c r="K4" s="2536"/>
      <c r="L4" s="2536"/>
      <c r="M4" s="2536"/>
      <c r="N4" s="2536"/>
      <c r="O4" s="2536"/>
      <c r="P4" s="2536"/>
    </row>
    <row r="5" spans="1:16" ht="28.5">
      <c r="A5" s="2386" t="s">
        <v>2075</v>
      </c>
      <c r="B5" s="2388" t="s">
        <v>2076</v>
      </c>
      <c r="C5" s="1981"/>
      <c r="D5" s="2536"/>
      <c r="E5" s="2389" t="s">
        <v>2077</v>
      </c>
      <c r="F5" s="2536"/>
      <c r="G5" s="2536"/>
      <c r="H5" s="2536"/>
      <c r="I5" s="2536"/>
      <c r="J5" s="2536"/>
      <c r="K5" s="2536"/>
      <c r="L5" s="2536"/>
      <c r="M5" s="2536"/>
      <c r="N5" s="2536"/>
      <c r="O5" s="2536"/>
      <c r="P5" s="2536"/>
    </row>
    <row r="6" spans="1:16" ht="15.75">
      <c r="A6" s="2387" t="s">
        <v>2078</v>
      </c>
      <c r="B6" s="2380" t="e">
        <f ca="1">SUMIF(INDIRECT("'"&amp;A6&amp;"'"&amp;"!A:A"),"总价",INDIRECT("'"&amp;A6&amp;"'"&amp;"!B:B"))</f>
        <v>#VALUE!</v>
      </c>
      <c r="C6" s="1980" t="s">
        <v>2072</v>
      </c>
      <c r="D6" s="2536"/>
      <c r="E6" s="2390">
        <f ca="1">SUMIF(INDIRECT("'"&amp;A6&amp;"'"&amp;"!C:C"),"建筑面积",INDIRECT("'"&amp;A6&amp;"'"&amp;"!D:D"))</f>
        <v>9849.01</v>
      </c>
      <c r="F6" s="2536"/>
      <c r="G6" s="2536"/>
      <c r="H6" s="2536"/>
      <c r="I6" s="2536"/>
      <c r="J6" s="2536"/>
      <c r="K6" s="2536"/>
      <c r="L6" s="2536"/>
      <c r="M6" s="2536"/>
      <c r="N6" s="2536"/>
      <c r="O6" s="2536"/>
      <c r="P6" s="2536"/>
    </row>
    <row r="7" spans="1:16" ht="15.75">
      <c r="A7" s="2387" t="s">
        <v>3410</v>
      </c>
      <c r="B7" s="2380">
        <f ca="1">SUMIF(INDIRECT("'"&amp;A7&amp;"'"&amp;"!A:A"),"总价",INDIRECT("'"&amp;A7&amp;"'"&amp;"!B:B"))</f>
        <v>70954</v>
      </c>
      <c r="C7" s="1980" t="s">
        <v>2072</v>
      </c>
      <c r="D7" s="2536"/>
      <c r="E7" s="2390">
        <f t="shared" ref="E7:E13" ca="1" si="0">SUMIF(INDIRECT("'"&amp;A7&amp;"'"&amp;"!C:C"),"建筑面积",INDIRECT("'"&amp;A7&amp;"'"&amp;"!D:D"))</f>
        <v>74929.81</v>
      </c>
      <c r="F7" s="2536"/>
      <c r="G7" s="2536"/>
      <c r="H7" s="2536"/>
      <c r="I7" s="2536"/>
      <c r="J7" s="2536"/>
      <c r="K7" s="2536"/>
      <c r="L7" s="2536"/>
      <c r="M7" s="2536"/>
      <c r="N7" s="2536"/>
      <c r="O7" s="2536"/>
      <c r="P7" s="2536"/>
    </row>
    <row r="8" spans="1:16" ht="15.75">
      <c r="A8" s="2387"/>
      <c r="B8" s="2380" t="e">
        <f t="shared" ref="B8:B13" ca="1" si="1">SUMIF(INDIRECT("'"&amp;A8&amp;"'"&amp;"!A:A"),"总价",INDIRECT("'"&amp;A8&amp;"'"&amp;"!B:B"))</f>
        <v>#REF!</v>
      </c>
      <c r="C8" s="1980" t="s">
        <v>2072</v>
      </c>
      <c r="D8" s="2536"/>
      <c r="E8" s="2390" t="e">
        <f t="shared" ca="1" si="0"/>
        <v>#REF!</v>
      </c>
      <c r="F8" s="2536"/>
      <c r="G8" s="2536"/>
      <c r="H8" s="2536"/>
      <c r="I8" s="2536"/>
      <c r="J8" s="2536"/>
      <c r="K8" s="2536"/>
      <c r="L8" s="2536"/>
      <c r="M8" s="2536"/>
      <c r="N8" s="2536"/>
      <c r="O8" s="2536"/>
      <c r="P8" s="2536"/>
    </row>
    <row r="9" spans="1:16" ht="15.75">
      <c r="A9" s="2387"/>
      <c r="B9" s="2380" t="e">
        <f t="shared" ca="1" si="1"/>
        <v>#REF!</v>
      </c>
      <c r="C9" s="1980" t="s">
        <v>2072</v>
      </c>
      <c r="D9" s="2536"/>
      <c r="E9" s="2390" t="e">
        <f t="shared" ca="1" si="0"/>
        <v>#REF!</v>
      </c>
      <c r="F9" s="2536"/>
      <c r="G9" s="2536"/>
      <c r="H9" s="2536"/>
      <c r="I9" s="2536"/>
      <c r="J9" s="2536"/>
      <c r="K9" s="2536"/>
      <c r="L9" s="2536"/>
      <c r="M9" s="2536"/>
      <c r="N9" s="2536"/>
      <c r="O9" s="2536"/>
      <c r="P9" s="2536"/>
    </row>
    <row r="10" spans="1:16" ht="15.75">
      <c r="A10" s="2387"/>
      <c r="B10" s="2380" t="e">
        <f t="shared" ca="1" si="1"/>
        <v>#REF!</v>
      </c>
      <c r="C10" s="1980" t="s">
        <v>2072</v>
      </c>
      <c r="D10" s="2536"/>
      <c r="E10" s="2390" t="e">
        <f t="shared" ca="1" si="0"/>
        <v>#REF!</v>
      </c>
      <c r="F10" s="2536"/>
      <c r="G10" s="2536"/>
      <c r="H10" s="2536"/>
      <c r="I10" s="2536"/>
      <c r="J10" s="2536"/>
      <c r="K10" s="2536"/>
      <c r="L10" s="2536"/>
      <c r="M10" s="2536"/>
      <c r="N10" s="2536"/>
      <c r="O10" s="2536"/>
      <c r="P10" s="2536"/>
    </row>
    <row r="11" spans="1:16" ht="15.75">
      <c r="A11" s="2387"/>
      <c r="B11" s="2380" t="e">
        <f t="shared" ca="1" si="1"/>
        <v>#REF!</v>
      </c>
      <c r="C11" s="1980" t="s">
        <v>2072</v>
      </c>
      <c r="D11" s="2536"/>
      <c r="E11" s="2390" t="e">
        <f t="shared" ca="1" si="0"/>
        <v>#REF!</v>
      </c>
      <c r="F11" s="2536"/>
      <c r="G11" s="2536"/>
      <c r="H11" s="2536"/>
      <c r="I11" s="2536"/>
      <c r="J11" s="2536"/>
      <c r="K11" s="2536"/>
      <c r="L11" s="2536"/>
      <c r="M11" s="2536"/>
      <c r="N11" s="2536"/>
      <c r="O11" s="2536"/>
      <c r="P11" s="2536"/>
    </row>
    <row r="12" spans="1:16" ht="15.75">
      <c r="A12" s="2387"/>
      <c r="B12" s="2380" t="e">
        <f t="shared" ca="1" si="1"/>
        <v>#REF!</v>
      </c>
      <c r="C12" s="1980" t="s">
        <v>2072</v>
      </c>
      <c r="D12" s="2536"/>
      <c r="E12" s="2390" t="e">
        <f t="shared" ca="1" si="0"/>
        <v>#REF!</v>
      </c>
      <c r="F12" s="2536"/>
      <c r="G12" s="2536"/>
      <c r="H12" s="2536"/>
      <c r="I12" s="2536"/>
      <c r="J12" s="2536"/>
      <c r="K12" s="2536"/>
      <c r="L12" s="2536"/>
      <c r="M12" s="2536"/>
      <c r="N12" s="2536"/>
      <c r="O12" s="2536"/>
      <c r="P12" s="2536"/>
    </row>
    <row r="13" spans="1:16" ht="15.75">
      <c r="A13" s="2387"/>
      <c r="B13" s="2380" t="e">
        <f t="shared" ca="1" si="1"/>
        <v>#REF!</v>
      </c>
      <c r="C13" s="1980" t="s">
        <v>2072</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5" type="noConversion"/>
  <dataValidations count="1">
    <dataValidation type="list" allowBlank="1" showInputMessage="1" showErrorMessage="1" sqref="A6:A13" xr:uid="{00000000-0002-0000-1700-000000000000}">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zoomScaleSheetLayoutView="100" workbookViewId="0">
      <selection activeCell="E24" sqref="E2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9849.01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t="e">
        <f>C30</f>
        <v>#VALUE!</v>
      </c>
      <c r="C2" s="1842" t="s">
        <v>1933</v>
      </c>
      <c r="D2" s="162" t="s">
        <v>1934</v>
      </c>
      <c r="E2" s="3083" t="s">
        <v>673</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21529</v>
      </c>
      <c r="U2" s="1126">
        <f>面积表!C4+面积表!C12</f>
        <v>3181</v>
      </c>
      <c r="V2" s="3026">
        <f>ROUND(T2*U2/10000,0)</f>
        <v>6848</v>
      </c>
      <c r="W2" s="1129"/>
      <c r="X2" s="1129"/>
      <c r="Y2" s="1129"/>
      <c r="Z2" s="1129"/>
      <c r="AA2" s="1129"/>
      <c r="AB2" s="1129"/>
      <c r="AC2" s="1130"/>
      <c r="AD2" s="1131"/>
      <c r="AE2" s="1131"/>
      <c r="AF2" s="1131"/>
      <c r="AG2" s="1131"/>
      <c r="AH2" s="1131"/>
      <c r="AI2" s="1131"/>
      <c r="AJ2" s="1132"/>
    </row>
    <row r="3" spans="1:36" ht="15.75">
      <c r="A3" s="195" t="s">
        <v>1938</v>
      </c>
      <c r="B3" s="196" t="e">
        <f>ROUND(B2*10000/D1,0)</f>
        <v>#VALUE!</v>
      </c>
      <c r="C3" s="1842" t="s">
        <v>1939</v>
      </c>
      <c r="D3" s="162" t="s">
        <v>1940</v>
      </c>
      <c r="E3" s="3081" t="s">
        <v>2435</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16969</v>
      </c>
      <c r="U3" s="1126">
        <f>面积表!C5+面积表!C13</f>
        <v>2952</v>
      </c>
      <c r="V3" s="3026">
        <f t="shared" ref="V3:V16" si="1">ROUND(T3*U3/10000,0)</f>
        <v>5009</v>
      </c>
      <c r="W3" s="1129"/>
      <c r="X3" s="1129"/>
      <c r="Y3" s="1129"/>
      <c r="Z3" s="1129"/>
      <c r="AA3" s="1129"/>
      <c r="AB3" s="1129"/>
      <c r="AC3" s="1130"/>
      <c r="AD3" s="1131"/>
      <c r="AE3" s="1131"/>
      <c r="AF3" s="1131"/>
      <c r="AG3" s="1131"/>
      <c r="AH3" s="1131"/>
      <c r="AI3" s="1131"/>
      <c r="AJ3" s="1132"/>
    </row>
    <row r="4" spans="1:36" ht="15.75">
      <c r="A4" s="3449"/>
      <c r="B4" s="3450"/>
      <c r="C4" s="3450"/>
      <c r="D4" s="3451"/>
      <c r="E4" s="3451"/>
      <c r="F4" s="3451"/>
      <c r="G4" s="3451"/>
      <c r="H4" s="3451"/>
      <c r="I4" s="3451"/>
      <c r="J4" s="3452"/>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14342</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14600</v>
      </c>
      <c r="D5" s="1248">
        <f>ROUND(C6*C17+C20,0)</f>
        <v>14600</v>
      </c>
      <c r="E5" s="1248"/>
      <c r="F5" s="1847"/>
      <c r="G5" s="1848"/>
      <c r="H5" s="1848"/>
      <c r="I5" s="1848"/>
      <c r="J5" s="1849"/>
      <c r="K5" s="1850"/>
      <c r="L5" s="1843" t="s">
        <v>1946</v>
      </c>
      <c r="M5" s="808">
        <f>SUMPRODUCT((区片价!B87:B126=I2)*(区片价!C3:G3=E2)*(区片价!C87:G126))</f>
        <v>14620</v>
      </c>
      <c r="N5" s="810">
        <f>SUMPRODUCT((因素修正幅度!B87:B126=I2)*(因素修正幅度!C3:G3=E2)*(因素修正幅度!C87:G126))</f>
        <v>0.1</v>
      </c>
      <c r="O5" s="1053"/>
      <c r="P5" s="1053"/>
      <c r="Q5" s="1053"/>
      <c r="R5" s="1125">
        <v>4</v>
      </c>
      <c r="S5" s="3026">
        <f>ROUND(SUMPRODUCT((B106:B110=R5)*(C105:N105=G2)*(C106:N110)),4)</f>
        <v>0.88239999999999996</v>
      </c>
      <c r="T5" s="3026">
        <f t="shared" si="0"/>
        <v>12649</v>
      </c>
      <c r="U5" s="1126">
        <f>面积表!C7+面积表!C15</f>
        <v>8981.82</v>
      </c>
      <c r="V5" s="3026">
        <f t="shared" si="1"/>
        <v>11361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14620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12156</v>
      </c>
      <c r="U6" s="1126">
        <f>面积表!C8+面积表!C16</f>
        <v>8123.52</v>
      </c>
      <c r="V6" s="3026">
        <f t="shared" si="1"/>
        <v>9875</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46" t="s">
        <v>1958</v>
      </c>
      <c r="X8" s="3447"/>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48"/>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48"/>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0.88249999999999995</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53" t="s">
        <v>3250</v>
      </c>
      <c r="B20" s="159" t="s">
        <v>1992</v>
      </c>
      <c r="C20" s="2994">
        <f>ROUND(IF(F21="与级别开发程度一致",0,(G21-E21)/C21),0)</f>
        <v>-20</v>
      </c>
      <c r="D20" s="3009" t="s">
        <v>1996</v>
      </c>
      <c r="E20" s="3010"/>
      <c r="F20" s="3459" t="s">
        <v>1993</v>
      </c>
      <c r="G20" s="3460"/>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54"/>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0.89829999999999999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29.4</v>
      </c>
      <c r="J24" s="723">
        <f>IF(E2="住宅",70,IF(E2="商业",40,50))</f>
        <v>40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3408</v>
      </c>
      <c r="C25" s="461">
        <f>IF(B25="容积率修正",IF(G3&lt;10,D26,J26),C27)</f>
        <v>1.5019</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0.97299999999999998</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1.0461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t="e">
        <f>IF(B25="容积率修正",E33+SUM(E37:E42),SUM(V2:V16)+SUM(E37:E42))</f>
        <v>#VALUE!</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t="e">
        <f>E34+SUM(I37:I42)</f>
        <v>#VALUE!</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21529</v>
      </c>
      <c r="D33" s="1936"/>
      <c r="E33" s="724">
        <f>ROUND(C33*D33/10000,0)</f>
        <v>0</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t="e">
        <f>ROUND(IF(E2="工业",C33*M42,IF(B25="楼层修正",SUM(V2:V16)*M41*10000/D34,C33*M41)),0)</f>
        <v>#VALUE!</v>
      </c>
      <c r="D34" s="1941"/>
      <c r="E34" s="724" t="e">
        <f>ROUND(IF(B25="楼层修正",SUM(V2:V16)*M40,C34*D34/10000),0)</f>
        <v>#VALUE!</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57"/>
      <c r="B37" s="1951" t="s">
        <v>2034</v>
      </c>
      <c r="C37" s="167">
        <f>ROUND(D5*C22*C23*C24*C28*F37,0)</f>
        <v>8601</v>
      </c>
      <c r="D37" s="3122">
        <f>'数据-汇总表'!G19</f>
        <v>9849.01</v>
      </c>
      <c r="E37" s="163">
        <f t="shared" ref="E37:E42" si="3">ROUND(C37*D37/10000,0)</f>
        <v>8471</v>
      </c>
      <c r="F37" s="163">
        <f>SUMIF(修正!A57:A68,G2,修正!B57:B68)</f>
        <v>0.6</v>
      </c>
      <c r="G37" s="163">
        <f>ROUND(IF(E2="工业",C37*$M$42,C37*$M$41),0)</f>
        <v>2150</v>
      </c>
      <c r="H37" s="163">
        <f t="shared" ref="H37:H42" si="4">D37</f>
        <v>9849.01</v>
      </c>
      <c r="I37" s="163">
        <f t="shared" ref="I37:I42" si="5">ROUND(G37*H37/10000,0)</f>
        <v>2118</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58"/>
      <c r="B38" s="1880" t="s">
        <v>2035</v>
      </c>
      <c r="C38" s="167">
        <f>ROUND(D5*C22*C23*C24*C28*F38,0)</f>
        <v>4300</v>
      </c>
      <c r="D38" s="1936"/>
      <c r="E38" s="163">
        <f t="shared" si="3"/>
        <v>0</v>
      </c>
      <c r="F38" s="163">
        <f>SUMIF(修正!A57:A68,G2,修正!C57:C68)</f>
        <v>0.3</v>
      </c>
      <c r="G38" s="163">
        <f>ROUND(IF(E2="工业",C38*$M$42,C38*$M$41),0)</f>
        <v>1075</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58"/>
      <c r="B39" s="1880" t="s">
        <v>3255</v>
      </c>
      <c r="C39" s="167">
        <f>ROUND(D5*C22*C23*C24*C28*F39,0)</f>
        <v>3584</v>
      </c>
      <c r="D39" s="1936"/>
      <c r="E39" s="163">
        <f t="shared" si="3"/>
        <v>0</v>
      </c>
      <c r="F39" s="163">
        <f>SUMIF(修正!A57:A68,G2,修正!D57:D68)</f>
        <v>0.25</v>
      </c>
      <c r="G39" s="163">
        <f>ROUND(IF(E2="工业",C39*$M$42,C39*$M$41),0)</f>
        <v>896</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3584</v>
      </c>
      <c r="D40" s="1936"/>
      <c r="E40" s="163">
        <f t="shared" si="3"/>
        <v>0</v>
      </c>
      <c r="F40" s="167">
        <f>SUMIF(修正!A57:A68,G2,修正!E57:E68)</f>
        <v>0.25</v>
      </c>
      <c r="G40" s="163">
        <f>ROUND(IF(E2="工业",C40*$M$42,C40*$M$41),0)</f>
        <v>896</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3764</v>
      </c>
      <c r="D41" s="1936"/>
      <c r="E41" s="163">
        <f t="shared" si="3"/>
        <v>0</v>
      </c>
      <c r="F41" s="167">
        <f>SUMIF(修正!A57:A68,G2,修正!F57:F68)</f>
        <v>0.25</v>
      </c>
      <c r="G41" s="163">
        <f>ROUND(IF(E2="工业",C41*$M$42,C41*$M$41),0)</f>
        <v>941</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2259</v>
      </c>
      <c r="D42" s="1941"/>
      <c r="E42" s="179">
        <f t="shared" si="3"/>
        <v>0</v>
      </c>
      <c r="F42" s="720">
        <f>SUMIF(修正!A57:A68,G2,修正!G57:G68)</f>
        <v>0.15</v>
      </c>
      <c r="G42" s="179">
        <f>ROUND(IF(E2="工业",C42*$M$42,C42*$M$41),0)</f>
        <v>565</v>
      </c>
      <c r="H42" s="179">
        <f t="shared" si="4"/>
        <v>0</v>
      </c>
      <c r="I42" s="179">
        <f t="shared" si="5"/>
        <v>0</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2041</v>
      </c>
      <c r="B48" s="1964">
        <f>1+E50</f>
        <v>1.0461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c r="A50" s="1966" t="s">
        <v>2050</v>
      </c>
      <c r="B50" s="1969" t="str">
        <f>估价对象房地状况!C4</f>
        <v>花乡奥莱村，万达广场，较好</v>
      </c>
      <c r="C50" s="1883" t="s">
        <v>3426</v>
      </c>
      <c r="D50" s="999">
        <f t="shared" ref="D50:D58" si="6">SUMIF($J$49:$N$49,C50,J50:N50)</f>
        <v>1.4500000000000001E-2</v>
      </c>
      <c r="E50" s="699">
        <f>ROUND(SUM(D50:D58),4)</f>
        <v>4.6100000000000002E-2</v>
      </c>
      <c r="F50" s="1671">
        <f>IF(E2="商业",SUMIF(L1:L12,G2,N1:N12),"——")</f>
        <v>0.1</v>
      </c>
      <c r="G50" s="997">
        <v>1.4500000000000001E-2</v>
      </c>
      <c r="H50" s="1000">
        <f t="shared" ref="H50:H58" si="7">IFERROR(ROUNDDOWN($F$50*I50/2,4),"——")</f>
        <v>1.4999999999999999E-2</v>
      </c>
      <c r="I50" s="3031">
        <v>0.3</v>
      </c>
      <c r="J50" s="998">
        <f t="shared" ref="J50:J58" si="8">K50+$G50</f>
        <v>2.9000000000000001E-2</v>
      </c>
      <c r="K50" s="998">
        <f t="shared" ref="K50:K58" si="9">$L50+$G50</f>
        <v>1.4500000000000001E-2</v>
      </c>
      <c r="L50" s="998">
        <v>0</v>
      </c>
      <c r="M50" s="998">
        <f t="shared" ref="M50:N58" si="10">L50-$G50</f>
        <v>-1.4500000000000001E-2</v>
      </c>
      <c r="N50" s="998">
        <f t="shared" si="10"/>
        <v>-2.9000000000000001E-2</v>
      </c>
      <c r="AA50" s="1054"/>
      <c r="AB50" s="1054"/>
      <c r="AC50" s="1054"/>
      <c r="AD50" s="1054"/>
      <c r="AE50" s="1054"/>
      <c r="AF50" s="1054"/>
      <c r="AG50" s="1054"/>
      <c r="AH50" s="1054"/>
      <c r="AI50" s="1054"/>
      <c r="AJ50" s="1054"/>
      <c r="AK50" s="1054"/>
    </row>
    <row r="51" spans="1:37" s="1053" customFormat="1" ht="14.25">
      <c r="A51" s="1966" t="s">
        <v>2051</v>
      </c>
      <c r="B51" s="1258" t="str">
        <f>估价对象房地状况!C18</f>
        <v>9号线、房山线，较好</v>
      </c>
      <c r="C51" s="1883" t="s">
        <v>3426</v>
      </c>
      <c r="D51" s="999">
        <f t="shared" si="6"/>
        <v>1.06E-2</v>
      </c>
      <c r="E51" s="700"/>
      <c r="F51" s="1671"/>
      <c r="G51" s="997">
        <v>1.06E-2</v>
      </c>
      <c r="H51" s="1000">
        <f t="shared" si="7"/>
        <v>1.0999999999999999E-2</v>
      </c>
      <c r="I51" s="3031">
        <v>0.22</v>
      </c>
      <c r="J51" s="998">
        <f t="shared" si="8"/>
        <v>2.12E-2</v>
      </c>
      <c r="K51" s="998">
        <f t="shared" si="9"/>
        <v>1.06E-2</v>
      </c>
      <c r="L51" s="998">
        <v>0</v>
      </c>
      <c r="M51" s="998">
        <f t="shared" si="10"/>
        <v>-1.06E-2</v>
      </c>
      <c r="N51" s="998">
        <f t="shared" si="10"/>
        <v>-2.12E-2</v>
      </c>
      <c r="AA51" s="1054"/>
      <c r="AB51" s="1054"/>
      <c r="AC51" s="1054"/>
      <c r="AD51" s="1054"/>
      <c r="AE51" s="1054"/>
      <c r="AF51" s="1054"/>
      <c r="AG51" s="1054"/>
      <c r="AH51" s="1054"/>
      <c r="AI51" s="1054"/>
      <c r="AJ51" s="1054"/>
      <c r="AK51" s="1054"/>
    </row>
    <row r="52" spans="1:37" s="1053" customFormat="1" ht="36">
      <c r="A52" s="3033" t="s">
        <v>3265</v>
      </c>
      <c r="B52" s="1258">
        <f>估价对象房地状况!C19</f>
        <v>0</v>
      </c>
      <c r="C52" s="1883" t="s">
        <v>3426</v>
      </c>
      <c r="D52" s="999">
        <f t="shared" si="6"/>
        <v>5.7999999999999996E-3</v>
      </c>
      <c r="E52" s="700"/>
      <c r="F52" s="1671"/>
      <c r="G52" s="997">
        <v>5.7999999999999996E-3</v>
      </c>
      <c r="H52" s="1000">
        <f t="shared" si="7"/>
        <v>6.0000000000000001E-3</v>
      </c>
      <c r="I52" s="3031">
        <v>0.12</v>
      </c>
      <c r="J52" s="998">
        <f t="shared" si="8"/>
        <v>1.1599999999999999E-2</v>
      </c>
      <c r="K52" s="998">
        <f t="shared" si="9"/>
        <v>5.7999999999999996E-3</v>
      </c>
      <c r="L52" s="998">
        <v>0</v>
      </c>
      <c r="M52" s="998">
        <f t="shared" si="10"/>
        <v>-5.7999999999999996E-3</v>
      </c>
      <c r="N52" s="998">
        <f t="shared" si="10"/>
        <v>-1.1599999999999999E-2</v>
      </c>
      <c r="AA52" s="1054"/>
      <c r="AB52" s="1054"/>
      <c r="AC52" s="1054"/>
      <c r="AD52" s="1054"/>
      <c r="AE52" s="1054"/>
      <c r="AF52" s="1054"/>
      <c r="AG52" s="1054"/>
      <c r="AH52" s="1054"/>
      <c r="AI52" s="1054"/>
      <c r="AJ52" s="1054"/>
      <c r="AK52" s="1054"/>
    </row>
    <row r="53" spans="1:37" s="1053" customFormat="1" ht="36.75">
      <c r="A53" s="1966" t="s">
        <v>2052</v>
      </c>
      <c r="B53" s="1970" t="s">
        <v>2053</v>
      </c>
      <c r="C53" s="1883" t="s">
        <v>3426</v>
      </c>
      <c r="D53" s="999">
        <f t="shared" si="6"/>
        <v>2.3999999999999998E-3</v>
      </c>
      <c r="E53" s="700"/>
      <c r="F53" s="1671"/>
      <c r="G53" s="997">
        <v>2.3999999999999998E-3</v>
      </c>
      <c r="H53" s="1000">
        <f t="shared" si="7"/>
        <v>2.5000000000000001E-3</v>
      </c>
      <c r="I53" s="3031">
        <v>0.05</v>
      </c>
      <c r="J53" s="998">
        <f t="shared" si="8"/>
        <v>4.7999999999999996E-3</v>
      </c>
      <c r="K53" s="998">
        <f t="shared" si="9"/>
        <v>2.3999999999999998E-3</v>
      </c>
      <c r="L53" s="998">
        <v>0</v>
      </c>
      <c r="M53" s="998">
        <f t="shared" si="10"/>
        <v>-2.3999999999999998E-3</v>
      </c>
      <c r="N53" s="998">
        <f t="shared" si="10"/>
        <v>-4.7999999999999996E-3</v>
      </c>
      <c r="AA53" s="1054"/>
      <c r="AB53" s="1054"/>
      <c r="AC53" s="1054"/>
      <c r="AD53" s="1054"/>
      <c r="AE53" s="1054"/>
      <c r="AF53" s="1054"/>
      <c r="AG53" s="1054"/>
      <c r="AH53" s="1054"/>
      <c r="AI53" s="1054"/>
      <c r="AJ53" s="1054"/>
      <c r="AK53" s="1054"/>
    </row>
    <row r="54" spans="1:37" s="1053" customFormat="1" ht="24">
      <c r="A54" s="1966" t="s">
        <v>2054</v>
      </c>
      <c r="B54" s="1258" t="str">
        <f>估价对象房地状况!C24</f>
        <v>次干道-樊羊路</v>
      </c>
      <c r="C54" s="3121" t="s">
        <v>3441</v>
      </c>
      <c r="D54" s="999">
        <f t="shared" si="6"/>
        <v>-2E-3</v>
      </c>
      <c r="E54" s="700"/>
      <c r="F54" s="1671"/>
      <c r="G54" s="997">
        <v>2E-3</v>
      </c>
      <c r="H54" s="1000">
        <f t="shared" si="7"/>
        <v>4.0000000000000001E-3</v>
      </c>
      <c r="I54" s="3031">
        <v>0.08</v>
      </c>
      <c r="J54" s="998">
        <f t="shared" si="8"/>
        <v>4.0000000000000001E-3</v>
      </c>
      <c r="K54" s="998">
        <f t="shared" si="9"/>
        <v>2E-3</v>
      </c>
      <c r="L54" s="998">
        <v>0</v>
      </c>
      <c r="M54" s="998">
        <f t="shared" si="10"/>
        <v>-2E-3</v>
      </c>
      <c r="N54" s="998">
        <f t="shared" si="10"/>
        <v>-4.0000000000000001E-3</v>
      </c>
      <c r="AA54" s="1054"/>
      <c r="AB54" s="1054"/>
      <c r="AC54" s="1054"/>
      <c r="AD54" s="1054"/>
      <c r="AE54" s="1054"/>
      <c r="AF54" s="1054"/>
      <c r="AG54" s="1054"/>
      <c r="AH54" s="1054"/>
      <c r="AI54" s="1054"/>
      <c r="AJ54" s="1054"/>
      <c r="AK54" s="1054"/>
    </row>
    <row r="55" spans="1:37" s="1053" customFormat="1" ht="24">
      <c r="A55" s="1966" t="s">
        <v>2055</v>
      </c>
      <c r="B55" s="1971" t="s">
        <v>2056</v>
      </c>
      <c r="C55" s="1883" t="s">
        <v>3426</v>
      </c>
      <c r="D55" s="999">
        <f t="shared" si="6"/>
        <v>2.3999999999999998E-3</v>
      </c>
      <c r="E55" s="700"/>
      <c r="F55" s="1671"/>
      <c r="G55" s="997">
        <v>2.3999999999999998E-3</v>
      </c>
      <c r="H55" s="1000">
        <f t="shared" si="7"/>
        <v>2.5000000000000001E-3</v>
      </c>
      <c r="I55" s="3031">
        <v>0.05</v>
      </c>
      <c r="J55" s="998">
        <f t="shared" si="8"/>
        <v>4.7999999999999996E-3</v>
      </c>
      <c r="K55" s="998">
        <f t="shared" si="9"/>
        <v>2.3999999999999998E-3</v>
      </c>
      <c r="L55" s="998">
        <v>0</v>
      </c>
      <c r="M55" s="998">
        <f t="shared" si="10"/>
        <v>-2.3999999999999998E-3</v>
      </c>
      <c r="N55" s="998">
        <f t="shared" si="10"/>
        <v>-4.7999999999999996E-3</v>
      </c>
      <c r="AA55" s="1054"/>
      <c r="AB55" s="1054"/>
      <c r="AC55" s="1054"/>
      <c r="AD55" s="1054"/>
      <c r="AE55" s="1054"/>
      <c r="AF55" s="1054"/>
      <c r="AG55" s="1054"/>
      <c r="AH55" s="1054"/>
      <c r="AI55" s="1054"/>
      <c r="AJ55" s="1054"/>
      <c r="AK55" s="1054"/>
    </row>
    <row r="56" spans="1:37" s="1053" customFormat="1" ht="24">
      <c r="A56" s="1972" t="s">
        <v>2057</v>
      </c>
      <c r="B56" s="1236" t="str">
        <f>估价对象房地状况!C21</f>
        <v>较好</v>
      </c>
      <c r="C56" s="1883" t="s">
        <v>3426</v>
      </c>
      <c r="D56" s="999">
        <f t="shared" si="6"/>
        <v>2.3999999999999998E-3</v>
      </c>
      <c r="E56" s="700"/>
      <c r="F56" s="1671"/>
      <c r="G56" s="997">
        <v>2.3999999999999998E-3</v>
      </c>
      <c r="H56" s="1000">
        <f t="shared" si="7"/>
        <v>2.5000000000000001E-3</v>
      </c>
      <c r="I56" s="3031">
        <v>0.05</v>
      </c>
      <c r="J56" s="998">
        <f t="shared" si="8"/>
        <v>4.7999999999999996E-3</v>
      </c>
      <c r="K56" s="998">
        <f t="shared" si="9"/>
        <v>2.3999999999999998E-3</v>
      </c>
      <c r="L56" s="998">
        <v>0</v>
      </c>
      <c r="M56" s="998">
        <f t="shared" si="10"/>
        <v>-2.3999999999999998E-3</v>
      </c>
      <c r="N56" s="998">
        <f t="shared" si="10"/>
        <v>-4.7999999999999996E-3</v>
      </c>
      <c r="AA56" s="1054"/>
      <c r="AB56" s="1054"/>
      <c r="AC56" s="1054"/>
      <c r="AD56" s="1054"/>
      <c r="AE56" s="1054"/>
      <c r="AF56" s="1054"/>
      <c r="AG56" s="1054"/>
      <c r="AH56" s="1054"/>
      <c r="AI56" s="1054"/>
      <c r="AJ56" s="1054"/>
      <c r="AK56" s="1054"/>
    </row>
    <row r="57" spans="1:37" s="1053" customFormat="1" ht="24">
      <c r="A57" s="1972" t="s">
        <v>2058</v>
      </c>
      <c r="B57" s="1258" t="str">
        <f>估价对象房地状况!C22</f>
        <v>七通</v>
      </c>
      <c r="C57" s="1883" t="s">
        <v>3440</v>
      </c>
      <c r="D57" s="999">
        <f t="shared" si="6"/>
        <v>7.6E-3</v>
      </c>
      <c r="E57" s="700"/>
      <c r="F57" s="1671"/>
      <c r="G57" s="997">
        <v>3.8E-3</v>
      </c>
      <c r="H57" s="1000">
        <f t="shared" si="7"/>
        <v>4.0000000000000001E-3</v>
      </c>
      <c r="I57" s="3031">
        <v>0.08</v>
      </c>
      <c r="J57" s="998">
        <f t="shared" si="8"/>
        <v>7.6E-3</v>
      </c>
      <c r="K57" s="998">
        <f t="shared" si="9"/>
        <v>3.8E-3</v>
      </c>
      <c r="L57" s="998">
        <v>0</v>
      </c>
      <c r="M57" s="998">
        <f t="shared" si="10"/>
        <v>-3.8E-3</v>
      </c>
      <c r="N57" s="998">
        <f t="shared" si="10"/>
        <v>-7.6E-3</v>
      </c>
      <c r="AA57" s="1054"/>
      <c r="AB57" s="1054"/>
      <c r="AC57" s="1054"/>
      <c r="AD57" s="1054"/>
      <c r="AE57" s="1054"/>
      <c r="AF57" s="1054"/>
      <c r="AG57" s="1054"/>
      <c r="AH57" s="1054"/>
      <c r="AI57" s="1054"/>
      <c r="AJ57" s="1054"/>
      <c r="AK57" s="1054"/>
    </row>
    <row r="58" spans="1:37" s="1053" customFormat="1" ht="26.25" thickBot="1">
      <c r="A58" s="1973" t="s">
        <v>2059</v>
      </c>
      <c r="B58" s="1974" t="str">
        <f>估价对象房地状况!C20</f>
        <v>白盆窑公园、国际法官学院，一般</v>
      </c>
      <c r="C58" s="1883" t="s">
        <v>3426</v>
      </c>
      <c r="D58" s="999">
        <f t="shared" si="6"/>
        <v>2.3999999999999998E-3</v>
      </c>
      <c r="E58" s="701"/>
      <c r="F58" s="1671"/>
      <c r="G58" s="997">
        <v>2.3999999999999998E-3</v>
      </c>
      <c r="H58" s="1000">
        <f t="shared" si="7"/>
        <v>2.5000000000000001E-3</v>
      </c>
      <c r="I58" s="3032">
        <v>0.05</v>
      </c>
      <c r="J58" s="998">
        <f t="shared" si="8"/>
        <v>4.7999999999999996E-3</v>
      </c>
      <c r="K58" s="998">
        <f t="shared" si="9"/>
        <v>2.3999999999999998E-3</v>
      </c>
      <c r="L58" s="998">
        <v>0</v>
      </c>
      <c r="M58" s="998">
        <f t="shared" si="10"/>
        <v>-2.3999999999999998E-3</v>
      </c>
      <c r="N58" s="998">
        <f t="shared" si="10"/>
        <v>-4.7999999999999996E-3</v>
      </c>
      <c r="AA58" s="1054"/>
      <c r="AB58" s="1054"/>
      <c r="AC58" s="1054"/>
      <c r="AD58" s="1054"/>
      <c r="AE58" s="1054"/>
      <c r="AF58" s="1054"/>
      <c r="AG58" s="1054"/>
      <c r="AH58" s="1054"/>
      <c r="AI58" s="1054"/>
      <c r="AJ58" s="1054"/>
      <c r="AK58" s="1054"/>
    </row>
    <row r="59" spans="1:37" s="1053" customFormat="1" ht="15">
      <c r="A59" s="1963" t="s">
        <v>2060</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c r="D61" s="999">
        <f t="shared" ref="D61:D69" si="11">SUMIF($J$60:$N$60,C61,J61:N61)</f>
        <v>0</v>
      </c>
      <c r="E61" s="699">
        <f>ROUND(SUM(D61:D69),4)</f>
        <v>0</v>
      </c>
      <c r="F61" s="1671" t="str">
        <f>IF(E2="办公",SUMIF(L1:L12,G2,N1:N12),"——")</f>
        <v>——</v>
      </c>
      <c r="G61" s="997"/>
      <c r="H61" s="1000" t="str">
        <f t="shared" ref="H61:H69" si="12">IFERROR(ROUNDDOWN($F$61*I61/2,4),"——")</f>
        <v>——</v>
      </c>
      <c r="I61" s="303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c r="D62" s="999">
        <f t="shared" si="11"/>
        <v>0</v>
      </c>
      <c r="E62" s="700"/>
      <c r="F62" s="1671"/>
      <c r="G62" s="997"/>
      <c r="H62" s="1000" t="str">
        <f t="shared" si="12"/>
        <v>——</v>
      </c>
      <c r="I62" s="303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c r="D63" s="999">
        <f t="shared" si="11"/>
        <v>0</v>
      </c>
      <c r="E63" s="700"/>
      <c r="F63" s="1671"/>
      <c r="G63" s="997"/>
      <c r="H63" s="1000" t="str">
        <f t="shared" si="12"/>
        <v>——</v>
      </c>
      <c r="I63" s="303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6" t="s">
        <v>2052</v>
      </c>
      <c r="B64" s="1970" t="s">
        <v>2053</v>
      </c>
      <c r="C64" s="1883"/>
      <c r="D64" s="999">
        <f t="shared" si="11"/>
        <v>0</v>
      </c>
      <c r="E64" s="700"/>
      <c r="F64" s="1671"/>
      <c r="G64" s="997"/>
      <c r="H64" s="1000" t="str">
        <f t="shared" si="12"/>
        <v>——</v>
      </c>
      <c r="I64" s="303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1883"/>
      <c r="D65" s="999">
        <f t="shared" si="11"/>
        <v>0</v>
      </c>
      <c r="E65" s="700"/>
      <c r="F65" s="1671"/>
      <c r="G65" s="997"/>
      <c r="H65" s="1000" t="str">
        <f t="shared" si="12"/>
        <v>——</v>
      </c>
      <c r="I65" s="303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6" t="s">
        <v>2055</v>
      </c>
      <c r="B66" s="1971" t="s">
        <v>2056</v>
      </c>
      <c r="C66" s="1883"/>
      <c r="D66" s="999">
        <f t="shared" si="11"/>
        <v>0</v>
      </c>
      <c r="E66" s="700"/>
      <c r="F66" s="1671"/>
      <c r="G66" s="997"/>
      <c r="H66" s="1000" t="str">
        <f t="shared" si="12"/>
        <v>——</v>
      </c>
      <c r="I66" s="303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c r="D67" s="999">
        <f t="shared" si="11"/>
        <v>0</v>
      </c>
      <c r="E67" s="700"/>
      <c r="F67" s="1671"/>
      <c r="G67" s="997"/>
      <c r="H67" s="1000" t="str">
        <f t="shared" si="12"/>
        <v>——</v>
      </c>
      <c r="I67" s="303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c r="D68" s="999">
        <f t="shared" si="11"/>
        <v>0</v>
      </c>
      <c r="E68" s="700"/>
      <c r="F68" s="1671"/>
      <c r="G68" s="997"/>
      <c r="H68" s="1000" t="str">
        <f t="shared" si="12"/>
        <v>——</v>
      </c>
      <c r="I68" s="303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c r="D69" s="999">
        <f t="shared" si="11"/>
        <v>0</v>
      </c>
      <c r="E69" s="701"/>
      <c r="F69" s="1671"/>
      <c r="G69" s="997"/>
      <c r="H69" s="1000" t="str">
        <f t="shared" si="12"/>
        <v>——</v>
      </c>
      <c r="I69" s="303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3266</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3267</v>
      </c>
      <c r="B92" s="2302"/>
      <c r="C92" s="2302" t="s">
        <v>3276</v>
      </c>
      <c r="D92" s="2302" t="s">
        <v>3277</v>
      </c>
      <c r="E92" s="3015" t="s">
        <v>3278</v>
      </c>
      <c r="F92" s="3045" t="s">
        <v>3279</v>
      </c>
      <c r="G92" s="2302" t="s">
        <v>3280</v>
      </c>
      <c r="H92" s="3052" t="s">
        <v>3283</v>
      </c>
      <c r="I92" s="2302" t="s">
        <v>3284</v>
      </c>
      <c r="J92" s="2145" t="s">
        <v>3285</v>
      </c>
      <c r="K92" s="2145" t="s">
        <v>3286</v>
      </c>
      <c r="L92" s="2145" t="s">
        <v>3287</v>
      </c>
      <c r="M92" s="2145" t="s">
        <v>3288</v>
      </c>
      <c r="N92" s="2145" t="s">
        <v>3289</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3269</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3270</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3271</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3272</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3273</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3274</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3275</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55" t="s">
        <v>3290</v>
      </c>
      <c r="B103" s="3455"/>
      <c r="C103" s="3455"/>
      <c r="D103" s="3455"/>
      <c r="E103" s="3455"/>
      <c r="F103" s="3455"/>
      <c r="G103" s="3455"/>
      <c r="H103" s="3455"/>
      <c r="I103" s="3455"/>
      <c r="J103" s="3455"/>
      <c r="K103" s="1663"/>
      <c r="L103" s="1663"/>
      <c r="M103" s="1663"/>
      <c r="N103" s="1663"/>
    </row>
    <row r="104" spans="1:14">
      <c r="A104" s="3456" t="s">
        <v>3291</v>
      </c>
      <c r="B104" s="3456" t="s">
        <v>3292</v>
      </c>
      <c r="C104" s="3053" t="s">
        <v>3293</v>
      </c>
      <c r="D104" s="3054"/>
      <c r="E104" s="3054"/>
      <c r="F104" s="3054"/>
      <c r="G104" s="3054"/>
      <c r="H104" s="3054"/>
      <c r="I104" s="3054"/>
      <c r="J104" s="3055"/>
      <c r="K104" s="3056"/>
      <c r="L104" s="3056"/>
      <c r="M104" s="3056"/>
      <c r="N104" s="3056"/>
    </row>
    <row r="105" spans="1:14">
      <c r="A105" s="3456"/>
      <c r="B105" s="3456"/>
      <c r="C105" s="3057" t="s">
        <v>3294</v>
      </c>
      <c r="D105" s="3057" t="s">
        <v>3295</v>
      </c>
      <c r="E105" s="3057" t="s">
        <v>3296</v>
      </c>
      <c r="F105" s="3057" t="s">
        <v>3297</v>
      </c>
      <c r="G105" s="3057" t="s">
        <v>3298</v>
      </c>
      <c r="H105" s="3057" t="s">
        <v>3299</v>
      </c>
      <c r="I105" s="3057" t="s">
        <v>3300</v>
      </c>
      <c r="J105" s="3057" t="s">
        <v>3301</v>
      </c>
      <c r="K105" s="3057" t="s">
        <v>3302</v>
      </c>
      <c r="L105" s="3057" t="s">
        <v>3303</v>
      </c>
      <c r="M105" s="3057" t="s">
        <v>3304</v>
      </c>
      <c r="N105" s="3057" t="s">
        <v>3305</v>
      </c>
    </row>
    <row r="106" spans="1:14">
      <c r="A106" s="3443"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44"/>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44"/>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44"/>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44"/>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44"/>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45"/>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53" t="s">
        <v>3307</v>
      </c>
      <c r="B113" s="3253"/>
      <c r="C113" s="3253"/>
      <c r="D113" s="3253"/>
      <c r="E113" s="3253"/>
      <c r="F113" s="3253"/>
      <c r="G113" s="3253"/>
      <c r="H113" s="3253"/>
      <c r="I113" s="3253"/>
      <c r="J113" s="3253"/>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0.90700000000000003</v>
      </c>
      <c r="E116" s="162" t="s">
        <v>3310</v>
      </c>
      <c r="F116" s="3064" t="str">
        <f>E2</f>
        <v>商业</v>
      </c>
      <c r="G116" s="162" t="s">
        <v>3311</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3324</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3325</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3326</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3327</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xr:uid="{00000000-0002-0000-1800-000000000000}">
      <formula1>"500米范围内,500-1000米,1000米以外"</formula1>
    </dataValidation>
    <dataValidation type="list" allowBlank="1" showInputMessage="1" showErrorMessage="1" sqref="C15:D15" xr:uid="{00000000-0002-0000-1800-000001000000}">
      <formula1>"有,无"</formula1>
    </dataValidation>
    <dataValidation type="list" allowBlank="1" showInputMessage="1" showErrorMessage="1" sqref="B25" xr:uid="{00000000-0002-0000-1800-000002000000}">
      <formula1>"容积率修正,楼层修正"</formula1>
    </dataValidation>
    <dataValidation type="list" allowBlank="1" showInputMessage="1" showErrorMessage="1" sqref="F21" xr:uid="{00000000-0002-0000-1800-000003000000}">
      <formula1>"与级别开发程度一致,与级别开发程度不一致"</formula1>
    </dataValidation>
    <dataValidation type="list" allowBlank="1" showInputMessage="1" showErrorMessage="1" sqref="E2" xr:uid="{00000000-0002-0000-1800-000004000000}">
      <formula1>"商业,办公,住宅,工业,公共服务"</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61:C69 C72:C80 C50:C58 C83:C91 C93:C101" xr:uid="{00000000-0002-0000-1800-000008000000}">
      <formula1>五等判定</formula1>
    </dataValidation>
    <dataValidation type="list" allowBlank="1" showInputMessage="1" showErrorMessage="1" sqref="H23" xr:uid="{00000000-0002-0000-1800-000009000000}">
      <formula1>"地价指数,季度增幅（自定义）,按公示增长率计算"</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23" zoomScaleNormal="80" zoomScaleSheetLayoutView="100" workbookViewId="0">
      <selection activeCell="G37" sqref="G37"/>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74929.81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f>C30</f>
        <v>70954</v>
      </c>
      <c r="C2" s="1842" t="s">
        <v>1933</v>
      </c>
      <c r="D2" s="162" t="s">
        <v>1934</v>
      </c>
      <c r="E2" s="3083" t="s">
        <v>21</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21738</v>
      </c>
      <c r="U2" s="1126">
        <f>面积表!C4+面积表!C12</f>
        <v>3181</v>
      </c>
      <c r="V2" s="3026">
        <f>ROUND(T2*U2/10000,0)</f>
        <v>6915</v>
      </c>
      <c r="W2" s="1129"/>
      <c r="X2" s="1129"/>
      <c r="Y2" s="1129"/>
      <c r="Z2" s="1129"/>
      <c r="AA2" s="1129"/>
      <c r="AB2" s="1129"/>
      <c r="AC2" s="1130"/>
      <c r="AD2" s="1131"/>
      <c r="AE2" s="1131"/>
      <c r="AF2" s="1131"/>
      <c r="AG2" s="1131"/>
      <c r="AH2" s="1131"/>
      <c r="AI2" s="1131"/>
      <c r="AJ2" s="1132"/>
    </row>
    <row r="3" spans="1:36" ht="15.75">
      <c r="A3" s="195" t="s">
        <v>1938</v>
      </c>
      <c r="B3" s="196">
        <f>ROUND(B2*10000/D1,0)</f>
        <v>9469</v>
      </c>
      <c r="C3" s="1842" t="s">
        <v>1939</v>
      </c>
      <c r="D3" s="162" t="s">
        <v>1940</v>
      </c>
      <c r="E3" s="3081" t="s">
        <v>3409</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17134</v>
      </c>
      <c r="U3" s="1126">
        <f>面积表!C5+面积表!C13</f>
        <v>2952</v>
      </c>
      <c r="V3" s="3026">
        <f t="shared" ref="V3:V16" si="1">ROUND(T3*U3/10000,0)</f>
        <v>5058</v>
      </c>
      <c r="W3" s="1129"/>
      <c r="X3" s="1129"/>
      <c r="Y3" s="1129"/>
      <c r="Z3" s="1129"/>
      <c r="AA3" s="1129"/>
      <c r="AB3" s="1129"/>
      <c r="AC3" s="1130"/>
      <c r="AD3" s="1131"/>
      <c r="AE3" s="1131"/>
      <c r="AF3" s="1131"/>
      <c r="AG3" s="1131"/>
      <c r="AH3" s="1131"/>
      <c r="AI3" s="1131"/>
      <c r="AJ3" s="1132"/>
    </row>
    <row r="4" spans="1:36" ht="15.75">
      <c r="A4" s="3449"/>
      <c r="B4" s="3450"/>
      <c r="C4" s="3450"/>
      <c r="D4" s="3451"/>
      <c r="E4" s="3451"/>
      <c r="F4" s="3451"/>
      <c r="G4" s="3451"/>
      <c r="H4" s="3451"/>
      <c r="I4" s="3451"/>
      <c r="J4" s="3452"/>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14481</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14520</v>
      </c>
      <c r="D5" s="1248">
        <f>ROUND(C6*C17+C20,0)</f>
        <v>14520</v>
      </c>
      <c r="E5" s="1248"/>
      <c r="F5" s="1847"/>
      <c r="G5" s="1848"/>
      <c r="H5" s="1848"/>
      <c r="I5" s="1848"/>
      <c r="J5" s="1849"/>
      <c r="K5" s="1850"/>
      <c r="L5" s="1843" t="s">
        <v>1946</v>
      </c>
      <c r="M5" s="808">
        <f>SUMPRODUCT((区片价!B87:B126=I2)*(区片价!C3:G3=E2)*(区片价!C87:G126))</f>
        <v>14540</v>
      </c>
      <c r="N5" s="810">
        <f>SUMPRODUCT((因素修正幅度!B87:B126=I2)*(因素修正幅度!C3:G3=E2)*(因素修正幅度!C87:G126))</f>
        <v>0.1</v>
      </c>
      <c r="O5" s="1053"/>
      <c r="P5" s="1053"/>
      <c r="Q5" s="1053"/>
      <c r="R5" s="1125">
        <v>4</v>
      </c>
      <c r="S5" s="3026">
        <f>ROUND(SUMPRODUCT((B106:B110=R5)*(C105:N105=G2)*(C106:N110)),4)</f>
        <v>0.88239999999999996</v>
      </c>
      <c r="T5" s="3026">
        <f t="shared" si="0"/>
        <v>12771</v>
      </c>
      <c r="U5" s="1126">
        <f>面积表!C7+面积表!C15</f>
        <v>8981.82</v>
      </c>
      <c r="V5" s="3026">
        <f t="shared" si="1"/>
        <v>11471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14540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12274</v>
      </c>
      <c r="U6" s="1126">
        <f>面积表!C8+面积表!C16</f>
        <v>8123.52</v>
      </c>
      <c r="V6" s="3026">
        <f t="shared" si="1"/>
        <v>9971</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46" t="s">
        <v>1958</v>
      </c>
      <c r="X8" s="3447"/>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48"/>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48"/>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v>1</v>
      </c>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0.93120000000000003</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53" t="s">
        <v>3250</v>
      </c>
      <c r="B20" s="159" t="s">
        <v>1992</v>
      </c>
      <c r="C20" s="2994">
        <f>ROUND(IF(F21="与级别开发程度一致",0,(G21-E21)/C21),0)</f>
        <v>-20</v>
      </c>
      <c r="D20" s="3009" t="s">
        <v>1996</v>
      </c>
      <c r="E20" s="3010"/>
      <c r="F20" s="3459" t="s">
        <v>1993</v>
      </c>
      <c r="G20" s="3460"/>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54"/>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0.94359999999999999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39.4</v>
      </c>
      <c r="J24" s="723">
        <f>IF(E2="住宅",70,IF(E2="商业",40,50))</f>
        <v>50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3331</v>
      </c>
      <c r="C25" s="461">
        <f>IF(B25="容积率修正",IF(G3&lt;10,D26,J26),C27)</f>
        <v>0.96309999999999996</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0.96309999999999996</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1.0481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f>IF(B25="容积率修正",E33+SUM(E37:E42),SUM(V2:V16)+SUM(E37:E42))</f>
        <v>70954</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f>E34+SUM(I37:I42)</f>
        <v>1545</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13939</v>
      </c>
      <c r="D33" s="1936">
        <f>'数据-汇总表'!F20</f>
        <v>46471.11</v>
      </c>
      <c r="E33" s="724">
        <f>ROUND(C33*D33/10000,0)</f>
        <v>64776</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f>ROUND(IF(E2="工业",C33*M42,IF(B25="楼层修正",SUM(V2:V16)*M41*10000/D34,C33*M41)),0)</f>
        <v>3485</v>
      </c>
      <c r="D34" s="1941"/>
      <c r="E34" s="724">
        <f>ROUND(IF(B25="楼层修正",SUM(V2:V16)*M40,C34*D34/10000),0)</f>
        <v>0</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57"/>
      <c r="B37" s="1951" t="s">
        <v>2034</v>
      </c>
      <c r="C37" s="167">
        <f>ROUND(D5*C22*C23*C24*C28*F37,0)</f>
        <v>8684</v>
      </c>
      <c r="D37" s="3122"/>
      <c r="E37" s="163">
        <f t="shared" ref="E37:E42" si="3">ROUND(C37*D37/10000,0)</f>
        <v>0</v>
      </c>
      <c r="F37" s="163">
        <f>SUMIF(修正!A57:A68,G2,修正!B57:B68)</f>
        <v>0.6</v>
      </c>
      <c r="G37" s="163">
        <f>ROUND(IF(E2="工业",C37*$M$42,C37*$M$41),0)</f>
        <v>2171</v>
      </c>
      <c r="H37" s="163">
        <f t="shared" ref="H37:H42" si="4">D37</f>
        <v>0</v>
      </c>
      <c r="I37" s="163">
        <f t="shared" ref="I37:I42" si="5">ROUND(G37*H37/10000,0)</f>
        <v>0</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58"/>
      <c r="B38" s="1880" t="s">
        <v>2035</v>
      </c>
      <c r="C38" s="167">
        <f>ROUND(D5*C22*C23*C24*C28*F38,0)</f>
        <v>4342</v>
      </c>
      <c r="D38" s="1936"/>
      <c r="E38" s="163">
        <f t="shared" si="3"/>
        <v>0</v>
      </c>
      <c r="F38" s="163">
        <f>SUMIF(修正!A57:A68,G2,修正!C57:C68)</f>
        <v>0.3</v>
      </c>
      <c r="G38" s="163">
        <f>ROUND(IF(E2="工业",C38*$M$42,C38*$M$41),0)</f>
        <v>1086</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58"/>
      <c r="B39" s="1880" t="s">
        <v>3255</v>
      </c>
      <c r="C39" s="167">
        <f>ROUND(D5*C22*C23*C24*C28*F39,0)</f>
        <v>3618</v>
      </c>
      <c r="D39" s="1936"/>
      <c r="E39" s="163">
        <f t="shared" si="3"/>
        <v>0</v>
      </c>
      <c r="F39" s="163">
        <f>SUMIF(修正!A57:A68,G2,修正!D57:D68)</f>
        <v>0.25</v>
      </c>
      <c r="G39" s="163">
        <f>ROUND(IF(E2="工业",C39*$M$42,C39*$M$41),0)</f>
        <v>905</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3618</v>
      </c>
      <c r="D40" s="1936"/>
      <c r="E40" s="163">
        <f t="shared" si="3"/>
        <v>0</v>
      </c>
      <c r="F40" s="167">
        <f>SUMIF(修正!A57:A68,G2,修正!E57:E68)</f>
        <v>0.25</v>
      </c>
      <c r="G40" s="163">
        <f>ROUND(IF(E2="工业",C40*$M$42,C40*$M$41),0)</f>
        <v>905</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3618</v>
      </c>
      <c r="D41" s="1936"/>
      <c r="E41" s="163">
        <f t="shared" si="3"/>
        <v>0</v>
      </c>
      <c r="F41" s="167">
        <f>SUMIF(修正!A57:A68,G2,修正!F57:F68)</f>
        <v>0.25</v>
      </c>
      <c r="G41" s="163">
        <f>ROUND(IF(E2="工业",C41*$M$42,C41*$M$41),0)</f>
        <v>905</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2171</v>
      </c>
      <c r="D42" s="1941">
        <f>'数据-汇总表'!G21</f>
        <v>28458.699999999997</v>
      </c>
      <c r="E42" s="179">
        <f t="shared" si="3"/>
        <v>6178</v>
      </c>
      <c r="F42" s="720">
        <f>SUMIF(修正!A57:A68,G2,修正!G57:G68)</f>
        <v>0.15</v>
      </c>
      <c r="G42" s="179">
        <f>ROUND(IF(E2="工业",C42*$M$42,C42*$M$41),0)</f>
        <v>543</v>
      </c>
      <c r="H42" s="179">
        <f t="shared" si="4"/>
        <v>28458.699999999997</v>
      </c>
      <c r="I42" s="179">
        <f t="shared" si="5"/>
        <v>1545</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hidden="1">
      <c r="A48" s="1963" t="s">
        <v>2041</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hidden="1">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hidden="1">
      <c r="A50" s="1966" t="s">
        <v>2050</v>
      </c>
      <c r="B50" s="1969" t="str">
        <f>估价对象房地状况!C4</f>
        <v>花乡奥莱村，万达广场，较好</v>
      </c>
      <c r="C50" s="1883"/>
      <c r="D50" s="999">
        <f t="shared" ref="D50:D58" si="6">SUMIF($J$49:$N$49,C50,J50:N50)</f>
        <v>0</v>
      </c>
      <c r="E50" s="699">
        <f>ROUND(SUM(D50:D58),4)</f>
        <v>0</v>
      </c>
      <c r="F50" s="1671" t="str">
        <f>IF(E2="商业",SUMIF(L1:L12,G2,N1:N12),"——")</f>
        <v>——</v>
      </c>
      <c r="G50" s="997"/>
      <c r="H50" s="1000" t="str">
        <f t="shared" ref="H50:H58" si="7">IFERROR(ROUNDDOWN($F$50*I50/2,4),"——")</f>
        <v>——</v>
      </c>
      <c r="I50" s="303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14.25" hidden="1">
      <c r="A51" s="1966" t="s">
        <v>2051</v>
      </c>
      <c r="B51" s="1258" t="str">
        <f>估价对象房地状况!C18</f>
        <v>9号线、房山线，较好</v>
      </c>
      <c r="C51" s="1883"/>
      <c r="D51" s="999">
        <f t="shared" si="6"/>
        <v>0</v>
      </c>
      <c r="E51" s="700"/>
      <c r="F51" s="1671"/>
      <c r="G51" s="997"/>
      <c r="H51" s="1000" t="str">
        <f t="shared" si="7"/>
        <v>——</v>
      </c>
      <c r="I51" s="303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hidden="1">
      <c r="A52" s="3033" t="s">
        <v>3265</v>
      </c>
      <c r="B52" s="1258">
        <f>估价对象房地状况!C19</f>
        <v>0</v>
      </c>
      <c r="C52" s="1883"/>
      <c r="D52" s="999">
        <f t="shared" si="6"/>
        <v>0</v>
      </c>
      <c r="E52" s="700"/>
      <c r="F52" s="1671"/>
      <c r="G52" s="997"/>
      <c r="H52" s="1000" t="str">
        <f t="shared" si="7"/>
        <v>——</v>
      </c>
      <c r="I52" s="303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hidden="1">
      <c r="A53" s="1966" t="s">
        <v>2052</v>
      </c>
      <c r="B53" s="1970" t="s">
        <v>2053</v>
      </c>
      <c r="C53" s="1883"/>
      <c r="D53" s="999">
        <f t="shared" si="6"/>
        <v>0</v>
      </c>
      <c r="E53" s="700"/>
      <c r="F53" s="1671"/>
      <c r="G53" s="997"/>
      <c r="H53" s="1000" t="str">
        <f t="shared" si="7"/>
        <v>——</v>
      </c>
      <c r="I53" s="303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hidden="1">
      <c r="A54" s="1966" t="s">
        <v>2054</v>
      </c>
      <c r="B54" s="1258" t="str">
        <f>估价对象房地状况!C24</f>
        <v>次干道-樊羊路</v>
      </c>
      <c r="C54" s="1883"/>
      <c r="D54" s="999">
        <f t="shared" si="6"/>
        <v>0</v>
      </c>
      <c r="E54" s="700"/>
      <c r="F54" s="1671"/>
      <c r="G54" s="997"/>
      <c r="H54" s="1000" t="str">
        <f t="shared" si="7"/>
        <v>——</v>
      </c>
      <c r="I54" s="303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hidden="1">
      <c r="A55" s="1966" t="s">
        <v>2055</v>
      </c>
      <c r="B55" s="1971" t="s">
        <v>2056</v>
      </c>
      <c r="C55" s="1883"/>
      <c r="D55" s="999">
        <f t="shared" si="6"/>
        <v>0</v>
      </c>
      <c r="E55" s="700"/>
      <c r="F55" s="1671"/>
      <c r="G55" s="997"/>
      <c r="H55" s="1000" t="str">
        <f t="shared" si="7"/>
        <v>——</v>
      </c>
      <c r="I55" s="303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24" hidden="1">
      <c r="A56" s="1972" t="s">
        <v>2057</v>
      </c>
      <c r="B56" s="1236" t="str">
        <f>估价对象房地状况!C21</f>
        <v>较好</v>
      </c>
      <c r="C56" s="1883"/>
      <c r="D56" s="999">
        <f t="shared" si="6"/>
        <v>0</v>
      </c>
      <c r="E56" s="700"/>
      <c r="F56" s="1671"/>
      <c r="G56" s="997"/>
      <c r="H56" s="1000" t="str">
        <f t="shared" si="7"/>
        <v>——</v>
      </c>
      <c r="I56" s="303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4" hidden="1">
      <c r="A57" s="1972" t="s">
        <v>2058</v>
      </c>
      <c r="B57" s="1258" t="str">
        <f>估价对象房地状况!C22</f>
        <v>七通</v>
      </c>
      <c r="C57" s="1883"/>
      <c r="D57" s="999">
        <f t="shared" si="6"/>
        <v>0</v>
      </c>
      <c r="E57" s="700"/>
      <c r="F57" s="1671"/>
      <c r="G57" s="997"/>
      <c r="H57" s="1000" t="str">
        <f t="shared" si="7"/>
        <v>——</v>
      </c>
      <c r="I57" s="303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26.25" hidden="1" thickBot="1">
      <c r="A58" s="1973" t="s">
        <v>2059</v>
      </c>
      <c r="B58" s="1974" t="str">
        <f>估价对象房地状况!C20</f>
        <v>白盆窑公园、国际法官学院，一般</v>
      </c>
      <c r="C58" s="1883"/>
      <c r="D58" s="999">
        <f t="shared" si="6"/>
        <v>0</v>
      </c>
      <c r="E58" s="701"/>
      <c r="F58" s="1671"/>
      <c r="G58" s="997"/>
      <c r="H58" s="1000" t="str">
        <f t="shared" si="7"/>
        <v>——</v>
      </c>
      <c r="I58" s="303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3" t="s">
        <v>2060</v>
      </c>
      <c r="B59" s="1964">
        <f>1+E61</f>
        <v>1.0481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t="s">
        <v>3426</v>
      </c>
      <c r="D61" s="999">
        <f t="shared" ref="D61:D69" si="11">SUMIF($J$60:$N$60,C61,J61:N61)</f>
        <v>1.21E-2</v>
      </c>
      <c r="E61" s="699">
        <f>ROUND(SUM(D61:D69),4)</f>
        <v>4.8099999999999997E-2</v>
      </c>
      <c r="F61" s="1671">
        <f>IF(E2="办公",SUMIF(L1:L12,G2,N1:N12),"——")</f>
        <v>0.1</v>
      </c>
      <c r="G61" s="997">
        <v>1.21E-2</v>
      </c>
      <c r="H61" s="1000">
        <f t="shared" ref="H61:H69" si="12">IFERROR(ROUNDDOWN($F$61*I61/2,4),"——")</f>
        <v>1.2500000000000001E-2</v>
      </c>
      <c r="I61" s="3031">
        <v>0.25</v>
      </c>
      <c r="J61" s="998">
        <f t="shared" ref="J61:J69" si="13">K61+$G61</f>
        <v>2.4199999999999999E-2</v>
      </c>
      <c r="K61" s="998">
        <f t="shared" ref="K61:K69" si="14">$L61+$G61</f>
        <v>1.21E-2</v>
      </c>
      <c r="L61" s="998">
        <v>0</v>
      </c>
      <c r="M61" s="998">
        <f t="shared" ref="M61:N69" si="15">L61-$G61</f>
        <v>-1.21E-2</v>
      </c>
      <c r="N61" s="998">
        <f t="shared" si="15"/>
        <v>-2.4199999999999999E-2</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t="s">
        <v>3426</v>
      </c>
      <c r="D62" s="999">
        <f t="shared" si="11"/>
        <v>1.26E-2</v>
      </c>
      <c r="E62" s="700"/>
      <c r="F62" s="1671"/>
      <c r="G62" s="997">
        <v>1.26E-2</v>
      </c>
      <c r="H62" s="1000">
        <f t="shared" si="12"/>
        <v>1.2999999999999999E-2</v>
      </c>
      <c r="I62" s="3031">
        <v>0.26</v>
      </c>
      <c r="J62" s="998">
        <f t="shared" si="13"/>
        <v>2.52E-2</v>
      </c>
      <c r="K62" s="998">
        <f t="shared" si="14"/>
        <v>1.26E-2</v>
      </c>
      <c r="L62" s="998">
        <v>0</v>
      </c>
      <c r="M62" s="998">
        <f t="shared" si="15"/>
        <v>-1.26E-2</v>
      </c>
      <c r="N62" s="998">
        <f t="shared" si="15"/>
        <v>-2.52E-2</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t="s">
        <v>3426</v>
      </c>
      <c r="D63" s="999">
        <f t="shared" si="11"/>
        <v>5.3E-3</v>
      </c>
      <c r="E63" s="700"/>
      <c r="F63" s="1671"/>
      <c r="G63" s="997">
        <v>5.3E-3</v>
      </c>
      <c r="H63" s="1000">
        <f t="shared" si="12"/>
        <v>5.4999999999999997E-3</v>
      </c>
      <c r="I63" s="3031">
        <v>0.11</v>
      </c>
      <c r="J63" s="998">
        <f t="shared" si="13"/>
        <v>1.06E-2</v>
      </c>
      <c r="K63" s="998">
        <f t="shared" si="14"/>
        <v>5.3E-3</v>
      </c>
      <c r="L63" s="998">
        <v>0</v>
      </c>
      <c r="M63" s="998">
        <f t="shared" si="15"/>
        <v>-5.3E-3</v>
      </c>
      <c r="N63" s="998">
        <f t="shared" si="15"/>
        <v>-1.06E-2</v>
      </c>
      <c r="AA63" s="1054"/>
      <c r="AB63" s="1054"/>
      <c r="AC63" s="1054"/>
      <c r="AD63" s="1054"/>
      <c r="AE63" s="1054"/>
      <c r="AF63" s="1054"/>
      <c r="AG63" s="1054"/>
      <c r="AH63" s="1054"/>
      <c r="AI63" s="1054"/>
      <c r="AJ63" s="1054"/>
      <c r="AK63" s="1054"/>
    </row>
    <row r="64" spans="1:37" s="1053" customFormat="1" ht="36.75">
      <c r="A64" s="1966" t="s">
        <v>2052</v>
      </c>
      <c r="B64" s="1970" t="s">
        <v>2053</v>
      </c>
      <c r="C64" s="1883" t="s">
        <v>3426</v>
      </c>
      <c r="D64" s="999">
        <f t="shared" si="11"/>
        <v>2.3999999999999998E-3</v>
      </c>
      <c r="E64" s="700"/>
      <c r="F64" s="1671"/>
      <c r="G64" s="997">
        <v>2.3999999999999998E-3</v>
      </c>
      <c r="H64" s="1000">
        <f t="shared" si="12"/>
        <v>2.5000000000000001E-3</v>
      </c>
      <c r="I64" s="3031">
        <v>0.05</v>
      </c>
      <c r="J64" s="998">
        <f t="shared" si="13"/>
        <v>4.7999999999999996E-3</v>
      </c>
      <c r="K64" s="998">
        <f t="shared" si="14"/>
        <v>2.3999999999999998E-3</v>
      </c>
      <c r="L64" s="998">
        <v>0</v>
      </c>
      <c r="M64" s="998">
        <f t="shared" si="15"/>
        <v>-2.3999999999999998E-3</v>
      </c>
      <c r="N64" s="998">
        <f t="shared" si="15"/>
        <v>-4.7999999999999996E-3</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3121" t="s">
        <v>3441</v>
      </c>
      <c r="D65" s="999">
        <f t="shared" si="11"/>
        <v>-2E-3</v>
      </c>
      <c r="E65" s="700"/>
      <c r="F65" s="1671"/>
      <c r="G65" s="997">
        <v>2E-3</v>
      </c>
      <c r="H65" s="1000">
        <f t="shared" si="12"/>
        <v>2.5000000000000001E-3</v>
      </c>
      <c r="I65" s="3031">
        <v>0.05</v>
      </c>
      <c r="J65" s="998">
        <f t="shared" si="13"/>
        <v>4.0000000000000001E-3</v>
      </c>
      <c r="K65" s="998">
        <f t="shared" si="14"/>
        <v>2E-3</v>
      </c>
      <c r="L65" s="998">
        <v>0</v>
      </c>
      <c r="M65" s="998">
        <f t="shared" si="15"/>
        <v>-2E-3</v>
      </c>
      <c r="N65" s="998">
        <f t="shared" si="15"/>
        <v>-4.0000000000000001E-3</v>
      </c>
      <c r="AA65" s="1054"/>
      <c r="AB65" s="1054"/>
      <c r="AC65" s="1054"/>
      <c r="AD65" s="1054"/>
      <c r="AE65" s="1054"/>
      <c r="AF65" s="1054"/>
      <c r="AG65" s="1054"/>
      <c r="AH65" s="1054"/>
      <c r="AI65" s="1054"/>
      <c r="AJ65" s="1054"/>
      <c r="AK65" s="1054"/>
    </row>
    <row r="66" spans="1:37" s="1053" customFormat="1" ht="24">
      <c r="A66" s="1966" t="s">
        <v>2055</v>
      </c>
      <c r="B66" s="1971" t="s">
        <v>2056</v>
      </c>
      <c r="C66" s="1883" t="s">
        <v>3426</v>
      </c>
      <c r="D66" s="999">
        <f t="shared" si="11"/>
        <v>2.8999999999999998E-3</v>
      </c>
      <c r="E66" s="700"/>
      <c r="F66" s="1671"/>
      <c r="G66" s="997">
        <v>2.8999999999999998E-3</v>
      </c>
      <c r="H66" s="1000">
        <f t="shared" si="12"/>
        <v>3.0000000000000001E-3</v>
      </c>
      <c r="I66" s="3031">
        <v>0.06</v>
      </c>
      <c r="J66" s="998">
        <f t="shared" si="13"/>
        <v>5.7999999999999996E-3</v>
      </c>
      <c r="K66" s="998">
        <f t="shared" si="14"/>
        <v>2.8999999999999998E-3</v>
      </c>
      <c r="L66" s="998">
        <v>0</v>
      </c>
      <c r="M66" s="998">
        <f t="shared" si="15"/>
        <v>-2.8999999999999998E-3</v>
      </c>
      <c r="N66" s="998">
        <f t="shared" si="15"/>
        <v>-5.7999999999999996E-3</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t="s">
        <v>3426</v>
      </c>
      <c r="D67" s="999">
        <f t="shared" si="11"/>
        <v>2.8999999999999998E-3</v>
      </c>
      <c r="E67" s="700"/>
      <c r="F67" s="1671"/>
      <c r="G67" s="997">
        <v>2.8999999999999998E-3</v>
      </c>
      <c r="H67" s="1000">
        <f t="shared" si="12"/>
        <v>3.0000000000000001E-3</v>
      </c>
      <c r="I67" s="3031">
        <v>0.06</v>
      </c>
      <c r="J67" s="998">
        <f t="shared" si="13"/>
        <v>5.7999999999999996E-3</v>
      </c>
      <c r="K67" s="998">
        <f t="shared" si="14"/>
        <v>2.8999999999999998E-3</v>
      </c>
      <c r="L67" s="998">
        <v>0</v>
      </c>
      <c r="M67" s="998">
        <f t="shared" si="15"/>
        <v>-2.8999999999999998E-3</v>
      </c>
      <c r="N67" s="998">
        <f t="shared" si="15"/>
        <v>-5.7999999999999996E-3</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t="s">
        <v>3440</v>
      </c>
      <c r="D68" s="999">
        <f t="shared" si="11"/>
        <v>8.6E-3</v>
      </c>
      <c r="E68" s="700"/>
      <c r="F68" s="1671"/>
      <c r="G68" s="997">
        <v>4.3E-3</v>
      </c>
      <c r="H68" s="1000">
        <f t="shared" si="12"/>
        <v>4.4999999999999997E-3</v>
      </c>
      <c r="I68" s="3031">
        <v>0.09</v>
      </c>
      <c r="J68" s="998">
        <f t="shared" si="13"/>
        <v>8.6E-3</v>
      </c>
      <c r="K68" s="998">
        <f t="shared" si="14"/>
        <v>4.3E-3</v>
      </c>
      <c r="L68" s="998">
        <v>0</v>
      </c>
      <c r="M68" s="998">
        <f t="shared" si="15"/>
        <v>-4.3E-3</v>
      </c>
      <c r="N68" s="998">
        <f t="shared" si="15"/>
        <v>-8.6E-3</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t="s">
        <v>3426</v>
      </c>
      <c r="D69" s="999">
        <f t="shared" si="11"/>
        <v>3.3E-3</v>
      </c>
      <c r="E69" s="701"/>
      <c r="F69" s="1671"/>
      <c r="G69" s="997">
        <v>3.3E-3</v>
      </c>
      <c r="H69" s="1000">
        <f t="shared" si="12"/>
        <v>3.5000000000000001E-3</v>
      </c>
      <c r="I69" s="3032">
        <v>7.0000000000000007E-2</v>
      </c>
      <c r="J69" s="998">
        <f t="shared" si="13"/>
        <v>6.6E-3</v>
      </c>
      <c r="K69" s="998">
        <f t="shared" si="14"/>
        <v>3.3E-3</v>
      </c>
      <c r="L69" s="998">
        <v>0</v>
      </c>
      <c r="M69" s="998">
        <f t="shared" si="15"/>
        <v>-3.3E-3</v>
      </c>
      <c r="N69" s="998">
        <f t="shared" si="15"/>
        <v>-6.6E-3</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3265</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2042</v>
      </c>
      <c r="B92" s="2302"/>
      <c r="C92" s="2302" t="s">
        <v>2044</v>
      </c>
      <c r="D92" s="2302" t="s">
        <v>2045</v>
      </c>
      <c r="E92" s="3015" t="s">
        <v>2046</v>
      </c>
      <c r="F92" s="3045" t="s">
        <v>3279</v>
      </c>
      <c r="G92" s="2302" t="s">
        <v>1987</v>
      </c>
      <c r="H92" s="3052" t="s">
        <v>3283</v>
      </c>
      <c r="I92" s="2302" t="s">
        <v>2049</v>
      </c>
      <c r="J92" s="2145" t="s">
        <v>1720</v>
      </c>
      <c r="K92" s="2145" t="s">
        <v>1721</v>
      </c>
      <c r="L92" s="2145" t="s">
        <v>1722</v>
      </c>
      <c r="M92" s="2145" t="s">
        <v>1723</v>
      </c>
      <c r="N92" s="2145" t="s">
        <v>1724</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2051</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2052</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2054</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2055</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2057</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2058</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2059</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55" t="s">
        <v>3290</v>
      </c>
      <c r="B103" s="3455"/>
      <c r="C103" s="3455"/>
      <c r="D103" s="3455"/>
      <c r="E103" s="3455"/>
      <c r="F103" s="3455"/>
      <c r="G103" s="3455"/>
      <c r="H103" s="3455"/>
      <c r="I103" s="3455"/>
      <c r="J103" s="3455"/>
      <c r="K103" s="1663"/>
      <c r="L103" s="1663"/>
      <c r="M103" s="1663"/>
      <c r="N103" s="1663"/>
    </row>
    <row r="104" spans="1:14">
      <c r="A104" s="3456" t="s">
        <v>3291</v>
      </c>
      <c r="B104" s="3456" t="s">
        <v>3292</v>
      </c>
      <c r="C104" s="3053" t="s">
        <v>3293</v>
      </c>
      <c r="D104" s="3054"/>
      <c r="E104" s="3054"/>
      <c r="F104" s="3054"/>
      <c r="G104" s="3054"/>
      <c r="H104" s="3054"/>
      <c r="I104" s="3054"/>
      <c r="J104" s="3055"/>
      <c r="K104" s="3056"/>
      <c r="L104" s="3056"/>
      <c r="M104" s="3056"/>
      <c r="N104" s="3056"/>
    </row>
    <row r="105" spans="1:14">
      <c r="A105" s="3456"/>
      <c r="B105" s="3456"/>
      <c r="C105" s="3057" t="s">
        <v>1959</v>
      </c>
      <c r="D105" s="3057" t="s">
        <v>1960</v>
      </c>
      <c r="E105" s="3057" t="s">
        <v>1961</v>
      </c>
      <c r="F105" s="3057" t="s">
        <v>1962</v>
      </c>
      <c r="G105" s="3057" t="s">
        <v>1963</v>
      </c>
      <c r="H105" s="3057" t="s">
        <v>1964</v>
      </c>
      <c r="I105" s="3057" t="s">
        <v>1965</v>
      </c>
      <c r="J105" s="3057" t="s">
        <v>1966</v>
      </c>
      <c r="K105" s="3057" t="s">
        <v>1967</v>
      </c>
      <c r="L105" s="3057" t="s">
        <v>1968</v>
      </c>
      <c r="M105" s="3057" t="s">
        <v>1969</v>
      </c>
      <c r="N105" s="3057" t="s">
        <v>1970</v>
      </c>
    </row>
    <row r="106" spans="1:14">
      <c r="A106" s="3443"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44"/>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44"/>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44"/>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44"/>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44"/>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45"/>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53" t="s">
        <v>3307</v>
      </c>
      <c r="B113" s="3253"/>
      <c r="C113" s="3253"/>
      <c r="D113" s="3253"/>
      <c r="E113" s="3253"/>
      <c r="F113" s="3253"/>
      <c r="G113" s="3253"/>
      <c r="H113" s="3253"/>
      <c r="I113" s="3253"/>
      <c r="J113" s="3253"/>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0.89890000000000003</v>
      </c>
      <c r="E116" s="162" t="s">
        <v>1934</v>
      </c>
      <c r="F116" s="3064" t="str">
        <f>E2</f>
        <v>办公</v>
      </c>
      <c r="G116" s="162" t="s">
        <v>1935</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1988</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1989</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1990</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1991</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2">
    <dataValidation type="list" allowBlank="1" showInputMessage="1" showErrorMessage="1" sqref="J23" xr:uid="{00000000-0002-0000-1900-000000000000}">
      <formula1>"不用分区数据,中心城区,中心城区以外"</formula1>
    </dataValidation>
    <dataValidation type="list" allowBlank="1" showInputMessage="1" showErrorMessage="1" sqref="H20:O20" xr:uid="{00000000-0002-0000-1900-000001000000}">
      <formula1>七通一平</formula1>
    </dataValidation>
    <dataValidation type="list" allowBlank="1" showInputMessage="1" showErrorMessage="1" sqref="H23" xr:uid="{00000000-0002-0000-1900-000002000000}">
      <formula1>"地价指数,季度增幅（自定义）,按公示增长率计算"</formula1>
    </dataValidation>
    <dataValidation type="list" allowBlank="1" showInputMessage="1" showErrorMessage="1" sqref="C61:C69 C72:C80 C50:C58 C83:C91 C93:C101" xr:uid="{00000000-0002-0000-1900-000003000000}">
      <formula1>五等判定</formula1>
    </dataValidation>
    <dataValidation type="list" allowBlank="1" showInputMessage="1" showErrorMessage="1" sqref="E3" xr:uid="{00000000-0002-0000-1900-000004000000}">
      <formula1>二级分类</formula1>
    </dataValidation>
    <dataValidation type="list" allowBlank="1" showInputMessage="1" showErrorMessage="1" sqref="C8" xr:uid="{00000000-0002-0000-1900-000005000000}">
      <formula1>商业街名称</formula1>
    </dataValidation>
    <dataValidation type="list" allowBlank="1" showInputMessage="1" showErrorMessage="1" sqref="F3" xr:uid="{00000000-0002-0000-1900-000006000000}">
      <formula1>"宗地容积率,估价对象容积率,自定义容积率"</formula1>
    </dataValidation>
    <dataValidation type="list" allowBlank="1" showInputMessage="1" showErrorMessage="1" sqref="E2" xr:uid="{00000000-0002-0000-1900-000007000000}">
      <formula1>"商业,办公,住宅,工业,公共服务"</formula1>
    </dataValidation>
    <dataValidation type="list" allowBlank="1" showInputMessage="1" showErrorMessage="1" sqref="F21" xr:uid="{00000000-0002-0000-1900-000008000000}">
      <formula1>"与级别开发程度一致,与级别开发程度不一致"</formula1>
    </dataValidation>
    <dataValidation type="list" allowBlank="1" showInputMessage="1" showErrorMessage="1" sqref="B25" xr:uid="{00000000-0002-0000-1900-000009000000}">
      <formula1>"容积率修正,楼层修正"</formula1>
    </dataValidation>
    <dataValidation type="list" allowBlank="1" showInputMessage="1" showErrorMessage="1" sqref="C15:D15" xr:uid="{00000000-0002-0000-1900-00000A000000}">
      <formula1>"有,无"</formula1>
    </dataValidation>
    <dataValidation type="list" allowBlank="1" showInputMessage="1" showErrorMessage="1" sqref="E15" xr:uid="{00000000-0002-0000-19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0"/>
      <c r="C1" s="1713" t="s">
        <v>1562</v>
      </c>
      <c r="D1" s="190"/>
      <c r="E1" s="190"/>
      <c r="F1" s="190"/>
      <c r="G1" s="1059">
        <f>MATCH(B1,'数据-取费表'!A6:A16,0)+5</f>
        <v>9</v>
      </c>
      <c r="H1" s="995" t="str">
        <f>IF(ISERROR(FIND("住宅",B1)),"非住宅","住宅")</f>
        <v>非住宅</v>
      </c>
    </row>
    <row r="2" spans="1:8" s="192" customFormat="1" ht="18" customHeight="1">
      <c r="A2" s="193" t="s">
        <v>1461</v>
      </c>
      <c r="B2" s="3085">
        <f ca="1">ROUND(IF(D2="——",C52/10000,C52/10000-E2),4)</f>
        <v>93743.724600000001</v>
      </c>
      <c r="C2" s="191" t="s">
        <v>1462</v>
      </c>
      <c r="D2" s="1707" t="s">
        <v>43</v>
      </c>
      <c r="E2" s="1086" t="e">
        <f ca="1">SUMIF(INDIRECT("'"&amp;G2&amp;"'"&amp;"!A:A"),"承租人权益价值",INDIRECT("'"&amp;G2&amp;"'"&amp;"!c:c"))</f>
        <v>#REF!</v>
      </c>
      <c r="F2" s="1708" t="s">
        <v>1462</v>
      </c>
      <c r="G2" s="1709"/>
    </row>
    <row r="3" spans="1:8" s="192" customFormat="1" ht="18" customHeight="1" thickBot="1">
      <c r="A3" s="195" t="s">
        <v>1463</v>
      </c>
      <c r="B3" s="196">
        <f ca="1">ROUND(B2*10000/(IF(B1="",'数据-汇总表'!E3,INDIRECT("'数据-取费表'!k"&amp;$G$1))),0)</f>
        <v>8619</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21753096</v>
      </c>
      <c r="D5" s="203" t="s">
        <v>1468</v>
      </c>
      <c r="E5" s="204" t="s">
        <v>1469</v>
      </c>
      <c r="F5" s="204" t="s">
        <v>1470</v>
      </c>
      <c r="G5" s="205"/>
    </row>
    <row r="6" spans="1:8" s="206" customFormat="1" ht="13.5" customHeight="1">
      <c r="A6" s="729" t="s">
        <v>1471</v>
      </c>
      <c r="B6" s="207" t="s">
        <v>1472</v>
      </c>
      <c r="C6" s="208"/>
      <c r="D6" s="209"/>
      <c r="E6" s="210"/>
      <c r="F6" s="210"/>
      <c r="G6" s="211"/>
    </row>
    <row r="7" spans="1:8" s="206" customFormat="1" ht="13.5" customHeight="1">
      <c r="A7" s="729" t="s">
        <v>1473</v>
      </c>
      <c r="B7" s="207" t="s">
        <v>1474</v>
      </c>
      <c r="C7" s="212">
        <f>ROUND(C6*F7,0)</f>
        <v>0</v>
      </c>
      <c r="D7" s="212"/>
      <c r="E7" s="210"/>
      <c r="F7" s="213">
        <f>IF(项目基本情况!B8="出让",0,'数据-取费表'!B48+'数据-取费表'!B49)</f>
        <v>3.0499999999999999E-2</v>
      </c>
      <c r="G7" s="211"/>
    </row>
    <row r="8" spans="1:8" s="215" customFormat="1">
      <c r="A8" s="729" t="s">
        <v>1475</v>
      </c>
      <c r="B8" s="207" t="s">
        <v>1476</v>
      </c>
      <c r="C8" s="212">
        <f ca="1">IF(G8="已包含在土地购买价格中",0,C9+C10)</f>
        <v>21753096</v>
      </c>
      <c r="D8" s="214"/>
      <c r="E8" s="212"/>
      <c r="F8" s="213"/>
      <c r="G8" s="1710"/>
    </row>
    <row r="9" spans="1:8" s="206" customFormat="1" ht="13.5" customHeight="1">
      <c r="A9" s="730" t="s">
        <v>355</v>
      </c>
      <c r="B9" s="216" t="s">
        <v>1477</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1479</v>
      </c>
      <c r="C10" s="217">
        <f ca="1">ROUND(D10*E10,0)</f>
        <v>21753096</v>
      </c>
      <c r="D10" s="792">
        <f ca="1">IF(B1="",'数据-汇总表'!E6,IF(INDIRECT("'数据-取费表'!c"&amp;$G$1)="住宅",INDIRECT("'数据-取费表'!s"&amp;$G$1),INDIRECT("'数据-取费表'!k"&amp;$G$1)+INDIRECT("'数据-取费表'!s"&amp;$G$1)))</f>
        <v>108765.47999999998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21753096</v>
      </c>
      <c r="D19" s="204">
        <f ca="1">D9+D10</f>
        <v>108765.47999999998</v>
      </c>
      <c r="E19" s="203">
        <f>'数据-取费表'!B31</f>
        <v>200</v>
      </c>
      <c r="F19" s="223"/>
      <c r="G19" s="1710"/>
    </row>
    <row r="20" spans="1:7" s="206" customFormat="1" ht="13.5" customHeight="1">
      <c r="A20" s="247" t="s">
        <v>1573</v>
      </c>
      <c r="B20" s="202" t="s">
        <v>1574</v>
      </c>
      <c r="C20" s="224">
        <f ca="1">ROUND((C5+C19)*F20,0)</f>
        <v>1305186</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3501296</v>
      </c>
      <c r="D22" s="227">
        <f ca="1">C26</f>
        <v>1.1999999999999999E-3</v>
      </c>
      <c r="E22" s="228" t="s">
        <v>1578</v>
      </c>
      <c r="F22" s="229">
        <f ca="1">'数据-取费表'!B40</f>
        <v>3.1E-2</v>
      </c>
      <c r="G22" s="226" t="str">
        <f>IF('数据-取费表'!B22&lt;=1,"单利计息","复利计息")</f>
        <v>复利计息</v>
      </c>
    </row>
    <row r="23" spans="1:7" s="206" customFormat="1" ht="13.5" customHeight="1">
      <c r="A23" s="731" t="s">
        <v>1471</v>
      </c>
      <c r="B23" s="207" t="s">
        <v>1582</v>
      </c>
      <c r="C23" s="230">
        <f ca="1">ROUND(IF('数据-取费表'!B22&lt;=1,C5*F22*'数据-取费表'!B22,C5*(POWER((1+F22),'数据-取费表'!B22)-1)),0)</f>
        <v>1725263</v>
      </c>
      <c r="D23" s="230"/>
      <c r="E23" s="230"/>
      <c r="F23" s="231"/>
      <c r="G23" s="232" t="s">
        <v>1583</v>
      </c>
    </row>
    <row r="24" spans="1:7" s="206" customFormat="1" ht="13.5" customHeight="1">
      <c r="A24" s="731" t="s">
        <v>1473</v>
      </c>
      <c r="B24" s="207" t="s">
        <v>1584</v>
      </c>
      <c r="C24" s="230">
        <f ca="1">ROUND(IF('数据-取费表'!B22&lt;=1,C19*F22*('数据-取费表'!B19/2+'数据-取费表'!B20),C19*(POWER((1+F22),('数据-取费表'!B19/2+'数据-取费表'!B20))-1)),0)</f>
        <v>1725263</v>
      </c>
      <c r="D24" s="230"/>
      <c r="E24" s="230"/>
      <c r="F24" s="231"/>
      <c r="G24" s="232" t="s">
        <v>1585</v>
      </c>
    </row>
    <row r="25" spans="1:7" s="206" customFormat="1" ht="24">
      <c r="A25" s="731" t="s">
        <v>1475</v>
      </c>
      <c r="B25" s="207" t="s">
        <v>1586</v>
      </c>
      <c r="C25" s="230">
        <f ca="1">ROUND(IF('数据-取费表'!B22&lt;=1,C20*F22*'数据-取费表'!B22/2,C20*(POWER((1+F22),'数据-取费表'!B22/2)-1)),0)</f>
        <v>50770</v>
      </c>
      <c r="D25" s="230"/>
      <c r="E25" s="233"/>
      <c r="F25" s="231"/>
      <c r="G25" s="234" t="s">
        <v>1587</v>
      </c>
    </row>
    <row r="26" spans="1:7" s="206" customFormat="1">
      <c r="A26" s="731" t="s">
        <v>350</v>
      </c>
      <c r="B26" s="207" t="s">
        <v>1510</v>
      </c>
      <c r="C26" s="230">
        <f ca="1">ROUND(IF('数据-取费表'!B22&lt;=1,F21*F22*'数据-取费表'!B22/2,F21*(POWER((1+F22),'数据-取费表'!B22/2)-1)),4)</f>
        <v>1.1999999999999999E-3</v>
      </c>
      <c r="D26" s="230"/>
      <c r="E26" s="233"/>
      <c r="F26" s="231"/>
      <c r="G26" s="235"/>
    </row>
    <row r="27" spans="1:7" s="206" customFormat="1" ht="24.75">
      <c r="A27" s="247" t="s">
        <v>1511</v>
      </c>
      <c r="B27" s="236" t="s">
        <v>1512</v>
      </c>
      <c r="C27" s="237">
        <f ca="1">C28</f>
        <v>6721707</v>
      </c>
      <c r="D27" s="227">
        <f ca="1">C29</f>
        <v>4.4999999999999997E-3</v>
      </c>
      <c r="E27" s="228" t="s">
        <v>1513</v>
      </c>
      <c r="F27" s="238">
        <f ca="1">IF(B1="",'数据-取费表'!Q16,INDIRECT("'数据-取费表'!q"&amp;$G$1))</f>
        <v>0.15</v>
      </c>
      <c r="G27" s="239" t="s">
        <v>1514</v>
      </c>
    </row>
    <row r="28" spans="1:7" s="206" customFormat="1" ht="13.5" customHeight="1">
      <c r="A28" s="731" t="s">
        <v>346</v>
      </c>
      <c r="B28" s="240" t="s">
        <v>1515</v>
      </c>
      <c r="C28" s="241">
        <f ca="1">ROUND((C5+C19+C20)*F27,0)</f>
        <v>6721707</v>
      </c>
      <c r="D28" s="227"/>
      <c r="E28" s="228"/>
      <c r="F28" s="238"/>
      <c r="G28" s="239"/>
    </row>
    <row r="29" spans="1:7" s="206" customFormat="1" ht="13.5" customHeight="1">
      <c r="A29" s="731" t="s">
        <v>347</v>
      </c>
      <c r="B29" s="240" t="s">
        <v>1516</v>
      </c>
      <c r="C29" s="230">
        <f ca="1">ROUND(C21*F27,4)</f>
        <v>4.4999999999999997E-3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60410956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652452350</v>
      </c>
      <c r="D33" s="224"/>
      <c r="E33" s="204"/>
      <c r="F33" s="233"/>
      <c r="G33" s="226"/>
    </row>
    <row r="34" spans="1:7" s="250" customFormat="1" ht="13.5" customHeight="1">
      <c r="A34" s="731" t="s">
        <v>346</v>
      </c>
      <c r="B34" s="207" t="s">
        <v>1524</v>
      </c>
      <c r="C34" s="212">
        <f ca="1">ROUND(IF(B1="",SUMPRODUCT('数据-取费表'!K6:K14,'数据-取费表'!L6:L14),INDIRECT("'数据-取费表'!l"&amp;$G$1)*INDIRECT("'数据-取费表'!k"&amp;$G$1)+'数据-取费表'!L14*INDIRECT("'数据-取费表'!S"&amp;$G$1)),0)</f>
        <v>583980790</v>
      </c>
      <c r="D34" s="209"/>
      <c r="E34" s="212"/>
      <c r="F34" s="249"/>
      <c r="G34" s="211"/>
    </row>
    <row r="35" spans="1:7" ht="13.5" customHeight="1">
      <c r="A35" s="731" t="s">
        <v>351</v>
      </c>
      <c r="B35" s="207" t="s">
        <v>1526</v>
      </c>
      <c r="C35" s="212">
        <f ca="1">ROUND(C34*F35,0)</f>
        <v>29199040</v>
      </c>
      <c r="D35" s="212"/>
      <c r="E35" s="212"/>
      <c r="F35" s="251">
        <f>'数据-取费表'!B33</f>
        <v>0.05</v>
      </c>
      <c r="G35" s="211" t="s">
        <v>1527</v>
      </c>
    </row>
    <row r="36" spans="1:7" ht="24">
      <c r="A36" s="731"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1" t="s">
        <v>353</v>
      </c>
      <c r="B37" s="207" t="s">
        <v>1530</v>
      </c>
      <c r="C37" s="241">
        <f ca="1">ROUND(E37*D37,0)</f>
        <v>21753096</v>
      </c>
      <c r="D37" s="209">
        <f ca="1">D19</f>
        <v>108765.47999999998</v>
      </c>
      <c r="E37" s="241">
        <f>'数据-取费表'!B35</f>
        <v>200</v>
      </c>
      <c r="F37" s="251"/>
      <c r="G37" s="253"/>
    </row>
    <row r="38" spans="1:7" ht="13.5" customHeight="1">
      <c r="A38" s="731" t="s">
        <v>354</v>
      </c>
      <c r="B38" s="207" t="s">
        <v>1532</v>
      </c>
      <c r="C38" s="212">
        <f ca="1">ROUND(C34*F38,0)</f>
        <v>17519424</v>
      </c>
      <c r="D38" s="212"/>
      <c r="E38" s="212"/>
      <c r="F38" s="251">
        <f>'数据-取费表'!B36</f>
        <v>0.03</v>
      </c>
      <c r="G38" s="211" t="s">
        <v>1527</v>
      </c>
    </row>
    <row r="39" spans="1:7" s="206" customFormat="1" ht="13.5" customHeight="1">
      <c r="A39" s="247" t="s">
        <v>1533</v>
      </c>
      <c r="B39" s="202" t="s">
        <v>1534</v>
      </c>
      <c r="C39" s="224">
        <f ca="1">ROUND(C33*F20,0)</f>
        <v>19573571</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26141141</v>
      </c>
      <c r="D41" s="227">
        <f ca="1">C44</f>
        <v>1.1999999999999999E-3</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ROUND(IF('数据-取费表'!B22&lt;=1,C33*F22*'数据-取费表'!B20/2,C33*(POWER((1+F22),'数据-取费表'!B20/2)-1)),0)</f>
        <v>25379749</v>
      </c>
      <c r="D42" s="230"/>
      <c r="E42" s="230"/>
      <c r="F42" s="231"/>
      <c r="G42" s="3440" t="s">
        <v>1590</v>
      </c>
    </row>
    <row r="43" spans="1:7" ht="13.5" customHeight="1">
      <c r="A43" s="731" t="s">
        <v>347</v>
      </c>
      <c r="B43" s="207" t="s">
        <v>1544</v>
      </c>
      <c r="C43" s="230">
        <f ca="1">ROUND(IF('数据-取费表'!B22&lt;=1,C39*F22*'数据-取费表'!B20/2,C39*(POWER((1+F22),'数据-取费表'!B20/2)-1)),0)</f>
        <v>761392</v>
      </c>
      <c r="D43" s="230"/>
      <c r="E43" s="230"/>
      <c r="F43" s="231"/>
      <c r="G43" s="3441"/>
    </row>
    <row r="44" spans="1:7" ht="13.5" customHeight="1">
      <c r="A44" s="731" t="s">
        <v>348</v>
      </c>
      <c r="B44" s="207" t="s">
        <v>1545</v>
      </c>
      <c r="C44" s="230">
        <f ca="1">ROUND(IF('数据-取费表'!B22&lt;=1,C40*F22*'数据-取费表'!B20/2,C40*(POWER((1+F22),'数据-取费表'!B20/2)-1)),4)</f>
        <v>1.1999999999999999E-3</v>
      </c>
      <c r="D44" s="230"/>
      <c r="E44" s="230"/>
      <c r="F44" s="231"/>
      <c r="G44" s="3442"/>
    </row>
    <row r="45" spans="1:7" s="206" customFormat="1" ht="13.5" customHeight="1">
      <c r="A45" s="247" t="s">
        <v>1546</v>
      </c>
      <c r="B45" s="236" t="s">
        <v>1512</v>
      </c>
      <c r="C45" s="237">
        <f ca="1">C46</f>
        <v>100803888</v>
      </c>
      <c r="D45" s="227">
        <f ca="1">C47</f>
        <v>4.4999999999999997E-3</v>
      </c>
      <c r="E45" s="228" t="s">
        <v>1538</v>
      </c>
      <c r="F45" s="238">
        <f ca="1">F27</f>
        <v>0.15</v>
      </c>
      <c r="G45" s="239" t="s">
        <v>1547</v>
      </c>
    </row>
    <row r="46" spans="1:7" s="206" customFormat="1" ht="13.5" customHeight="1">
      <c r="A46" s="731" t="s">
        <v>346</v>
      </c>
      <c r="B46" s="240" t="s">
        <v>1548</v>
      </c>
      <c r="C46" s="241">
        <f ca="1">ROUND((C33+C39)*F27,0)</f>
        <v>100803888</v>
      </c>
      <c r="D46" s="255"/>
      <c r="E46" s="228"/>
      <c r="F46" s="238"/>
      <c r="G46" s="239"/>
    </row>
    <row r="47" spans="1:7" s="206" customFormat="1" ht="13.5" customHeight="1">
      <c r="A47" s="731" t="s">
        <v>347</v>
      </c>
      <c r="B47" s="240" t="s">
        <v>1549</v>
      </c>
      <c r="C47" s="230">
        <f ca="1">ROUND(C40*F27,4)</f>
        <v>4.4999999999999997E-3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877026290</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877026290</v>
      </c>
      <c r="D51" s="224"/>
      <c r="E51" s="224"/>
      <c r="F51" s="256"/>
      <c r="G51" s="226" t="s">
        <v>1559</v>
      </c>
    </row>
    <row r="52" spans="1:7" s="200" customFormat="1" ht="16.5" thickBot="1">
      <c r="A52" s="257" t="s">
        <v>1560</v>
      </c>
      <c r="B52" s="258"/>
      <c r="C52" s="259">
        <f ca="1">C31+C51</f>
        <v>937437246</v>
      </c>
      <c r="D52" s="258"/>
      <c r="E52" s="258"/>
      <c r="F52" s="258"/>
      <c r="G52" s="260"/>
    </row>
    <row r="55" spans="1:7" ht="15">
      <c r="B55" s="262" t="s">
        <v>1561</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FFC000"/>
    <pageSetUpPr fitToPage="1"/>
  </sheetPr>
  <dimension ref="A1:AG34"/>
  <sheetViews>
    <sheetView view="pageBreakPreview" zoomScale="115" zoomScaleNormal="70" zoomScaleSheetLayoutView="115" workbookViewId="0">
      <selection activeCell="M25" sqref="M25"/>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1593</v>
      </c>
      <c r="B1" s="121"/>
      <c r="C1" s="1106"/>
      <c r="D1" s="1105"/>
      <c r="E1" s="2559"/>
      <c r="F1" s="2559"/>
      <c r="G1" s="2440"/>
      <c r="H1" s="2559"/>
      <c r="I1" s="2559"/>
      <c r="J1" s="2559"/>
      <c r="K1" s="2560">
        <f>MATCH(C1,'数据-取费表'!A6:A16,0)+5</f>
        <v>9</v>
      </c>
    </row>
    <row r="2" spans="1:33" ht="18" customHeight="1">
      <c r="A2" s="193" t="s">
        <v>1461</v>
      </c>
      <c r="B2" s="196">
        <f ca="1">C32</f>
        <v>191406</v>
      </c>
      <c r="C2" s="268" t="s">
        <v>1594</v>
      </c>
      <c r="D2" s="268"/>
      <c r="E2" s="2559"/>
      <c r="F2" s="2559"/>
      <c r="G2" s="2559"/>
      <c r="H2" s="2559"/>
      <c r="I2" s="2559"/>
      <c r="J2" s="2559"/>
      <c r="K2" s="2559"/>
    </row>
    <row r="3" spans="1:33" ht="18" customHeight="1" thickBot="1">
      <c r="A3" s="195" t="s">
        <v>1463</v>
      </c>
      <c r="B3" s="196">
        <f ca="1">ROUND(B2*10000/IF(C1="",'数据-汇总表'!E3,INDIRECT("'数据-取费表'!K"&amp;$K$1)),0)</f>
        <v>17598</v>
      </c>
      <c r="C3" s="268" t="s">
        <v>1595</v>
      </c>
      <c r="D3" s="268"/>
      <c r="E3" s="2559"/>
      <c r="F3" s="2559"/>
      <c r="G3" s="2559"/>
      <c r="H3" s="2559"/>
      <c r="I3" s="2559"/>
      <c r="J3" s="2559"/>
      <c r="K3" s="2559"/>
    </row>
    <row r="4" spans="1:33" s="736" customFormat="1" ht="16.5" customHeight="1">
      <c r="A4" s="733" t="s">
        <v>1596</v>
      </c>
      <c r="B4" s="734"/>
      <c r="C4" s="772">
        <f ca="1">SUM(C8:K8)</f>
        <v>209412</v>
      </c>
      <c r="D4" s="734"/>
      <c r="E4" s="734"/>
      <c r="F4" s="734"/>
      <c r="G4" s="734"/>
      <c r="H4" s="734"/>
      <c r="I4" s="734"/>
      <c r="J4" s="734"/>
      <c r="K4" s="735"/>
    </row>
    <row r="5" spans="1:33" s="740" customFormat="1" ht="15">
      <c r="A5" s="737" t="s">
        <v>1597</v>
      </c>
      <c r="B5" s="738" t="s">
        <v>1598</v>
      </c>
      <c r="C5" s="1714" t="s">
        <v>673</v>
      </c>
      <c r="D5" s="1714" t="s">
        <v>21</v>
      </c>
      <c r="E5" s="1714" t="s">
        <v>3420</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1599</v>
      </c>
      <c r="C6" s="742">
        <f ca="1">收益法!B3</f>
        <v>28379</v>
      </c>
      <c r="D6" s="742">
        <f ca="1">收益法办!B3</f>
        <v>21782</v>
      </c>
      <c r="E6" s="742">
        <f ca="1">收益法车!B3</f>
        <v>4275</v>
      </c>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1600</v>
      </c>
      <c r="B7" s="123" t="s">
        <v>1601</v>
      </c>
      <c r="C7" s="269">
        <f>SUMIF('数据-汇总表'!$C19:$C33,假设开发法!C5,'数据-汇总表'!$E19:$E33)</f>
        <v>33835.67</v>
      </c>
      <c r="D7" s="269">
        <f>SUMIF('数据-汇总表'!$C19:$C33,假设开发法!D5,'数据-汇总表'!$E19:$E33)</f>
        <v>46471.11</v>
      </c>
      <c r="E7" s="269">
        <f>SUMIF('数据-汇总表'!$C19:$C33,假设开发法!E5,'数据-汇总表'!$E19:$E33)</f>
        <v>28458.699999999997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1602</v>
      </c>
      <c r="B8" s="156" t="s">
        <v>1603</v>
      </c>
      <c r="C8" s="773">
        <f ca="1">收益法!B2</f>
        <v>96023</v>
      </c>
      <c r="D8" s="773">
        <f ca="1">收益法办!B2</f>
        <v>101224</v>
      </c>
      <c r="E8" s="773">
        <f ca="1">收益法车!B2</f>
        <v>12165</v>
      </c>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71">
        <f ca="1">IF(C1="",'数据-取费表'!P16,INDIRECT("'数据-取费表'!p"&amp;$K$1)+INDIRECT("'数据-取费表'!ar"&amp;$K$1))</f>
        <v>584</v>
      </c>
      <c r="D11" s="751"/>
      <c r="E11" s="138"/>
      <c r="F11" s="761">
        <f ca="1">1-IF('数据-取费表'!B24=0,1,IF(C1="",'数据-取费表'!N16,INDIRECT("'数据-取费表'!n"&amp;$K$1)))</f>
        <v>1.0000000000000009E-2</v>
      </c>
      <c r="G11" s="5"/>
      <c r="H11" s="746"/>
      <c r="I11" s="746"/>
      <c r="J11" s="746"/>
      <c r="K11" s="747"/>
    </row>
    <row r="12" spans="1:33" s="752" customFormat="1" ht="13.5" customHeight="1">
      <c r="A12" s="749" t="s">
        <v>636</v>
      </c>
      <c r="B12" s="750" t="s">
        <v>1612</v>
      </c>
      <c r="C12" s="21">
        <f ca="1">ROUND(C11*F12,0)</f>
        <v>29</v>
      </c>
      <c r="D12" s="751"/>
      <c r="E12" s="138"/>
      <c r="F12" s="761">
        <f>'数据-取费表'!B33</f>
        <v>0.05</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8"/>
      <c r="F13" s="761">
        <f>'数据-取费表'!B34</f>
        <v>0</v>
      </c>
      <c r="G13" s="5" t="s">
        <v>1615</v>
      </c>
      <c r="H13" s="746"/>
      <c r="I13" s="746"/>
      <c r="J13" s="746"/>
      <c r="K13" s="747"/>
    </row>
    <row r="14" spans="1:33" s="754" customFormat="1" ht="13.5" customHeight="1">
      <c r="A14" s="749" t="s">
        <v>638</v>
      </c>
      <c r="B14" s="750" t="s">
        <v>1616</v>
      </c>
      <c r="C14" s="21">
        <f ca="1">ROUND(D14*E14*F11/10000,0)</f>
        <v>22</v>
      </c>
      <c r="D14" s="793">
        <f ca="1">IF(C1="",'数据-汇总表'!E3,INDIRECT("'数据-取费表'!K"&amp;$K$1)+INDIRECT("'数据-取费表'!S"&amp;$K$1))</f>
        <v>108765.47999999998</v>
      </c>
      <c r="E14" s="21">
        <f>'数据-取费表'!B35</f>
        <v>200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18</v>
      </c>
      <c r="D15" s="755"/>
      <c r="E15" s="760"/>
      <c r="F15" s="761">
        <f>'数据-取费表'!B36</f>
        <v>0.03</v>
      </c>
      <c r="G15" s="123"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653</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0</v>
      </c>
      <c r="D17" s="793">
        <f ca="1">D14</f>
        <v>108765.47999999998</v>
      </c>
      <c r="E17" s="21">
        <f>'数据-取费表'!B32</f>
        <v>0</v>
      </c>
      <c r="F17" s="755"/>
      <c r="G17" s="123" t="s">
        <v>1622</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0</v>
      </c>
      <c r="D18" s="793"/>
      <c r="E18" s="21"/>
      <c r="F18" s="753"/>
      <c r="G18" s="1716" t="s">
        <v>3637</v>
      </c>
      <c r="H18" s="1102"/>
      <c r="I18" s="1717"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1626</v>
      </c>
      <c r="C20" s="21">
        <f ca="1">ROUND(D20*E20/10000,0)</f>
        <v>2175</v>
      </c>
      <c r="D20" s="793">
        <f ca="1">IF(C1="",'数据-汇总表'!E6,IF(INDIRECT("'数据-取费表'!c"&amp;$K$1)="住宅",INDIRECT("'数据-取费表'!s"&amp;$K$1),INDIRECT("'数据-取费表'!k"&amp;$K$1)+INDIRECT("'数据-取费表'!s"&amp;$K$1)))</f>
        <v>108765.47999999998</v>
      </c>
      <c r="E20" s="21">
        <f>'数据-取费表'!B28</f>
        <v>200</v>
      </c>
      <c r="F20" s="753"/>
      <c r="G20" s="12"/>
      <c r="H20" s="758"/>
      <c r="I20" s="758"/>
      <c r="J20" s="758"/>
      <c r="K20" s="759"/>
    </row>
    <row r="21" spans="1:33" s="752" customFormat="1" ht="13.5" customHeight="1">
      <c r="A21" s="741" t="s">
        <v>357</v>
      </c>
      <c r="B21" s="762" t="s">
        <v>1627</v>
      </c>
      <c r="C21" s="763">
        <f ca="1">C16+C17+C18</f>
        <v>653</v>
      </c>
      <c r="D21" s="764"/>
      <c r="E21" s="273"/>
      <c r="F21" s="273"/>
      <c r="G21" s="123" t="s">
        <v>1628</v>
      </c>
      <c r="H21" s="756"/>
      <c r="I21" s="756"/>
      <c r="J21" s="756"/>
      <c r="K21" s="757"/>
    </row>
    <row r="22" spans="1:33" s="752" customFormat="1" ht="13.5" customHeight="1">
      <c r="A22" s="741" t="s">
        <v>1600</v>
      </c>
      <c r="B22" s="762" t="s">
        <v>1629</v>
      </c>
      <c r="C22" s="763">
        <f ca="1">ROUND(C21*F22,0)</f>
        <v>20</v>
      </c>
      <c r="D22" s="273"/>
      <c r="E22" s="273"/>
      <c r="F22" s="765">
        <f>'数据-取费表'!B37</f>
        <v>0.03</v>
      </c>
      <c r="G22" s="5" t="s">
        <v>1630</v>
      </c>
      <c r="H22" s="746"/>
      <c r="I22" s="746"/>
      <c r="J22" s="746"/>
      <c r="K22" s="747"/>
    </row>
    <row r="23" spans="1:33" s="752" customFormat="1" ht="13.5" customHeight="1">
      <c r="A23" s="741" t="s">
        <v>1602</v>
      </c>
      <c r="B23" s="762" t="s">
        <v>1631</v>
      </c>
      <c r="C23" s="763">
        <f ca="1">ROUND(C4*F23*F11,0)</f>
        <v>63</v>
      </c>
      <c r="D23" s="273"/>
      <c r="E23" s="273"/>
      <c r="F23" s="765">
        <f>'数据-取费表'!B38</f>
        <v>0.03</v>
      </c>
      <c r="G23" s="5" t="s">
        <v>1632</v>
      </c>
      <c r="H23" s="746"/>
      <c r="I23" s="746"/>
      <c r="J23" s="746"/>
      <c r="K23" s="747"/>
    </row>
    <row r="24" spans="1:33" s="752" customFormat="1" ht="13.5" customHeight="1">
      <c r="A24" s="741" t="s">
        <v>1633</v>
      </c>
      <c r="B24" s="762" t="s">
        <v>1634</v>
      </c>
      <c r="C24" s="272">
        <f>ROUND(F24/(1+'数据-取费表'!C42),4)</f>
        <v>2.9000000000000001E-2</v>
      </c>
      <c r="D24" s="273" t="s">
        <v>12</v>
      </c>
      <c r="E24" s="273"/>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0</v>
      </c>
      <c r="D25" s="272">
        <f ca="1">C26</f>
        <v>8.0000000000000004E-4</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8.0000000000000004E-4</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1640</v>
      </c>
      <c r="B28" s="1719" t="s">
        <v>1641</v>
      </c>
      <c r="C28" s="279">
        <f ca="1">C30</f>
        <v>110</v>
      </c>
      <c r="D28" s="272">
        <f ca="1">C29</f>
        <v>1.5E-3</v>
      </c>
      <c r="E28" s="274" t="s">
        <v>12</v>
      </c>
      <c r="F28" s="280">
        <f ca="1">IF(C1="",'数据-取费表'!Q16,INDIRECT("'数据-取费表'!q"&amp;$K$1))</f>
        <v>0.15</v>
      </c>
      <c r="G28" s="766"/>
      <c r="H28" s="767"/>
      <c r="I28" s="767"/>
      <c r="J28" s="767"/>
      <c r="K28" s="55"/>
    </row>
    <row r="29" spans="1:33" s="283" customFormat="1" ht="13.5" customHeight="1">
      <c r="A29" s="749" t="s">
        <v>358</v>
      </c>
      <c r="B29" s="770" t="s">
        <v>1642</v>
      </c>
      <c r="C29" s="276">
        <f ca="1">ROUND((1+C24)*F28*'数据-取费表'!B24/'数据-取费表'!B20,4)</f>
        <v>1.5E-3</v>
      </c>
      <c r="D29" s="276"/>
      <c r="E29" s="277"/>
      <c r="F29" s="282"/>
      <c r="G29" s="123" t="s">
        <v>1643</v>
      </c>
      <c r="H29" s="756"/>
      <c r="I29" s="756"/>
      <c r="J29" s="756"/>
      <c r="K29" s="757"/>
    </row>
    <row r="30" spans="1:33" s="283" customFormat="1" ht="13.5" customHeight="1">
      <c r="A30" s="749" t="s">
        <v>359</v>
      </c>
      <c r="B30" s="770" t="s">
        <v>1644</v>
      </c>
      <c r="C30" s="284">
        <f ca="1">ROUND((C21+C22+C23)*F28,0)</f>
        <v>110</v>
      </c>
      <c r="D30" s="276"/>
      <c r="E30" s="277"/>
      <c r="F30" s="282"/>
      <c r="G30" s="123"/>
      <c r="H30" s="756"/>
      <c r="I30" s="756"/>
      <c r="J30" s="756"/>
      <c r="K30" s="757"/>
    </row>
    <row r="31" spans="1:33" s="752" customFormat="1" ht="13.5" customHeight="1" thickBot="1">
      <c r="A31" s="1720" t="s">
        <v>1645</v>
      </c>
      <c r="B31" s="780" t="s">
        <v>1646</v>
      </c>
      <c r="C31" s="781">
        <f ca="1">ROUND(C4*F31/(1+'数据-取费表'!C42),0)</f>
        <v>11169</v>
      </c>
      <c r="D31" s="782"/>
      <c r="E31" s="783"/>
      <c r="F31" s="784">
        <f>'数据-取费表'!B41</f>
        <v>5.6000000000000001E-2</v>
      </c>
      <c r="G31" s="785" t="s">
        <v>1647</v>
      </c>
      <c r="H31" s="786"/>
      <c r="I31" s="786"/>
      <c r="J31" s="786"/>
      <c r="K31" s="787"/>
    </row>
    <row r="32" spans="1:33" s="748" customFormat="1" ht="13.5" customHeight="1" thickBot="1">
      <c r="A32" s="449" t="s">
        <v>1648</v>
      </c>
      <c r="B32" s="776"/>
      <c r="C32" s="777">
        <f ca="1">ROUND((C4-C21-C22-C23-C25-C28-C31)/(1+C24+D25+D28),0)</f>
        <v>191406</v>
      </c>
      <c r="D32" s="776"/>
      <c r="E32" s="776"/>
      <c r="F32" s="776"/>
      <c r="G32" s="778" t="s">
        <v>1649</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V31"/>
  <sheetViews>
    <sheetView view="pageBreakPreview" zoomScaleNormal="100" zoomScaleSheetLayoutView="100" workbookViewId="0">
      <selection activeCell="B6" sqref="B6:B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1657</v>
      </c>
      <c r="B1" s="1722"/>
      <c r="C1" s="1722"/>
      <c r="D1" s="1722"/>
      <c r="E1" s="1723"/>
      <c r="F1" s="2471"/>
      <c r="G1" s="459"/>
      <c r="H1" s="459"/>
      <c r="I1" s="459"/>
      <c r="J1" s="459"/>
      <c r="K1" s="459"/>
      <c r="L1" s="459"/>
      <c r="M1" s="459"/>
      <c r="N1" s="459"/>
      <c r="O1" s="459"/>
      <c r="P1" s="459"/>
      <c r="Q1" s="459"/>
      <c r="R1" s="459"/>
      <c r="S1" s="459"/>
    </row>
    <row r="2" spans="1:22" ht="15.75">
      <c r="A2" s="1724" t="s">
        <v>1461</v>
      </c>
      <c r="B2" s="808">
        <f ca="1">SUMIF(B6:B13,"&lt;&gt;#ref!",B6:B13)</f>
        <v>209412</v>
      </c>
      <c r="C2" s="1725" t="s">
        <v>1650</v>
      </c>
      <c r="D2" s="1726" t="s">
        <v>1651</v>
      </c>
      <c r="E2" s="2385">
        <f>SUM(E6:E13)</f>
        <v>108765.48</v>
      </c>
      <c r="F2" s="2471"/>
      <c r="G2" s="459"/>
      <c r="H2" s="459"/>
      <c r="I2" s="459"/>
      <c r="J2" s="459"/>
      <c r="K2" s="459"/>
      <c r="L2" s="459"/>
      <c r="M2" s="459"/>
      <c r="N2" s="459"/>
      <c r="O2" s="459"/>
      <c r="P2" s="459"/>
      <c r="Q2" s="459"/>
      <c r="R2" s="459"/>
      <c r="S2" s="459"/>
    </row>
    <row r="3" spans="1:22" ht="15.75">
      <c r="A3" s="1724" t="s">
        <v>686</v>
      </c>
      <c r="B3" s="2379">
        <f ca="1">ROUND(B2*10000/E2,0)</f>
        <v>19254</v>
      </c>
      <c r="C3" s="1725" t="s">
        <v>1658</v>
      </c>
      <c r="D3" s="2471"/>
      <c r="E3" s="2474"/>
      <c r="F3" s="2471"/>
      <c r="G3" s="459"/>
      <c r="H3" s="459"/>
      <c r="I3" s="459"/>
      <c r="J3" s="459"/>
      <c r="K3" s="459"/>
      <c r="L3" s="459"/>
      <c r="M3" s="459"/>
      <c r="N3" s="459"/>
      <c r="O3" s="459"/>
      <c r="P3" s="459"/>
      <c r="Q3" s="459"/>
      <c r="R3" s="459"/>
      <c r="S3" s="459"/>
    </row>
    <row r="4" spans="1:22" ht="15.75">
      <c r="A4" s="2475"/>
      <c r="B4" s="2471"/>
      <c r="C4" s="2471"/>
      <c r="D4" s="2471"/>
      <c r="E4" s="2474"/>
      <c r="F4" s="2471"/>
      <c r="G4" s="459"/>
      <c r="H4" s="459"/>
      <c r="I4" s="459"/>
      <c r="J4" s="459"/>
      <c r="K4" s="459"/>
      <c r="L4" s="459"/>
      <c r="M4" s="459"/>
      <c r="N4" s="459"/>
      <c r="O4" s="459"/>
      <c r="P4" s="459"/>
      <c r="Q4" s="459"/>
      <c r="R4" s="459"/>
      <c r="S4" s="459"/>
    </row>
    <row r="5" spans="1:22" ht="15">
      <c r="A5" s="2381" t="s">
        <v>1652</v>
      </c>
      <c r="B5" s="3461" t="s">
        <v>1653</v>
      </c>
      <c r="C5" s="3462"/>
      <c r="D5" s="2472"/>
      <c r="E5" s="1727" t="s">
        <v>1654</v>
      </c>
      <c r="F5" s="129" t="s">
        <v>1655</v>
      </c>
      <c r="G5" s="459"/>
      <c r="H5" s="459"/>
      <c r="I5" s="459"/>
      <c r="J5" s="459"/>
      <c r="K5" s="459"/>
      <c r="L5" s="459"/>
      <c r="M5" s="459"/>
      <c r="N5" s="459"/>
      <c r="O5" s="459"/>
      <c r="P5" s="459"/>
      <c r="Q5" s="459"/>
      <c r="R5" s="459"/>
      <c r="S5" s="459"/>
    </row>
    <row r="6" spans="1:22">
      <c r="A6" s="2382" t="str">
        <f>'数据-取费表'!AN6</f>
        <v>收益法</v>
      </c>
      <c r="B6" s="2380">
        <f ca="1">IF(F6="是",'数据-取费表'!AO6,0)</f>
        <v>96023</v>
      </c>
      <c r="C6" s="1725" t="s">
        <v>1650</v>
      </c>
      <c r="D6" s="2471"/>
      <c r="E6" s="2384">
        <f>IF(OR(A6=0,F6="否"),0,'数据-取费表'!K6+'数据-取费表'!S6)</f>
        <v>33835.67</v>
      </c>
      <c r="F6" s="1728" t="s">
        <v>1656</v>
      </c>
      <c r="G6" s="459"/>
      <c r="H6" s="459"/>
      <c r="I6" s="459"/>
      <c r="J6" s="459"/>
      <c r="K6" s="459"/>
      <c r="L6" s="459"/>
      <c r="M6" s="459"/>
      <c r="N6" s="459"/>
      <c r="O6" s="459"/>
      <c r="P6" s="459"/>
      <c r="Q6" s="459"/>
      <c r="R6" s="459"/>
      <c r="S6" s="459"/>
    </row>
    <row r="7" spans="1:22">
      <c r="A7" s="2382" t="str">
        <f>'数据-取费表'!AN7</f>
        <v>收益法办</v>
      </c>
      <c r="B7" s="2380">
        <f ca="1">IF(F7="是",'数据-取费表'!AO7,0)</f>
        <v>101224</v>
      </c>
      <c r="C7" s="1725" t="s">
        <v>1650</v>
      </c>
      <c r="D7" s="2471"/>
      <c r="E7" s="2384">
        <f>IF(OR(A7=0,F7="否"),0,'数据-取费表'!K7+'数据-取费表'!S7)</f>
        <v>46471.11</v>
      </c>
      <c r="F7" s="1728" t="s">
        <v>1656</v>
      </c>
      <c r="G7" s="459"/>
      <c r="H7" s="459"/>
      <c r="I7" s="459"/>
      <c r="J7" s="459"/>
      <c r="K7" s="459"/>
      <c r="L7" s="459"/>
      <c r="M7" s="459"/>
      <c r="N7" s="459"/>
      <c r="O7" s="459"/>
      <c r="P7" s="459"/>
      <c r="Q7" s="459"/>
      <c r="R7" s="459"/>
      <c r="S7" s="459"/>
    </row>
    <row r="8" spans="1:22">
      <c r="A8" s="2382" t="str">
        <f>'数据-取费表'!AN8</f>
        <v>收益法车</v>
      </c>
      <c r="B8" s="2380">
        <f ca="1">IF(F8="是",'数据-取费表'!AO8,0)</f>
        <v>12165</v>
      </c>
      <c r="C8" s="1725" t="s">
        <v>1650</v>
      </c>
      <c r="D8" s="2471"/>
      <c r="E8" s="2384">
        <f>IF(OR(A8=0,F8="否"),0,'数据-取费表'!K8+'数据-取费表'!S8)</f>
        <v>28458.699999999997</v>
      </c>
      <c r="F8" s="1728" t="s">
        <v>1656</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1650</v>
      </c>
      <c r="D9" s="2471"/>
      <c r="E9" s="2384">
        <f>IF(OR(A9=0,F9="否"),0,'数据-取费表'!K9+'数据-取费表'!S9)</f>
        <v>0</v>
      </c>
      <c r="F9" s="1728" t="s">
        <v>1656</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1650</v>
      </c>
      <c r="D10" s="2471"/>
      <c r="E10" s="2384">
        <f>IF(OR(A10=0,F10="否"),0,'数据-取费表'!K10+'数据-取费表'!S10)</f>
        <v>0</v>
      </c>
      <c r="F10" s="1728" t="s">
        <v>1656</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1650</v>
      </c>
      <c r="D11" s="2471"/>
      <c r="E11" s="2384">
        <f>IF(OR(A11=0,F11="否"),0,'数据-取费表'!K11+'数据-取费表'!S11)</f>
        <v>0</v>
      </c>
      <c r="F11" s="1728" t="s">
        <v>1656</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1650</v>
      </c>
      <c r="D12" s="2471"/>
      <c r="E12" s="2384">
        <f>IF(OR(A12=0,F12="否"),0,'数据-取费表'!K12+'数据-取费表'!S12)</f>
        <v>0</v>
      </c>
      <c r="F12" s="1728" t="s">
        <v>1656</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1650</v>
      </c>
      <c r="D13" s="2473"/>
      <c r="E13" s="2384">
        <f>IF(OR(A13=0,F13="否"),0,'数据-取费表'!K13+'数据-取费表'!S13)</f>
        <v>0</v>
      </c>
      <c r="F13" s="1728"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54">
      <c r="A4" s="1378" t="str">
        <f>"受贵公司委托，我公司对"&amp;项目基本情况!S1&amp;"进行了预评估。"</f>
        <v>受贵公司委托，我公司对北京市丰台区丰台科技园东区三期1516-51号地块商业金融用地项目出让国有建设用地使用权及在建建筑物房地产抵押价值进行了预评估。</v>
      </c>
    </row>
    <row r="5" spans="1:1" ht="18.75">
      <c r="A5" s="1379" t="s">
        <v>899</v>
      </c>
    </row>
    <row r="6" spans="1:1" ht="18.75">
      <c r="A6" s="1380" t="s">
        <v>900</v>
      </c>
    </row>
    <row r="7" spans="1:1" ht="7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1" ht="57.75">
      <c r="A8" s="1381" t="s">
        <v>901</v>
      </c>
    </row>
    <row r="9" spans="1:1" ht="18.75">
      <c r="A9" s="1380" t="s">
        <v>902</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2024年12月9日（评估专业人员实地查勘之日）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FFC000"/>
  </sheetPr>
  <dimension ref="A1:AK83"/>
  <sheetViews>
    <sheetView view="pageBreakPreview" topLeftCell="A12" zoomScale="85" zoomScaleNormal="70" zoomScaleSheetLayoutView="85"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673</v>
      </c>
      <c r="D1" s="1267" t="s">
        <v>43</v>
      </c>
      <c r="E1" s="1268" t="s">
        <v>678</v>
      </c>
      <c r="F1" s="996">
        <f ca="1">J53</f>
        <v>29.4</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96023</v>
      </c>
      <c r="C2" s="1285" t="s">
        <v>805</v>
      </c>
      <c r="D2" s="1285"/>
      <c r="E2" s="1291"/>
      <c r="F2" s="1292"/>
      <c r="G2" s="2470"/>
      <c r="H2" s="2460"/>
      <c r="I2" s="2460"/>
      <c r="J2" s="2460"/>
      <c r="K2" s="2461"/>
      <c r="L2" s="2460"/>
      <c r="M2" s="2460"/>
    </row>
    <row r="3" spans="1:37" ht="18" customHeight="1" thickBot="1">
      <c r="A3" s="1293" t="s">
        <v>806</v>
      </c>
      <c r="B3" s="1294">
        <f ca="1">IF(ISERROR(B2*10000/F43),0,ROUND(B2*10000/F43,0))</f>
        <v>28379</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6677</v>
      </c>
      <c r="D5" s="1269" t="s">
        <v>693</v>
      </c>
      <c r="E5" s="1005"/>
      <c r="F5" s="1006"/>
      <c r="G5" s="1288"/>
      <c r="H5" s="291">
        <v>1</v>
      </c>
      <c r="I5" s="292" t="s">
        <v>692</v>
      </c>
      <c r="J5" s="1004">
        <f ca="1">J6+J10+J12</f>
        <v>0</v>
      </c>
      <c r="K5" s="1269" t="s">
        <v>693</v>
      </c>
      <c r="L5" s="1005"/>
      <c r="M5" s="1006"/>
    </row>
    <row r="6" spans="1:37" ht="18" customHeight="1">
      <c r="A6" s="1003" t="s">
        <v>398</v>
      </c>
      <c r="B6" s="3465" t="s">
        <v>694</v>
      </c>
      <c r="C6" s="1008">
        <f ca="1">ROUND(F6*F8*F7*(1-F9)/10000,0)</f>
        <v>6669</v>
      </c>
      <c r="D6" s="147" t="s">
        <v>2107</v>
      </c>
      <c r="E6" s="294" t="s">
        <v>696</v>
      </c>
      <c r="F6" s="295">
        <f ca="1">INDIRECT("'数据-取费表'!u"&amp;$G$1)</f>
        <v>6</v>
      </c>
      <c r="G6" s="1288"/>
      <c r="H6" s="1003" t="s">
        <v>398</v>
      </c>
      <c r="I6" s="3465" t="s">
        <v>694</v>
      </c>
      <c r="J6" s="293">
        <f ca="1">ROUND(M6*M8*M7*(1-M9)/10000,0)</f>
        <v>0</v>
      </c>
      <c r="K6" s="147" t="s">
        <v>2106</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33835.67</v>
      </c>
      <c r="G7" s="1288"/>
      <c r="H7" s="296"/>
      <c r="I7" s="3466"/>
      <c r="J7" s="298"/>
      <c r="K7" s="299"/>
      <c r="L7" s="294" t="s">
        <v>697</v>
      </c>
      <c r="M7" s="295">
        <f ca="1">F7</f>
        <v>33835.67</v>
      </c>
    </row>
    <row r="8" spans="1:37" ht="18" customHeight="1">
      <c r="A8" s="296"/>
      <c r="B8" s="3466"/>
      <c r="C8" s="298"/>
      <c r="D8" s="299"/>
      <c r="E8" s="294" t="s">
        <v>698</v>
      </c>
      <c r="F8" s="295">
        <f ca="1">INDIRECT("'数据-取费表'!ai"&amp;$G$1)</f>
        <v>365</v>
      </c>
      <c r="G8" s="1288"/>
      <c r="H8" s="296"/>
      <c r="I8" s="3466"/>
      <c r="J8" s="298"/>
      <c r="K8" s="299"/>
      <c r="L8" s="294" t="s">
        <v>698</v>
      </c>
      <c r="M8" s="295">
        <f ca="1">INDIRECT("'数据-取费表'!ai"&amp;$G$1)</f>
        <v>365</v>
      </c>
    </row>
    <row r="9" spans="1:37" ht="18" customHeight="1">
      <c r="A9" s="296"/>
      <c r="B9" s="3467"/>
      <c r="C9" s="298"/>
      <c r="D9" s="299"/>
      <c r="E9" s="294" t="s">
        <v>699</v>
      </c>
      <c r="F9" s="304">
        <f ca="1">INDIRECT("'数据-取费表'!w"&amp;$G$1)</f>
        <v>0.1</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2115</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29149</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18610</v>
      </c>
      <c r="D14" s="1253" t="s">
        <v>708</v>
      </c>
      <c r="E14" s="1251"/>
      <c r="F14" s="311"/>
      <c r="G14" s="1288"/>
      <c r="H14" s="925" t="s">
        <v>398</v>
      </c>
      <c r="I14" s="294" t="s">
        <v>709</v>
      </c>
      <c r="J14" s="21">
        <f ca="1">C29</f>
        <v>29149</v>
      </c>
      <c r="K14" s="12"/>
      <c r="L14" s="756"/>
      <c r="M14" s="757"/>
    </row>
    <row r="15" spans="1:37" s="1300" customFormat="1" ht="18" customHeight="1" thickBot="1">
      <c r="A15" s="925" t="s">
        <v>399</v>
      </c>
      <c r="B15" s="294" t="s">
        <v>710</v>
      </c>
      <c r="C15" s="21">
        <f ca="1">ROUND(C14*F15,0)</f>
        <v>931</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155</v>
      </c>
      <c r="K16" s="1021" t="s">
        <v>715</v>
      </c>
      <c r="L16" s="1022"/>
      <c r="M16" s="1006"/>
    </row>
    <row r="17" spans="1:37" s="1300" customFormat="1" ht="18" customHeight="1">
      <c r="A17" s="925" t="s">
        <v>681</v>
      </c>
      <c r="B17" s="294" t="s">
        <v>716</v>
      </c>
      <c r="C17" s="21">
        <f ca="1">ROUND(F17*(F43+INDIRECT("'数据-取费表'!S"&amp;$G$1))/10000,0)</f>
        <v>677</v>
      </c>
      <c r="D17" s="294" t="s">
        <v>717</v>
      </c>
      <c r="E17" s="294" t="s">
        <v>718</v>
      </c>
      <c r="F17" s="23">
        <f>'数据-取费表'!B35</f>
        <v>200</v>
      </c>
      <c r="G17" s="1299"/>
      <c r="H17" s="925" t="s">
        <v>398</v>
      </c>
      <c r="I17" s="294" t="s">
        <v>719</v>
      </c>
      <c r="J17" s="2135">
        <f ca="1">ROUND(IF(AND(项目基本情况!B11="自然人",项目基本情况!B10="北京市"),J6*M17/(1+'数据-取费表'!C42),J18+J19+J20),2)</f>
        <v>8.77</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558</v>
      </c>
      <c r="D18" s="294" t="s">
        <v>711</v>
      </c>
      <c r="E18" s="294" t="s">
        <v>712</v>
      </c>
      <c r="F18" s="314">
        <f>'数据-取费表'!B36</f>
        <v>0.03</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20776</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623</v>
      </c>
      <c r="D20" s="315" t="s">
        <v>729</v>
      </c>
      <c r="E20" s="294" t="s">
        <v>712</v>
      </c>
      <c r="F20" s="314">
        <f>'数据-取费表'!B37</f>
        <v>0.03</v>
      </c>
      <c r="G20" s="1299"/>
      <c r="H20" s="925" t="s">
        <v>680</v>
      </c>
      <c r="I20" s="147" t="s">
        <v>730</v>
      </c>
      <c r="J20" s="22">
        <f ca="1">ROUND(M20*M21/10000,2)</f>
        <v>8.77</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0.03</v>
      </c>
      <c r="G21" s="1299"/>
      <c r="H21" s="318"/>
      <c r="I21" s="303"/>
      <c r="J21" s="26"/>
      <c r="K21" s="319"/>
      <c r="L21" s="294" t="s">
        <v>736</v>
      </c>
      <c r="M21" s="295">
        <f ca="1">INDIRECT("'数据-取费表'!r"&amp;$G$1)</f>
        <v>7308.4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145.75</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832</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-155</v>
      </c>
      <c r="K25" s="1029" t="s">
        <v>753</v>
      </c>
      <c r="L25" s="1030"/>
      <c r="M25" s="1031"/>
    </row>
    <row r="26" spans="1:37">
      <c r="A26" s="925" t="s">
        <v>397</v>
      </c>
      <c r="B26" s="294" t="s">
        <v>754</v>
      </c>
      <c r="C26" s="21">
        <f ca="1">ROUND((C19+C20)*F26,0)</f>
        <v>4280</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29149</v>
      </c>
      <c r="D29" s="1026"/>
      <c r="E29" s="1024"/>
      <c r="F29" s="1027"/>
      <c r="G29" s="1299"/>
      <c r="H29" s="325" t="s">
        <v>396</v>
      </c>
      <c r="I29" s="326" t="s">
        <v>768</v>
      </c>
      <c r="J29" s="327">
        <f ca="1">ROUND(J26/(1+F40)^F41,0)</f>
        <v>0</v>
      </c>
      <c r="K29" s="328" t="s">
        <v>769</v>
      </c>
      <c r="L29" s="329"/>
      <c r="M29" s="330">
        <f ca="1">INDIRECT("'数据-取费表'!k"&amp;$G$1)</f>
        <v>33835.67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1335</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1126.6199999999999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355.68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762.17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8.77</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7308.4</v>
      </c>
      <c r="G35" s="1288"/>
      <c r="H35" s="2462"/>
      <c r="I35" s="1301"/>
      <c r="J35" s="1302"/>
      <c r="K35" s="2466"/>
      <c r="L35" s="2465"/>
      <c r="M35" s="2465"/>
    </row>
    <row r="36" spans="1:18" ht="18" customHeight="1">
      <c r="A36" s="1036" t="s">
        <v>402</v>
      </c>
      <c r="B36" s="294" t="s">
        <v>738</v>
      </c>
      <c r="C36" s="21">
        <f ca="1">ROUND(C29*F36,2)</f>
        <v>145.75</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29.15</v>
      </c>
      <c r="D37" s="1252" t="s">
        <v>743</v>
      </c>
      <c r="E37" s="294" t="s">
        <v>744</v>
      </c>
      <c r="F37" s="321">
        <f ca="1">INDIRECT("'数据-取费表'!Al"&amp;$G$1)</f>
        <v>1E-3</v>
      </c>
      <c r="G37" s="1288"/>
      <c r="H37" s="2465"/>
      <c r="I37" s="1301"/>
      <c r="J37" s="1302"/>
      <c r="K37" s="2323"/>
      <c r="L37" s="2465"/>
      <c r="M37" s="2465"/>
    </row>
    <row r="38" spans="1:18" ht="18" customHeight="1" thickBot="1">
      <c r="A38" s="1023" t="s">
        <v>684</v>
      </c>
      <c r="B38" s="1024" t="s">
        <v>728</v>
      </c>
      <c r="C38" s="1025">
        <f ca="1">ROUND(C5*F38,2)</f>
        <v>33.39</v>
      </c>
      <c r="D38" s="1026" t="s">
        <v>748</v>
      </c>
      <c r="E38" s="1024" t="s">
        <v>744</v>
      </c>
      <c r="F38" s="1020">
        <f ca="1">INDIRECT("'数据-取费表'!Am"&amp;$G$1)</f>
        <v>5.0000000000000001E-3</v>
      </c>
      <c r="G38" s="1288"/>
      <c r="H38" s="2465"/>
      <c r="I38" s="1301"/>
      <c r="J38" s="1302"/>
      <c r="K38" s="2463"/>
      <c r="L38" s="2465"/>
      <c r="M38" s="2465"/>
    </row>
    <row r="39" spans="1:18" ht="24.6" customHeight="1" thickTop="1">
      <c r="A39" s="1013" t="s">
        <v>394</v>
      </c>
      <c r="B39" s="1028" t="s">
        <v>772</v>
      </c>
      <c r="C39" s="302">
        <f ca="1">C5-C30</f>
        <v>5342</v>
      </c>
      <c r="D39" s="1029" t="s">
        <v>773</v>
      </c>
      <c r="E39" s="1030"/>
      <c r="F39" s="1031"/>
      <c r="G39" s="1288"/>
      <c r="H39" s="2465">
        <f ca="1">C39/C6</f>
        <v>0.80101964312490626</v>
      </c>
      <c r="I39" s="1301"/>
      <c r="J39" s="1302"/>
      <c r="K39" s="2463"/>
      <c r="L39" s="2465"/>
      <c r="M39" s="2465"/>
    </row>
    <row r="40" spans="1:18" ht="18" customHeight="1">
      <c r="A40" s="291" t="s">
        <v>395</v>
      </c>
      <c r="B40" s="292" t="s">
        <v>774</v>
      </c>
      <c r="C40" s="293">
        <f ca="1">ROUND(C39*(1-((1+F42)/(1+F40))^F41)/(F40-F42),0)</f>
        <v>96023</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28379</v>
      </c>
      <c r="D43" s="328" t="s">
        <v>777</v>
      </c>
      <c r="E43" s="329" t="s">
        <v>778</v>
      </c>
      <c r="F43" s="330">
        <f ca="1">INDIRECT("'数据-取费表'!k"&amp;$G$1)</f>
        <v>33835.67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-98675</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40</v>
      </c>
      <c r="M47" s="1284" t="str">
        <f>IF(ISNUMBER(FIND("住宅",C1)),"住宅","非住宅")</f>
        <v>非住宅</v>
      </c>
      <c r="O47" s="1321" t="s">
        <v>403</v>
      </c>
      <c r="P47" s="1322" t="s">
        <v>817</v>
      </c>
      <c r="Q47" s="1323">
        <f ca="1">C40+J29</f>
        <v>96023</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29.4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v>2024</v>
      </c>
      <c r="K49" s="1326" t="s">
        <v>824</v>
      </c>
      <c r="L49" s="1329"/>
      <c r="O49" s="1330" t="s">
        <v>405</v>
      </c>
      <c r="P49" s="1322" t="s">
        <v>825</v>
      </c>
      <c r="Q49" s="1323">
        <f ca="1">C29</f>
        <v>29149</v>
      </c>
      <c r="R49" s="1323" t="s">
        <v>818</v>
      </c>
    </row>
    <row r="50" spans="1:18" s="1288" customFormat="1" ht="13.5" thickBot="1">
      <c r="A50" s="919"/>
      <c r="B50" s="922"/>
      <c r="C50" s="1052"/>
      <c r="D50" s="896"/>
      <c r="E50" s="990" t="s">
        <v>697</v>
      </c>
      <c r="F50" s="991">
        <f ca="1">F7</f>
        <v>33835.67</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62496</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29.4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29.4</v>
      </c>
      <c r="K53" s="3463" t="s">
        <v>837</v>
      </c>
      <c r="L53" s="3464"/>
      <c r="O53" s="1321" t="s">
        <v>409</v>
      </c>
      <c r="P53" s="1322" t="s">
        <v>838</v>
      </c>
      <c r="Q53" s="1323">
        <f ca="1">Q47+Q48</f>
        <v>96023</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29149</v>
      </c>
      <c r="D56" s="1348"/>
      <c r="E56" s="1349"/>
      <c r="F56" s="1341"/>
      <c r="I56" s="1350" t="s">
        <v>842</v>
      </c>
      <c r="J56" s="1351" t="s">
        <v>3391</v>
      </c>
      <c r="K56" s="1324" t="s">
        <v>843</v>
      </c>
      <c r="L56" s="1327" t="str">
        <f ca="1">IF(L48&lt;J51,"——",L48-J53)</f>
        <v>——</v>
      </c>
      <c r="O56" s="1321" t="s">
        <v>403</v>
      </c>
      <c r="P56" s="1322" t="s">
        <v>817</v>
      </c>
      <c r="Q56" s="1323">
        <f ca="1">C40+J29</f>
        <v>96023</v>
      </c>
      <c r="R56" s="1323" t="s">
        <v>818</v>
      </c>
    </row>
    <row r="57" spans="1:18" s="1288" customFormat="1" ht="24.75" thickBot="1">
      <c r="A57" s="1352"/>
      <c r="B57" s="893" t="s">
        <v>767</v>
      </c>
      <c r="C57" s="230">
        <f ca="1">C29</f>
        <v>29149</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184</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9</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8.77</v>
      </c>
      <c r="D62" s="908" t="s">
        <v>786</v>
      </c>
      <c r="E62" s="893" t="s">
        <v>787</v>
      </c>
      <c r="F62" s="317">
        <f t="shared" si="0"/>
        <v>12</v>
      </c>
      <c r="I62" s="1363" t="s">
        <v>858</v>
      </c>
      <c r="J62" s="610" t="s">
        <v>859</v>
      </c>
      <c r="K62" s="610" t="s">
        <v>860</v>
      </c>
      <c r="L62" s="610" t="s">
        <v>861</v>
      </c>
      <c r="M62" s="1364" t="s">
        <v>862</v>
      </c>
      <c r="O62" s="1321" t="s">
        <v>409</v>
      </c>
      <c r="P62" s="1322" t="s">
        <v>863</v>
      </c>
      <c r="Q62" s="1323">
        <f ca="1">Q56+Q57</f>
        <v>96023</v>
      </c>
      <c r="R62" s="1323" t="s">
        <v>410</v>
      </c>
    </row>
    <row r="63" spans="1:18" s="1288" customFormat="1" ht="13.5" thickBot="1">
      <c r="A63" s="318"/>
      <c r="B63" s="899"/>
      <c r="C63" s="26"/>
      <c r="D63" s="909"/>
      <c r="E63" s="893" t="s">
        <v>788</v>
      </c>
      <c r="F63" s="295">
        <f t="shared" ca="1" si="0"/>
        <v>7308.4</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ROUND(C57*F64,2)</f>
        <v>145.75</v>
      </c>
      <c r="D64" s="907" t="s">
        <v>791</v>
      </c>
      <c r="E64" s="893" t="s">
        <v>783</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29.15</v>
      </c>
      <c r="D65" s="907" t="s">
        <v>743</v>
      </c>
      <c r="E65" s="893" t="s">
        <v>744</v>
      </c>
      <c r="F65" s="321">
        <f t="shared" ca="1" si="0"/>
        <v>1E-3</v>
      </c>
      <c r="I65" s="1363" t="s">
        <v>867</v>
      </c>
      <c r="J65" s="610">
        <v>40</v>
      </c>
      <c r="K65" s="610">
        <v>30</v>
      </c>
      <c r="L65" s="610">
        <v>50</v>
      </c>
      <c r="M65" s="1365">
        <v>0.02</v>
      </c>
      <c r="O65" s="1321" t="s">
        <v>403</v>
      </c>
      <c r="P65" s="1322" t="s">
        <v>868</v>
      </c>
      <c r="Q65" s="1323">
        <f ca="1">C40+J29</f>
        <v>96023</v>
      </c>
      <c r="R65" s="1323" t="s">
        <v>818</v>
      </c>
    </row>
    <row r="66" spans="1:18" s="1288" customFormat="1" ht="16.5" thickBot="1">
      <c r="A66" s="925" t="s">
        <v>793</v>
      </c>
      <c r="B66" s="893" t="s">
        <v>728</v>
      </c>
      <c r="C66" s="21">
        <f ca="1">ROUND(C48*F66,2)</f>
        <v>0</v>
      </c>
      <c r="D66" s="907" t="s">
        <v>794</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-184</v>
      </c>
      <c r="D67" s="906" t="s">
        <v>753</v>
      </c>
      <c r="E67" s="911"/>
      <c r="F67" s="912"/>
      <c r="O67" s="1330" t="s">
        <v>405</v>
      </c>
      <c r="P67" s="1322" t="s">
        <v>850</v>
      </c>
      <c r="Q67" s="1366">
        <f ca="1">L51</f>
        <v>62496</v>
      </c>
      <c r="R67" s="1323" t="s">
        <v>870</v>
      </c>
    </row>
    <row r="68" spans="1:18" s="1288" customFormat="1" ht="16.5" thickBot="1">
      <c r="A68" s="890" t="s">
        <v>395</v>
      </c>
      <c r="B68" s="891" t="s">
        <v>774</v>
      </c>
      <c r="C68" s="293">
        <f ca="1">ROUND(C67*(1-((1+F70)/(1+F68))^F69)/(F68-F70),0)</f>
        <v>-2652</v>
      </c>
      <c r="D68" s="908" t="s">
        <v>758</v>
      </c>
      <c r="E68" s="893" t="s">
        <v>759</v>
      </c>
      <c r="F68" s="304">
        <f ca="1">F40</f>
        <v>5.5E-2</v>
      </c>
      <c r="O68" s="1330" t="s">
        <v>406</v>
      </c>
      <c r="P68" s="1367" t="s">
        <v>871</v>
      </c>
      <c r="Q68" s="1323">
        <f ca="1">ROUND(Q69-Q70*Q71,0)</f>
        <v>3302</v>
      </c>
      <c r="R68" s="1323" t="s">
        <v>414</v>
      </c>
    </row>
    <row r="69" spans="1:18" s="1288" customFormat="1" ht="13.5" thickBot="1">
      <c r="A69" s="894"/>
      <c r="B69" s="895"/>
      <c r="C69" s="298"/>
      <c r="D69" s="913" t="s">
        <v>762</v>
      </c>
      <c r="E69" s="893" t="s">
        <v>763</v>
      </c>
      <c r="F69" s="324">
        <f ca="1">F41</f>
        <v>29.4</v>
      </c>
      <c r="O69" s="1330" t="s">
        <v>411</v>
      </c>
      <c r="P69" s="1367" t="s">
        <v>872</v>
      </c>
      <c r="Q69" s="1323">
        <f ca="1">C39</f>
        <v>5342</v>
      </c>
      <c r="R69" s="1323" t="s">
        <v>818</v>
      </c>
    </row>
    <row r="70" spans="1:18" s="1288" customFormat="1" ht="13.5" thickBot="1">
      <c r="A70" s="897"/>
      <c r="B70" s="898"/>
      <c r="C70" s="302"/>
      <c r="D70" s="909"/>
      <c r="E70" s="893" t="s">
        <v>766</v>
      </c>
      <c r="F70" s="988"/>
      <c r="O70" s="1330" t="s">
        <v>412</v>
      </c>
      <c r="P70" s="1367" t="s">
        <v>873</v>
      </c>
      <c r="Q70" s="1323">
        <f ca="1">C13</f>
        <v>29149</v>
      </c>
      <c r="R70" s="1323" t="s">
        <v>818</v>
      </c>
    </row>
    <row r="71" spans="1:18" s="1288" customFormat="1" ht="13.5" thickBot="1">
      <c r="A71" s="914" t="s">
        <v>396</v>
      </c>
      <c r="B71" s="915" t="s">
        <v>776</v>
      </c>
      <c r="C71" s="327">
        <f ca="1">ROUND(C68*10000/F71,0)</f>
        <v>-784</v>
      </c>
      <c r="D71" s="916" t="s">
        <v>777</v>
      </c>
      <c r="E71" s="917" t="s">
        <v>778</v>
      </c>
      <c r="F71" s="330">
        <f ca="1">F43</f>
        <v>33835.67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2040</v>
      </c>
      <c r="D75" s="1288"/>
      <c r="E75" s="1288"/>
      <c r="F75" s="1288"/>
      <c r="K75" s="1305"/>
      <c r="L75" s="1288"/>
      <c r="O75" s="1321" t="s">
        <v>409</v>
      </c>
      <c r="P75" s="1322" t="s">
        <v>838</v>
      </c>
      <c r="Q75" s="1323">
        <f ca="1">Q65+Q66</f>
        <v>96023</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0.61799999999999999</v>
      </c>
    </row>
    <row r="80" spans="1:18">
      <c r="B80" s="331" t="s">
        <v>800</v>
      </c>
      <c r="C80" s="266">
        <f ca="1">ROUND(C75/C39,3)</f>
        <v>0.38200000000000001</v>
      </c>
    </row>
    <row r="81" spans="2:3">
      <c r="B81" s="262" t="s">
        <v>801</v>
      </c>
      <c r="C81" s="230"/>
    </row>
    <row r="82" spans="2:3">
      <c r="B82" s="265" t="s">
        <v>802</v>
      </c>
      <c r="C82" s="267">
        <f ca="1">1-C83</f>
        <v>0.69599999999999995</v>
      </c>
    </row>
    <row r="83" spans="2:3">
      <c r="B83" s="265" t="s">
        <v>803</v>
      </c>
      <c r="C83" s="266">
        <f ca="1">ROUND(C13/C40,3)</f>
        <v>0.30399999999999999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J11">
    <cfRule type="expression" dxfId="103" priority="2">
      <formula>$M$10="自定义"</formula>
    </cfRule>
  </conditionalFormatting>
  <conditionalFormatting sqref="K55 K60">
    <cfRule type="expression" dxfId="102"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6">
        <f ca="1">J53</f>
        <v>0</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086"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465" t="s">
        <v>694</v>
      </c>
      <c r="C6" s="1008">
        <f ca="1">ROUND(F6*F8*F7*(1-F9),0)</f>
        <v>0</v>
      </c>
      <c r="D6" s="147" t="s">
        <v>2104</v>
      </c>
      <c r="E6" s="294" t="s">
        <v>696</v>
      </c>
      <c r="F6" s="295">
        <f ca="1">INDIRECT("'数据-取费表'!u"&amp;$G$1)</f>
        <v>0</v>
      </c>
      <c r="G6" s="1288"/>
      <c r="H6" s="1003" t="s">
        <v>398</v>
      </c>
      <c r="I6" s="3465" t="s">
        <v>694</v>
      </c>
      <c r="J6" s="293">
        <f ca="1">ROUND(M6*M8*M7*(1-M9),0)</f>
        <v>0</v>
      </c>
      <c r="K6" s="1280" t="s">
        <v>2105</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0</v>
      </c>
      <c r="G7" s="1288"/>
      <c r="H7" s="296"/>
      <c r="I7" s="3466"/>
      <c r="J7" s="298"/>
      <c r="K7" s="299"/>
      <c r="L7" s="294" t="s">
        <v>697</v>
      </c>
      <c r="M7" s="295">
        <f ca="1">F7</f>
        <v>0</v>
      </c>
    </row>
    <row r="8" spans="1:37" ht="18" customHeight="1">
      <c r="A8" s="296"/>
      <c r="B8" s="3466"/>
      <c r="C8" s="298"/>
      <c r="D8" s="299"/>
      <c r="E8" s="294" t="s">
        <v>698</v>
      </c>
      <c r="F8" s="295">
        <f ca="1">INDIRECT("'数据-取费表'!ai"&amp;$G$1)</f>
        <v>0</v>
      </c>
      <c r="G8" s="1288"/>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c r="G10" s="1288"/>
      <c r="H10" s="1003" t="s">
        <v>402</v>
      </c>
      <c r="I10" s="1270" t="s">
        <v>700</v>
      </c>
      <c r="J10" s="293">
        <f ca="1">ROUND(IF(M10="押一",J6/12*M11,IF(M10="押二",J6/12*2*M11,IF(M10="押三",J6/12*3*M11,J11*M11))),0)</f>
        <v>0</v>
      </c>
      <c r="K10" s="1281" t="s">
        <v>2116</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5">
        <f ca="1">ROUND(IF(AND(项目基本情况!B11="自然人",项目基本情况!B10="北京市"),J6*M17/(1+'数据-取费表'!C42),J18+J19+J20),0)</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0.03</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3332</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0.03</v>
      </c>
      <c r="G20" s="1299"/>
      <c r="H20" s="925" t="s">
        <v>680</v>
      </c>
      <c r="I20" s="147" t="s">
        <v>730</v>
      </c>
      <c r="J20" s="22">
        <f ca="1">ROUND(M20*M21,0)</f>
        <v>0</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0.03</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ROUND(IF(AND(项目基本情况!B11="自然人",项目基本情况!B10="北京市"),C6*F31/(1+'数据-取费表'!C42),C32+C33+C34),0)</f>
        <v>0</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3"/>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3"/>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091" t="s">
        <v>3348</v>
      </c>
      <c r="B45" s="1303"/>
      <c r="C45" s="1372" t="e">
        <f ca="1">ROUND((C68-C40)/10000,4)</f>
        <v>#DIV/0!</v>
      </c>
      <c r="D45" s="3092" t="s">
        <v>3349</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2117</v>
      </c>
      <c r="E53" s="305" t="s">
        <v>701</v>
      </c>
      <c r="F53" s="1050"/>
      <c r="I53" s="1340" t="s">
        <v>836</v>
      </c>
      <c r="J53" s="2001">
        <f ca="1">IF(M47="住宅",IF(D1="——",MAX(J51,L48),MAX(J51,L48-'数据-取费表'!B24)),IF(D1="——",MIN(J51,L48),MIN(J51,L48-'数据-取费表'!B24)))</f>
        <v>0</v>
      </c>
      <c r="K53" s="3463" t="s">
        <v>837</v>
      </c>
      <c r="L53" s="3464"/>
      <c r="O53" s="1321" t="s">
        <v>409</v>
      </c>
      <c r="P53" s="1322" t="s">
        <v>838</v>
      </c>
      <c r="Q53" s="1323" t="e">
        <f ca="1">Q47+Q48</f>
        <v>#DIV/0!</v>
      </c>
      <c r="R53" s="1323" t="s">
        <v>410</v>
      </c>
    </row>
    <row r="54" spans="1:18" s="1288" customFormat="1" ht="13.5"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7">
        <f t="shared" si="0"/>
        <v>12</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16.5"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5" thickBot="1">
      <c r="A69" s="894"/>
      <c r="B69" s="895"/>
      <c r="C69" s="298"/>
      <c r="D69" s="913" t="s">
        <v>762</v>
      </c>
      <c r="E69" s="893" t="s">
        <v>763</v>
      </c>
      <c r="F69" s="324">
        <f ca="1">F41</f>
        <v>0</v>
      </c>
      <c r="O69" s="1330" t="s">
        <v>411</v>
      </c>
      <c r="P69" s="1367" t="s">
        <v>872</v>
      </c>
      <c r="Q69" s="1323">
        <f ca="1">C39</f>
        <v>0</v>
      </c>
      <c r="R69" s="1323" t="s">
        <v>818</v>
      </c>
    </row>
    <row r="70" spans="1:18" s="1288" customFormat="1" ht="13.5" thickBot="1">
      <c r="A70" s="897"/>
      <c r="B70" s="898"/>
      <c r="C70" s="302"/>
      <c r="D70" s="909"/>
      <c r="E70" s="893" t="s">
        <v>766</v>
      </c>
      <c r="F70" s="988"/>
      <c r="O70" s="1330" t="s">
        <v>412</v>
      </c>
      <c r="P70" s="1367" t="s">
        <v>873</v>
      </c>
      <c r="Q70" s="1323">
        <f ca="1">C13</f>
        <v>0</v>
      </c>
      <c r="R70" s="1323" t="s">
        <v>818</v>
      </c>
    </row>
    <row r="71" spans="1:18" s="1288" customFormat="1" ht="13.5"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1" sqref="E1"/>
    </sheetView>
  </sheetViews>
  <sheetFormatPr defaultRowHeight="13.15" customHeight="1"/>
  <cols>
    <col min="1" max="1" width="9.5" style="2585" customWidth="1"/>
    <col min="2" max="2" width="8.875" style="2585"/>
    <col min="3" max="5" width="12.875" style="2585" customWidth="1"/>
    <col min="6" max="6" width="47.5" style="2585" customWidth="1"/>
    <col min="7" max="7" width="13" style="2579" customWidth="1"/>
    <col min="8" max="8" width="8.875" style="2579"/>
    <col min="9" max="9" width="8.875" style="2580"/>
    <col min="10" max="10" width="5.75" style="2739" customWidth="1"/>
    <col min="11" max="11" width="11.75" style="2739" customWidth="1"/>
    <col min="12" max="13" width="10.75" style="2739" customWidth="1"/>
    <col min="14" max="14" width="10" style="2739" customWidth="1"/>
    <col min="15" max="16" width="10.5" style="2739" bestFit="1" customWidth="1"/>
    <col min="17" max="17" width="10" style="2739" customWidth="1"/>
    <col min="18" max="18" width="10.125" style="2739" customWidth="1"/>
    <col min="19" max="19" width="10" style="2739" customWidth="1"/>
    <col min="20" max="20" width="26.125" style="2739" customWidth="1"/>
    <col min="21" max="21" width="8.875" style="2739"/>
    <col min="22" max="22" width="8.875" style="2580"/>
    <col min="23" max="256" width="8.875" style="2585"/>
    <col min="257" max="257" width="9.5" style="2585" customWidth="1"/>
    <col min="258" max="258" width="8.875" style="2585"/>
    <col min="259" max="261" width="12.875" style="2585" customWidth="1"/>
    <col min="262" max="262" width="47.5" style="2585" customWidth="1"/>
    <col min="263" max="263" width="13" style="2585" customWidth="1"/>
    <col min="264" max="265" width="8.875" style="2585"/>
    <col min="266" max="266" width="5.75" style="2585" customWidth="1"/>
    <col min="267" max="267" width="11.75" style="2585" customWidth="1"/>
    <col min="268" max="269" width="10.75" style="2585" customWidth="1"/>
    <col min="270" max="270" width="10" style="2585" customWidth="1"/>
    <col min="271" max="272" width="10.5" style="2585" bestFit="1" customWidth="1"/>
    <col min="273" max="273" width="10" style="2585" customWidth="1"/>
    <col min="274" max="274" width="10.125" style="2585" customWidth="1"/>
    <col min="275" max="275" width="10" style="2585" customWidth="1"/>
    <col min="276" max="276" width="26.125" style="2585" customWidth="1"/>
    <col min="277" max="512" width="8.875" style="2585"/>
    <col min="513" max="513" width="9.5" style="2585" customWidth="1"/>
    <col min="514" max="514" width="8.875" style="2585"/>
    <col min="515" max="517" width="12.875" style="2585" customWidth="1"/>
    <col min="518" max="518" width="47.5" style="2585" customWidth="1"/>
    <col min="519" max="519" width="13" style="2585" customWidth="1"/>
    <col min="520" max="521" width="8.875" style="2585"/>
    <col min="522" max="522" width="5.75" style="2585" customWidth="1"/>
    <col min="523" max="523" width="11.75" style="2585" customWidth="1"/>
    <col min="524" max="525" width="10.75" style="2585" customWidth="1"/>
    <col min="526" max="526" width="10" style="2585" customWidth="1"/>
    <col min="527" max="528" width="10.5" style="2585" bestFit="1" customWidth="1"/>
    <col min="529" max="529" width="10" style="2585" customWidth="1"/>
    <col min="530" max="530" width="10.125" style="2585" customWidth="1"/>
    <col min="531" max="531" width="10" style="2585" customWidth="1"/>
    <col min="532" max="532" width="26.125" style="2585" customWidth="1"/>
    <col min="533" max="768" width="8.875" style="2585"/>
    <col min="769" max="769" width="9.5" style="2585" customWidth="1"/>
    <col min="770" max="770" width="8.875" style="2585"/>
    <col min="771" max="773" width="12.875" style="2585" customWidth="1"/>
    <col min="774" max="774" width="47.5" style="2585" customWidth="1"/>
    <col min="775" max="775" width="13" style="2585" customWidth="1"/>
    <col min="776" max="777" width="8.875" style="2585"/>
    <col min="778" max="778" width="5.75" style="2585" customWidth="1"/>
    <col min="779" max="779" width="11.75" style="2585" customWidth="1"/>
    <col min="780" max="781" width="10.75" style="2585" customWidth="1"/>
    <col min="782" max="782" width="10" style="2585" customWidth="1"/>
    <col min="783" max="784" width="10.5" style="2585" bestFit="1" customWidth="1"/>
    <col min="785" max="785" width="10" style="2585" customWidth="1"/>
    <col min="786" max="786" width="10.125" style="2585" customWidth="1"/>
    <col min="787" max="787" width="10" style="2585" customWidth="1"/>
    <col min="788" max="788" width="26.125" style="2585" customWidth="1"/>
    <col min="789" max="1024" width="8.875" style="2585"/>
    <col min="1025" max="1025" width="9.5" style="2585" customWidth="1"/>
    <col min="1026" max="1026" width="8.875" style="2585"/>
    <col min="1027" max="1029" width="12.875" style="2585" customWidth="1"/>
    <col min="1030" max="1030" width="47.5" style="2585" customWidth="1"/>
    <col min="1031" max="1031" width="13" style="2585" customWidth="1"/>
    <col min="1032" max="1033" width="8.875" style="2585"/>
    <col min="1034" max="1034" width="5.75" style="2585" customWidth="1"/>
    <col min="1035" max="1035" width="11.75" style="2585" customWidth="1"/>
    <col min="1036" max="1037" width="10.75" style="2585" customWidth="1"/>
    <col min="1038" max="1038" width="10" style="2585" customWidth="1"/>
    <col min="1039" max="1040" width="10.5" style="2585" bestFit="1" customWidth="1"/>
    <col min="1041" max="1041" width="10" style="2585" customWidth="1"/>
    <col min="1042" max="1042" width="10.125" style="2585" customWidth="1"/>
    <col min="1043" max="1043" width="10" style="2585" customWidth="1"/>
    <col min="1044" max="1044" width="26.125" style="2585" customWidth="1"/>
    <col min="1045" max="1280" width="8.875" style="2585"/>
    <col min="1281" max="1281" width="9.5" style="2585" customWidth="1"/>
    <col min="1282" max="1282" width="8.875" style="2585"/>
    <col min="1283" max="1285" width="12.875" style="2585" customWidth="1"/>
    <col min="1286" max="1286" width="47.5" style="2585" customWidth="1"/>
    <col min="1287" max="1287" width="13" style="2585" customWidth="1"/>
    <col min="1288" max="1289" width="8.875" style="2585"/>
    <col min="1290" max="1290" width="5.75" style="2585" customWidth="1"/>
    <col min="1291" max="1291" width="11.75" style="2585" customWidth="1"/>
    <col min="1292" max="1293" width="10.75" style="2585" customWidth="1"/>
    <col min="1294" max="1294" width="10" style="2585" customWidth="1"/>
    <col min="1295" max="1296" width="10.5" style="2585" bestFit="1" customWidth="1"/>
    <col min="1297" max="1297" width="10" style="2585" customWidth="1"/>
    <col min="1298" max="1298" width="10.125" style="2585" customWidth="1"/>
    <col min="1299" max="1299" width="10" style="2585" customWidth="1"/>
    <col min="1300" max="1300" width="26.125" style="2585" customWidth="1"/>
    <col min="1301" max="1536" width="8.875" style="2585"/>
    <col min="1537" max="1537" width="9.5" style="2585" customWidth="1"/>
    <col min="1538" max="1538" width="8.875" style="2585"/>
    <col min="1539" max="1541" width="12.875" style="2585" customWidth="1"/>
    <col min="1542" max="1542" width="47.5" style="2585" customWidth="1"/>
    <col min="1543" max="1543" width="13" style="2585" customWidth="1"/>
    <col min="1544" max="1545" width="8.875" style="2585"/>
    <col min="1546" max="1546" width="5.75" style="2585" customWidth="1"/>
    <col min="1547" max="1547" width="11.75" style="2585" customWidth="1"/>
    <col min="1548" max="1549" width="10.75" style="2585" customWidth="1"/>
    <col min="1550" max="1550" width="10" style="2585" customWidth="1"/>
    <col min="1551" max="1552" width="10.5" style="2585" bestFit="1" customWidth="1"/>
    <col min="1553" max="1553" width="10" style="2585" customWidth="1"/>
    <col min="1554" max="1554" width="10.125" style="2585" customWidth="1"/>
    <col min="1555" max="1555" width="10" style="2585" customWidth="1"/>
    <col min="1556" max="1556" width="26.125" style="2585" customWidth="1"/>
    <col min="1557" max="1792" width="8.875" style="2585"/>
    <col min="1793" max="1793" width="9.5" style="2585" customWidth="1"/>
    <col min="1794" max="1794" width="8.875" style="2585"/>
    <col min="1795" max="1797" width="12.875" style="2585" customWidth="1"/>
    <col min="1798" max="1798" width="47.5" style="2585" customWidth="1"/>
    <col min="1799" max="1799" width="13" style="2585" customWidth="1"/>
    <col min="1800" max="1801" width="8.875" style="2585"/>
    <col min="1802" max="1802" width="5.75" style="2585" customWidth="1"/>
    <col min="1803" max="1803" width="11.75" style="2585" customWidth="1"/>
    <col min="1804" max="1805" width="10.75" style="2585" customWidth="1"/>
    <col min="1806" max="1806" width="10" style="2585" customWidth="1"/>
    <col min="1807" max="1808" width="10.5" style="2585" bestFit="1" customWidth="1"/>
    <col min="1809" max="1809" width="10" style="2585" customWidth="1"/>
    <col min="1810" max="1810" width="10.125" style="2585" customWidth="1"/>
    <col min="1811" max="1811" width="10" style="2585" customWidth="1"/>
    <col min="1812" max="1812" width="26.125" style="2585" customWidth="1"/>
    <col min="1813" max="2048" width="8.875" style="2585"/>
    <col min="2049" max="2049" width="9.5" style="2585" customWidth="1"/>
    <col min="2050" max="2050" width="8.875" style="2585"/>
    <col min="2051" max="2053" width="12.875" style="2585" customWidth="1"/>
    <col min="2054" max="2054" width="47.5" style="2585" customWidth="1"/>
    <col min="2055" max="2055" width="13" style="2585" customWidth="1"/>
    <col min="2056" max="2057" width="8.875" style="2585"/>
    <col min="2058" max="2058" width="5.75" style="2585" customWidth="1"/>
    <col min="2059" max="2059" width="11.75" style="2585" customWidth="1"/>
    <col min="2060" max="2061" width="10.75" style="2585" customWidth="1"/>
    <col min="2062" max="2062" width="10" style="2585" customWidth="1"/>
    <col min="2063" max="2064" width="10.5" style="2585" bestFit="1" customWidth="1"/>
    <col min="2065" max="2065" width="10" style="2585" customWidth="1"/>
    <col min="2066" max="2066" width="10.125" style="2585" customWidth="1"/>
    <col min="2067" max="2067" width="10" style="2585" customWidth="1"/>
    <col min="2068" max="2068" width="26.125" style="2585" customWidth="1"/>
    <col min="2069" max="2304" width="8.875" style="2585"/>
    <col min="2305" max="2305" width="9.5" style="2585" customWidth="1"/>
    <col min="2306" max="2306" width="8.875" style="2585"/>
    <col min="2307" max="2309" width="12.875" style="2585" customWidth="1"/>
    <col min="2310" max="2310" width="47.5" style="2585" customWidth="1"/>
    <col min="2311" max="2311" width="13" style="2585" customWidth="1"/>
    <col min="2312" max="2313" width="8.875" style="2585"/>
    <col min="2314" max="2314" width="5.75" style="2585" customWidth="1"/>
    <col min="2315" max="2315" width="11.75" style="2585" customWidth="1"/>
    <col min="2316" max="2317" width="10.75" style="2585" customWidth="1"/>
    <col min="2318" max="2318" width="10" style="2585" customWidth="1"/>
    <col min="2319" max="2320" width="10.5" style="2585" bestFit="1" customWidth="1"/>
    <col min="2321" max="2321" width="10" style="2585" customWidth="1"/>
    <col min="2322" max="2322" width="10.125" style="2585" customWidth="1"/>
    <col min="2323" max="2323" width="10" style="2585" customWidth="1"/>
    <col min="2324" max="2324" width="26.125" style="2585" customWidth="1"/>
    <col min="2325" max="2560" width="8.875" style="2585"/>
    <col min="2561" max="2561" width="9.5" style="2585" customWidth="1"/>
    <col min="2562" max="2562" width="8.875" style="2585"/>
    <col min="2563" max="2565" width="12.875" style="2585" customWidth="1"/>
    <col min="2566" max="2566" width="47.5" style="2585" customWidth="1"/>
    <col min="2567" max="2567" width="13" style="2585" customWidth="1"/>
    <col min="2568" max="2569" width="8.875" style="2585"/>
    <col min="2570" max="2570" width="5.75" style="2585" customWidth="1"/>
    <col min="2571" max="2571" width="11.75" style="2585" customWidth="1"/>
    <col min="2572" max="2573" width="10.75" style="2585" customWidth="1"/>
    <col min="2574" max="2574" width="10" style="2585" customWidth="1"/>
    <col min="2575" max="2576" width="10.5" style="2585" bestFit="1" customWidth="1"/>
    <col min="2577" max="2577" width="10" style="2585" customWidth="1"/>
    <col min="2578" max="2578" width="10.125" style="2585" customWidth="1"/>
    <col min="2579" max="2579" width="10" style="2585" customWidth="1"/>
    <col min="2580" max="2580" width="26.125" style="2585" customWidth="1"/>
    <col min="2581" max="2816" width="8.875" style="2585"/>
    <col min="2817" max="2817" width="9.5" style="2585" customWidth="1"/>
    <col min="2818" max="2818" width="8.875" style="2585"/>
    <col min="2819" max="2821" width="12.875" style="2585" customWidth="1"/>
    <col min="2822" max="2822" width="47.5" style="2585" customWidth="1"/>
    <col min="2823" max="2823" width="13" style="2585" customWidth="1"/>
    <col min="2824" max="2825" width="8.875" style="2585"/>
    <col min="2826" max="2826" width="5.75" style="2585" customWidth="1"/>
    <col min="2827" max="2827" width="11.75" style="2585" customWidth="1"/>
    <col min="2828" max="2829" width="10.75" style="2585" customWidth="1"/>
    <col min="2830" max="2830" width="10" style="2585" customWidth="1"/>
    <col min="2831" max="2832" width="10.5" style="2585" bestFit="1" customWidth="1"/>
    <col min="2833" max="2833" width="10" style="2585" customWidth="1"/>
    <col min="2834" max="2834" width="10.125" style="2585" customWidth="1"/>
    <col min="2835" max="2835" width="10" style="2585" customWidth="1"/>
    <col min="2836" max="2836" width="26.125" style="2585" customWidth="1"/>
    <col min="2837" max="3072" width="8.875" style="2585"/>
    <col min="3073" max="3073" width="9.5" style="2585" customWidth="1"/>
    <col min="3074" max="3074" width="8.875" style="2585"/>
    <col min="3075" max="3077" width="12.875" style="2585" customWidth="1"/>
    <col min="3078" max="3078" width="47.5" style="2585" customWidth="1"/>
    <col min="3079" max="3079" width="13" style="2585" customWidth="1"/>
    <col min="3080" max="3081" width="8.875" style="2585"/>
    <col min="3082" max="3082" width="5.75" style="2585" customWidth="1"/>
    <col min="3083" max="3083" width="11.75" style="2585" customWidth="1"/>
    <col min="3084" max="3085" width="10.75" style="2585" customWidth="1"/>
    <col min="3086" max="3086" width="10" style="2585" customWidth="1"/>
    <col min="3087" max="3088" width="10.5" style="2585" bestFit="1" customWidth="1"/>
    <col min="3089" max="3089" width="10" style="2585" customWidth="1"/>
    <col min="3090" max="3090" width="10.125" style="2585" customWidth="1"/>
    <col min="3091" max="3091" width="10" style="2585" customWidth="1"/>
    <col min="3092" max="3092" width="26.125" style="2585" customWidth="1"/>
    <col min="3093" max="3328" width="8.875" style="2585"/>
    <col min="3329" max="3329" width="9.5" style="2585" customWidth="1"/>
    <col min="3330" max="3330" width="8.875" style="2585"/>
    <col min="3331" max="3333" width="12.875" style="2585" customWidth="1"/>
    <col min="3334" max="3334" width="47.5" style="2585" customWidth="1"/>
    <col min="3335" max="3335" width="13" style="2585" customWidth="1"/>
    <col min="3336" max="3337" width="8.875" style="2585"/>
    <col min="3338" max="3338" width="5.75" style="2585" customWidth="1"/>
    <col min="3339" max="3339" width="11.75" style="2585" customWidth="1"/>
    <col min="3340" max="3341" width="10.75" style="2585" customWidth="1"/>
    <col min="3342" max="3342" width="10" style="2585" customWidth="1"/>
    <col min="3343" max="3344" width="10.5" style="2585" bestFit="1" customWidth="1"/>
    <col min="3345" max="3345" width="10" style="2585" customWidth="1"/>
    <col min="3346" max="3346" width="10.125" style="2585" customWidth="1"/>
    <col min="3347" max="3347" width="10" style="2585" customWidth="1"/>
    <col min="3348" max="3348" width="26.125" style="2585" customWidth="1"/>
    <col min="3349" max="3584" width="8.875" style="2585"/>
    <col min="3585" max="3585" width="9.5" style="2585" customWidth="1"/>
    <col min="3586" max="3586" width="8.875" style="2585"/>
    <col min="3587" max="3589" width="12.875" style="2585" customWidth="1"/>
    <col min="3590" max="3590" width="47.5" style="2585" customWidth="1"/>
    <col min="3591" max="3591" width="13" style="2585" customWidth="1"/>
    <col min="3592" max="3593" width="8.875" style="2585"/>
    <col min="3594" max="3594" width="5.75" style="2585" customWidth="1"/>
    <col min="3595" max="3595" width="11.75" style="2585" customWidth="1"/>
    <col min="3596" max="3597" width="10.75" style="2585" customWidth="1"/>
    <col min="3598" max="3598" width="10" style="2585" customWidth="1"/>
    <col min="3599" max="3600" width="10.5" style="2585" bestFit="1" customWidth="1"/>
    <col min="3601" max="3601" width="10" style="2585" customWidth="1"/>
    <col min="3602" max="3602" width="10.125" style="2585" customWidth="1"/>
    <col min="3603" max="3603" width="10" style="2585" customWidth="1"/>
    <col min="3604" max="3604" width="26.125" style="2585" customWidth="1"/>
    <col min="3605" max="3840" width="8.875" style="2585"/>
    <col min="3841" max="3841" width="9.5" style="2585" customWidth="1"/>
    <col min="3842" max="3842" width="8.875" style="2585"/>
    <col min="3843" max="3845" width="12.875" style="2585" customWidth="1"/>
    <col min="3846" max="3846" width="47.5" style="2585" customWidth="1"/>
    <col min="3847" max="3847" width="13" style="2585" customWidth="1"/>
    <col min="3848" max="3849" width="8.875" style="2585"/>
    <col min="3850" max="3850" width="5.75" style="2585" customWidth="1"/>
    <col min="3851" max="3851" width="11.75" style="2585" customWidth="1"/>
    <col min="3852" max="3853" width="10.75" style="2585" customWidth="1"/>
    <col min="3854" max="3854" width="10" style="2585" customWidth="1"/>
    <col min="3855" max="3856" width="10.5" style="2585" bestFit="1" customWidth="1"/>
    <col min="3857" max="3857" width="10" style="2585" customWidth="1"/>
    <col min="3858" max="3858" width="10.125" style="2585" customWidth="1"/>
    <col min="3859" max="3859" width="10" style="2585" customWidth="1"/>
    <col min="3860" max="3860" width="26.125" style="2585" customWidth="1"/>
    <col min="3861" max="4096" width="8.875" style="2585"/>
    <col min="4097" max="4097" width="9.5" style="2585" customWidth="1"/>
    <col min="4098" max="4098" width="8.875" style="2585"/>
    <col min="4099" max="4101" width="12.875" style="2585" customWidth="1"/>
    <col min="4102" max="4102" width="47.5" style="2585" customWidth="1"/>
    <col min="4103" max="4103" width="13" style="2585" customWidth="1"/>
    <col min="4104" max="4105" width="8.875" style="2585"/>
    <col min="4106" max="4106" width="5.75" style="2585" customWidth="1"/>
    <col min="4107" max="4107" width="11.75" style="2585" customWidth="1"/>
    <col min="4108" max="4109" width="10.75" style="2585" customWidth="1"/>
    <col min="4110" max="4110" width="10" style="2585" customWidth="1"/>
    <col min="4111" max="4112" width="10.5" style="2585" bestFit="1" customWidth="1"/>
    <col min="4113" max="4113" width="10" style="2585" customWidth="1"/>
    <col min="4114" max="4114" width="10.125" style="2585" customWidth="1"/>
    <col min="4115" max="4115" width="10" style="2585" customWidth="1"/>
    <col min="4116" max="4116" width="26.125" style="2585" customWidth="1"/>
    <col min="4117" max="4352" width="8.875" style="2585"/>
    <col min="4353" max="4353" width="9.5" style="2585" customWidth="1"/>
    <col min="4354" max="4354" width="8.875" style="2585"/>
    <col min="4355" max="4357" width="12.875" style="2585" customWidth="1"/>
    <col min="4358" max="4358" width="47.5" style="2585" customWidth="1"/>
    <col min="4359" max="4359" width="13" style="2585" customWidth="1"/>
    <col min="4360" max="4361" width="8.875" style="2585"/>
    <col min="4362" max="4362" width="5.75" style="2585" customWidth="1"/>
    <col min="4363" max="4363" width="11.75" style="2585" customWidth="1"/>
    <col min="4364" max="4365" width="10.75" style="2585" customWidth="1"/>
    <col min="4366" max="4366" width="10" style="2585" customWidth="1"/>
    <col min="4367" max="4368" width="10.5" style="2585" bestFit="1" customWidth="1"/>
    <col min="4369" max="4369" width="10" style="2585" customWidth="1"/>
    <col min="4370" max="4370" width="10.125" style="2585" customWidth="1"/>
    <col min="4371" max="4371" width="10" style="2585" customWidth="1"/>
    <col min="4372" max="4372" width="26.125" style="2585" customWidth="1"/>
    <col min="4373" max="4608" width="8.875" style="2585"/>
    <col min="4609" max="4609" width="9.5" style="2585" customWidth="1"/>
    <col min="4610" max="4610" width="8.875" style="2585"/>
    <col min="4611" max="4613" width="12.875" style="2585" customWidth="1"/>
    <col min="4614" max="4614" width="47.5" style="2585" customWidth="1"/>
    <col min="4615" max="4615" width="13" style="2585" customWidth="1"/>
    <col min="4616" max="4617" width="8.875" style="2585"/>
    <col min="4618" max="4618" width="5.75" style="2585" customWidth="1"/>
    <col min="4619" max="4619" width="11.75" style="2585" customWidth="1"/>
    <col min="4620" max="4621" width="10.75" style="2585" customWidth="1"/>
    <col min="4622" max="4622" width="10" style="2585" customWidth="1"/>
    <col min="4623" max="4624" width="10.5" style="2585" bestFit="1" customWidth="1"/>
    <col min="4625" max="4625" width="10" style="2585" customWidth="1"/>
    <col min="4626" max="4626" width="10.125" style="2585" customWidth="1"/>
    <col min="4627" max="4627" width="10" style="2585" customWidth="1"/>
    <col min="4628" max="4628" width="26.125" style="2585" customWidth="1"/>
    <col min="4629" max="4864" width="8.875" style="2585"/>
    <col min="4865" max="4865" width="9.5" style="2585" customWidth="1"/>
    <col min="4866" max="4866" width="8.875" style="2585"/>
    <col min="4867" max="4869" width="12.875" style="2585" customWidth="1"/>
    <col min="4870" max="4870" width="47.5" style="2585" customWidth="1"/>
    <col min="4871" max="4871" width="13" style="2585" customWidth="1"/>
    <col min="4872" max="4873" width="8.875" style="2585"/>
    <col min="4874" max="4874" width="5.75" style="2585" customWidth="1"/>
    <col min="4875" max="4875" width="11.75" style="2585" customWidth="1"/>
    <col min="4876" max="4877" width="10.75" style="2585" customWidth="1"/>
    <col min="4878" max="4878" width="10" style="2585" customWidth="1"/>
    <col min="4879" max="4880" width="10.5" style="2585" bestFit="1" customWidth="1"/>
    <col min="4881" max="4881" width="10" style="2585" customWidth="1"/>
    <col min="4882" max="4882" width="10.125" style="2585" customWidth="1"/>
    <col min="4883" max="4883" width="10" style="2585" customWidth="1"/>
    <col min="4884" max="4884" width="26.125" style="2585" customWidth="1"/>
    <col min="4885" max="5120" width="8.875" style="2585"/>
    <col min="5121" max="5121" width="9.5" style="2585" customWidth="1"/>
    <col min="5122" max="5122" width="8.875" style="2585"/>
    <col min="5123" max="5125" width="12.875" style="2585" customWidth="1"/>
    <col min="5126" max="5126" width="47.5" style="2585" customWidth="1"/>
    <col min="5127" max="5127" width="13" style="2585" customWidth="1"/>
    <col min="5128" max="5129" width="8.875" style="2585"/>
    <col min="5130" max="5130" width="5.75" style="2585" customWidth="1"/>
    <col min="5131" max="5131" width="11.75" style="2585" customWidth="1"/>
    <col min="5132" max="5133" width="10.75" style="2585" customWidth="1"/>
    <col min="5134" max="5134" width="10" style="2585" customWidth="1"/>
    <col min="5135" max="5136" width="10.5" style="2585" bestFit="1" customWidth="1"/>
    <col min="5137" max="5137" width="10" style="2585" customWidth="1"/>
    <col min="5138" max="5138" width="10.125" style="2585" customWidth="1"/>
    <col min="5139" max="5139" width="10" style="2585" customWidth="1"/>
    <col min="5140" max="5140" width="26.125" style="2585" customWidth="1"/>
    <col min="5141" max="5376" width="8.875" style="2585"/>
    <col min="5377" max="5377" width="9.5" style="2585" customWidth="1"/>
    <col min="5378" max="5378" width="8.875" style="2585"/>
    <col min="5379" max="5381" width="12.875" style="2585" customWidth="1"/>
    <col min="5382" max="5382" width="47.5" style="2585" customWidth="1"/>
    <col min="5383" max="5383" width="13" style="2585" customWidth="1"/>
    <col min="5384" max="5385" width="8.875" style="2585"/>
    <col min="5386" max="5386" width="5.75" style="2585" customWidth="1"/>
    <col min="5387" max="5387" width="11.75" style="2585" customWidth="1"/>
    <col min="5388" max="5389" width="10.75" style="2585" customWidth="1"/>
    <col min="5390" max="5390" width="10" style="2585" customWidth="1"/>
    <col min="5391" max="5392" width="10.5" style="2585" bestFit="1" customWidth="1"/>
    <col min="5393" max="5393" width="10" style="2585" customWidth="1"/>
    <col min="5394" max="5394" width="10.125" style="2585" customWidth="1"/>
    <col min="5395" max="5395" width="10" style="2585" customWidth="1"/>
    <col min="5396" max="5396" width="26.125" style="2585" customWidth="1"/>
    <col min="5397" max="5632" width="8.875" style="2585"/>
    <col min="5633" max="5633" width="9.5" style="2585" customWidth="1"/>
    <col min="5634" max="5634" width="8.875" style="2585"/>
    <col min="5635" max="5637" width="12.875" style="2585" customWidth="1"/>
    <col min="5638" max="5638" width="47.5" style="2585" customWidth="1"/>
    <col min="5639" max="5639" width="13" style="2585" customWidth="1"/>
    <col min="5640" max="5641" width="8.875" style="2585"/>
    <col min="5642" max="5642" width="5.75" style="2585" customWidth="1"/>
    <col min="5643" max="5643" width="11.75" style="2585" customWidth="1"/>
    <col min="5644" max="5645" width="10.75" style="2585" customWidth="1"/>
    <col min="5646" max="5646" width="10" style="2585" customWidth="1"/>
    <col min="5647" max="5648" width="10.5" style="2585" bestFit="1" customWidth="1"/>
    <col min="5649" max="5649" width="10" style="2585" customWidth="1"/>
    <col min="5650" max="5650" width="10.125" style="2585" customWidth="1"/>
    <col min="5651" max="5651" width="10" style="2585" customWidth="1"/>
    <col min="5652" max="5652" width="26.125" style="2585" customWidth="1"/>
    <col min="5653" max="5888" width="8.875" style="2585"/>
    <col min="5889" max="5889" width="9.5" style="2585" customWidth="1"/>
    <col min="5890" max="5890" width="8.875" style="2585"/>
    <col min="5891" max="5893" width="12.875" style="2585" customWidth="1"/>
    <col min="5894" max="5894" width="47.5" style="2585" customWidth="1"/>
    <col min="5895" max="5895" width="13" style="2585" customWidth="1"/>
    <col min="5896" max="5897" width="8.875" style="2585"/>
    <col min="5898" max="5898" width="5.75" style="2585" customWidth="1"/>
    <col min="5899" max="5899" width="11.75" style="2585" customWidth="1"/>
    <col min="5900" max="5901" width="10.75" style="2585" customWidth="1"/>
    <col min="5902" max="5902" width="10" style="2585" customWidth="1"/>
    <col min="5903" max="5904" width="10.5" style="2585" bestFit="1" customWidth="1"/>
    <col min="5905" max="5905" width="10" style="2585" customWidth="1"/>
    <col min="5906" max="5906" width="10.125" style="2585" customWidth="1"/>
    <col min="5907" max="5907" width="10" style="2585" customWidth="1"/>
    <col min="5908" max="5908" width="26.125" style="2585" customWidth="1"/>
    <col min="5909" max="6144" width="8.875" style="2585"/>
    <col min="6145" max="6145" width="9.5" style="2585" customWidth="1"/>
    <col min="6146" max="6146" width="8.875" style="2585"/>
    <col min="6147" max="6149" width="12.875" style="2585" customWidth="1"/>
    <col min="6150" max="6150" width="47.5" style="2585" customWidth="1"/>
    <col min="6151" max="6151" width="13" style="2585" customWidth="1"/>
    <col min="6152" max="6153" width="8.875" style="2585"/>
    <col min="6154" max="6154" width="5.75" style="2585" customWidth="1"/>
    <col min="6155" max="6155" width="11.75" style="2585" customWidth="1"/>
    <col min="6156" max="6157" width="10.75" style="2585" customWidth="1"/>
    <col min="6158" max="6158" width="10" style="2585" customWidth="1"/>
    <col min="6159" max="6160" width="10.5" style="2585" bestFit="1" customWidth="1"/>
    <col min="6161" max="6161" width="10" style="2585" customWidth="1"/>
    <col min="6162" max="6162" width="10.125" style="2585" customWidth="1"/>
    <col min="6163" max="6163" width="10" style="2585" customWidth="1"/>
    <col min="6164" max="6164" width="26.125" style="2585" customWidth="1"/>
    <col min="6165" max="6400" width="8.875" style="2585"/>
    <col min="6401" max="6401" width="9.5" style="2585" customWidth="1"/>
    <col min="6402" max="6402" width="8.875" style="2585"/>
    <col min="6403" max="6405" width="12.875" style="2585" customWidth="1"/>
    <col min="6406" max="6406" width="47.5" style="2585" customWidth="1"/>
    <col min="6407" max="6407" width="13" style="2585" customWidth="1"/>
    <col min="6408" max="6409" width="8.875" style="2585"/>
    <col min="6410" max="6410" width="5.75" style="2585" customWidth="1"/>
    <col min="6411" max="6411" width="11.75" style="2585" customWidth="1"/>
    <col min="6412" max="6413" width="10.75" style="2585" customWidth="1"/>
    <col min="6414" max="6414" width="10" style="2585" customWidth="1"/>
    <col min="6415" max="6416" width="10.5" style="2585" bestFit="1" customWidth="1"/>
    <col min="6417" max="6417" width="10" style="2585" customWidth="1"/>
    <col min="6418" max="6418" width="10.125" style="2585" customWidth="1"/>
    <col min="6419" max="6419" width="10" style="2585" customWidth="1"/>
    <col min="6420" max="6420" width="26.125" style="2585" customWidth="1"/>
    <col min="6421" max="6656" width="8.875" style="2585"/>
    <col min="6657" max="6657" width="9.5" style="2585" customWidth="1"/>
    <col min="6658" max="6658" width="8.875" style="2585"/>
    <col min="6659" max="6661" width="12.875" style="2585" customWidth="1"/>
    <col min="6662" max="6662" width="47.5" style="2585" customWidth="1"/>
    <col min="6663" max="6663" width="13" style="2585" customWidth="1"/>
    <col min="6664" max="6665" width="8.875" style="2585"/>
    <col min="6666" max="6666" width="5.75" style="2585" customWidth="1"/>
    <col min="6667" max="6667" width="11.75" style="2585" customWidth="1"/>
    <col min="6668" max="6669" width="10.75" style="2585" customWidth="1"/>
    <col min="6670" max="6670" width="10" style="2585" customWidth="1"/>
    <col min="6671" max="6672" width="10.5" style="2585" bestFit="1" customWidth="1"/>
    <col min="6673" max="6673" width="10" style="2585" customWidth="1"/>
    <col min="6674" max="6674" width="10.125" style="2585" customWidth="1"/>
    <col min="6675" max="6675" width="10" style="2585" customWidth="1"/>
    <col min="6676" max="6676" width="26.125" style="2585" customWidth="1"/>
    <col min="6677" max="6912" width="8.875" style="2585"/>
    <col min="6913" max="6913" width="9.5" style="2585" customWidth="1"/>
    <col min="6914" max="6914" width="8.875" style="2585"/>
    <col min="6915" max="6917" width="12.875" style="2585" customWidth="1"/>
    <col min="6918" max="6918" width="47.5" style="2585" customWidth="1"/>
    <col min="6919" max="6919" width="13" style="2585" customWidth="1"/>
    <col min="6920" max="6921" width="8.875" style="2585"/>
    <col min="6922" max="6922" width="5.75" style="2585" customWidth="1"/>
    <col min="6923" max="6923" width="11.75" style="2585" customWidth="1"/>
    <col min="6924" max="6925" width="10.75" style="2585" customWidth="1"/>
    <col min="6926" max="6926" width="10" style="2585" customWidth="1"/>
    <col min="6927" max="6928" width="10.5" style="2585" bestFit="1" customWidth="1"/>
    <col min="6929" max="6929" width="10" style="2585" customWidth="1"/>
    <col min="6930" max="6930" width="10.125" style="2585" customWidth="1"/>
    <col min="6931" max="6931" width="10" style="2585" customWidth="1"/>
    <col min="6932" max="6932" width="26.125" style="2585" customWidth="1"/>
    <col min="6933" max="7168" width="8.875" style="2585"/>
    <col min="7169" max="7169" width="9.5" style="2585" customWidth="1"/>
    <col min="7170" max="7170" width="8.875" style="2585"/>
    <col min="7171" max="7173" width="12.875" style="2585" customWidth="1"/>
    <col min="7174" max="7174" width="47.5" style="2585" customWidth="1"/>
    <col min="7175" max="7175" width="13" style="2585" customWidth="1"/>
    <col min="7176" max="7177" width="8.875" style="2585"/>
    <col min="7178" max="7178" width="5.75" style="2585" customWidth="1"/>
    <col min="7179" max="7179" width="11.75" style="2585" customWidth="1"/>
    <col min="7180" max="7181" width="10.75" style="2585" customWidth="1"/>
    <col min="7182" max="7182" width="10" style="2585" customWidth="1"/>
    <col min="7183" max="7184" width="10.5" style="2585" bestFit="1" customWidth="1"/>
    <col min="7185" max="7185" width="10" style="2585" customWidth="1"/>
    <col min="7186" max="7186" width="10.125" style="2585" customWidth="1"/>
    <col min="7187" max="7187" width="10" style="2585" customWidth="1"/>
    <col min="7188" max="7188" width="26.125" style="2585" customWidth="1"/>
    <col min="7189" max="7424" width="8.875" style="2585"/>
    <col min="7425" max="7425" width="9.5" style="2585" customWidth="1"/>
    <col min="7426" max="7426" width="8.875" style="2585"/>
    <col min="7427" max="7429" width="12.875" style="2585" customWidth="1"/>
    <col min="7430" max="7430" width="47.5" style="2585" customWidth="1"/>
    <col min="7431" max="7431" width="13" style="2585" customWidth="1"/>
    <col min="7432" max="7433" width="8.875" style="2585"/>
    <col min="7434" max="7434" width="5.75" style="2585" customWidth="1"/>
    <col min="7435" max="7435" width="11.75" style="2585" customWidth="1"/>
    <col min="7436" max="7437" width="10.75" style="2585" customWidth="1"/>
    <col min="7438" max="7438" width="10" style="2585" customWidth="1"/>
    <col min="7439" max="7440" width="10.5" style="2585" bestFit="1" customWidth="1"/>
    <col min="7441" max="7441" width="10" style="2585" customWidth="1"/>
    <col min="7442" max="7442" width="10.125" style="2585" customWidth="1"/>
    <col min="7443" max="7443" width="10" style="2585" customWidth="1"/>
    <col min="7444" max="7444" width="26.125" style="2585" customWidth="1"/>
    <col min="7445" max="7680" width="8.875" style="2585"/>
    <col min="7681" max="7681" width="9.5" style="2585" customWidth="1"/>
    <col min="7682" max="7682" width="8.875" style="2585"/>
    <col min="7683" max="7685" width="12.875" style="2585" customWidth="1"/>
    <col min="7686" max="7686" width="47.5" style="2585" customWidth="1"/>
    <col min="7687" max="7687" width="13" style="2585" customWidth="1"/>
    <col min="7688" max="7689" width="8.875" style="2585"/>
    <col min="7690" max="7690" width="5.75" style="2585" customWidth="1"/>
    <col min="7691" max="7691" width="11.75" style="2585" customWidth="1"/>
    <col min="7692" max="7693" width="10.75" style="2585" customWidth="1"/>
    <col min="7694" max="7694" width="10" style="2585" customWidth="1"/>
    <col min="7695" max="7696" width="10.5" style="2585" bestFit="1" customWidth="1"/>
    <col min="7697" max="7697" width="10" style="2585" customWidth="1"/>
    <col min="7698" max="7698" width="10.125" style="2585" customWidth="1"/>
    <col min="7699" max="7699" width="10" style="2585" customWidth="1"/>
    <col min="7700" max="7700" width="26.125" style="2585" customWidth="1"/>
    <col min="7701" max="7936" width="8.875" style="2585"/>
    <col min="7937" max="7937" width="9.5" style="2585" customWidth="1"/>
    <col min="7938" max="7938" width="8.875" style="2585"/>
    <col min="7939" max="7941" width="12.875" style="2585" customWidth="1"/>
    <col min="7942" max="7942" width="47.5" style="2585" customWidth="1"/>
    <col min="7943" max="7943" width="13" style="2585" customWidth="1"/>
    <col min="7944" max="7945" width="8.875" style="2585"/>
    <col min="7946" max="7946" width="5.75" style="2585" customWidth="1"/>
    <col min="7947" max="7947" width="11.75" style="2585" customWidth="1"/>
    <col min="7948" max="7949" width="10.75" style="2585" customWidth="1"/>
    <col min="7950" max="7950" width="10" style="2585" customWidth="1"/>
    <col min="7951" max="7952" width="10.5" style="2585" bestFit="1" customWidth="1"/>
    <col min="7953" max="7953" width="10" style="2585" customWidth="1"/>
    <col min="7954" max="7954" width="10.125" style="2585" customWidth="1"/>
    <col min="7955" max="7955" width="10" style="2585" customWidth="1"/>
    <col min="7956" max="7956" width="26.125" style="2585" customWidth="1"/>
    <col min="7957" max="8192" width="8.875" style="2585"/>
    <col min="8193" max="8193" width="9.5" style="2585" customWidth="1"/>
    <col min="8194" max="8194" width="8.875" style="2585"/>
    <col min="8195" max="8197" width="12.875" style="2585" customWidth="1"/>
    <col min="8198" max="8198" width="47.5" style="2585" customWidth="1"/>
    <col min="8199" max="8199" width="13" style="2585" customWidth="1"/>
    <col min="8200" max="8201" width="8.875" style="2585"/>
    <col min="8202" max="8202" width="5.75" style="2585" customWidth="1"/>
    <col min="8203" max="8203" width="11.75" style="2585" customWidth="1"/>
    <col min="8204" max="8205" width="10.75" style="2585" customWidth="1"/>
    <col min="8206" max="8206" width="10" style="2585" customWidth="1"/>
    <col min="8207" max="8208" width="10.5" style="2585" bestFit="1" customWidth="1"/>
    <col min="8209" max="8209" width="10" style="2585" customWidth="1"/>
    <col min="8210" max="8210" width="10.125" style="2585" customWidth="1"/>
    <col min="8211" max="8211" width="10" style="2585" customWidth="1"/>
    <col min="8212" max="8212" width="26.125" style="2585" customWidth="1"/>
    <col min="8213" max="8448" width="8.875" style="2585"/>
    <col min="8449" max="8449" width="9.5" style="2585" customWidth="1"/>
    <col min="8450" max="8450" width="8.875" style="2585"/>
    <col min="8451" max="8453" width="12.875" style="2585" customWidth="1"/>
    <col min="8454" max="8454" width="47.5" style="2585" customWidth="1"/>
    <col min="8455" max="8455" width="13" style="2585" customWidth="1"/>
    <col min="8456" max="8457" width="8.875" style="2585"/>
    <col min="8458" max="8458" width="5.75" style="2585" customWidth="1"/>
    <col min="8459" max="8459" width="11.75" style="2585" customWidth="1"/>
    <col min="8460" max="8461" width="10.75" style="2585" customWidth="1"/>
    <col min="8462" max="8462" width="10" style="2585" customWidth="1"/>
    <col min="8463" max="8464" width="10.5" style="2585" bestFit="1" customWidth="1"/>
    <col min="8465" max="8465" width="10" style="2585" customWidth="1"/>
    <col min="8466" max="8466" width="10.125" style="2585" customWidth="1"/>
    <col min="8467" max="8467" width="10" style="2585" customWidth="1"/>
    <col min="8468" max="8468" width="26.125" style="2585" customWidth="1"/>
    <col min="8469" max="8704" width="8.875" style="2585"/>
    <col min="8705" max="8705" width="9.5" style="2585" customWidth="1"/>
    <col min="8706" max="8706" width="8.875" style="2585"/>
    <col min="8707" max="8709" width="12.875" style="2585" customWidth="1"/>
    <col min="8710" max="8710" width="47.5" style="2585" customWidth="1"/>
    <col min="8711" max="8711" width="13" style="2585" customWidth="1"/>
    <col min="8712" max="8713" width="8.875" style="2585"/>
    <col min="8714" max="8714" width="5.75" style="2585" customWidth="1"/>
    <col min="8715" max="8715" width="11.75" style="2585" customWidth="1"/>
    <col min="8716" max="8717" width="10.75" style="2585" customWidth="1"/>
    <col min="8718" max="8718" width="10" style="2585" customWidth="1"/>
    <col min="8719" max="8720" width="10.5" style="2585" bestFit="1" customWidth="1"/>
    <col min="8721" max="8721" width="10" style="2585" customWidth="1"/>
    <col min="8722" max="8722" width="10.125" style="2585" customWidth="1"/>
    <col min="8723" max="8723" width="10" style="2585" customWidth="1"/>
    <col min="8724" max="8724" width="26.125" style="2585" customWidth="1"/>
    <col min="8725" max="8960" width="8.875" style="2585"/>
    <col min="8961" max="8961" width="9.5" style="2585" customWidth="1"/>
    <col min="8962" max="8962" width="8.875" style="2585"/>
    <col min="8963" max="8965" width="12.875" style="2585" customWidth="1"/>
    <col min="8966" max="8966" width="47.5" style="2585" customWidth="1"/>
    <col min="8967" max="8967" width="13" style="2585" customWidth="1"/>
    <col min="8968" max="8969" width="8.875" style="2585"/>
    <col min="8970" max="8970" width="5.75" style="2585" customWidth="1"/>
    <col min="8971" max="8971" width="11.75" style="2585" customWidth="1"/>
    <col min="8972" max="8973" width="10.75" style="2585" customWidth="1"/>
    <col min="8974" max="8974" width="10" style="2585" customWidth="1"/>
    <col min="8975" max="8976" width="10.5" style="2585" bestFit="1" customWidth="1"/>
    <col min="8977" max="8977" width="10" style="2585" customWidth="1"/>
    <col min="8978" max="8978" width="10.125" style="2585" customWidth="1"/>
    <col min="8979" max="8979" width="10" style="2585" customWidth="1"/>
    <col min="8980" max="8980" width="26.125" style="2585" customWidth="1"/>
    <col min="8981" max="9216" width="8.875" style="2585"/>
    <col min="9217" max="9217" width="9.5" style="2585" customWidth="1"/>
    <col min="9218" max="9218" width="8.875" style="2585"/>
    <col min="9219" max="9221" width="12.875" style="2585" customWidth="1"/>
    <col min="9222" max="9222" width="47.5" style="2585" customWidth="1"/>
    <col min="9223" max="9223" width="13" style="2585" customWidth="1"/>
    <col min="9224" max="9225" width="8.875" style="2585"/>
    <col min="9226" max="9226" width="5.75" style="2585" customWidth="1"/>
    <col min="9227" max="9227" width="11.75" style="2585" customWidth="1"/>
    <col min="9228" max="9229" width="10.75" style="2585" customWidth="1"/>
    <col min="9230" max="9230" width="10" style="2585" customWidth="1"/>
    <col min="9231" max="9232" width="10.5" style="2585" bestFit="1" customWidth="1"/>
    <col min="9233" max="9233" width="10" style="2585" customWidth="1"/>
    <col min="9234" max="9234" width="10.125" style="2585" customWidth="1"/>
    <col min="9235" max="9235" width="10" style="2585" customWidth="1"/>
    <col min="9236" max="9236" width="26.125" style="2585" customWidth="1"/>
    <col min="9237" max="9472" width="8.875" style="2585"/>
    <col min="9473" max="9473" width="9.5" style="2585" customWidth="1"/>
    <col min="9474" max="9474" width="8.875" style="2585"/>
    <col min="9475" max="9477" width="12.875" style="2585" customWidth="1"/>
    <col min="9478" max="9478" width="47.5" style="2585" customWidth="1"/>
    <col min="9479" max="9479" width="13" style="2585" customWidth="1"/>
    <col min="9480" max="9481" width="8.875" style="2585"/>
    <col min="9482" max="9482" width="5.75" style="2585" customWidth="1"/>
    <col min="9483" max="9483" width="11.75" style="2585" customWidth="1"/>
    <col min="9484" max="9485" width="10.75" style="2585" customWidth="1"/>
    <col min="9486" max="9486" width="10" style="2585" customWidth="1"/>
    <col min="9487" max="9488" width="10.5" style="2585" bestFit="1" customWidth="1"/>
    <col min="9489" max="9489" width="10" style="2585" customWidth="1"/>
    <col min="9490" max="9490" width="10.125" style="2585" customWidth="1"/>
    <col min="9491" max="9491" width="10" style="2585" customWidth="1"/>
    <col min="9492" max="9492" width="26.125" style="2585" customWidth="1"/>
    <col min="9493" max="9728" width="8.875" style="2585"/>
    <col min="9729" max="9729" width="9.5" style="2585" customWidth="1"/>
    <col min="9730" max="9730" width="8.875" style="2585"/>
    <col min="9731" max="9733" width="12.875" style="2585" customWidth="1"/>
    <col min="9734" max="9734" width="47.5" style="2585" customWidth="1"/>
    <col min="9735" max="9735" width="13" style="2585" customWidth="1"/>
    <col min="9736" max="9737" width="8.875" style="2585"/>
    <col min="9738" max="9738" width="5.75" style="2585" customWidth="1"/>
    <col min="9739" max="9739" width="11.75" style="2585" customWidth="1"/>
    <col min="9740" max="9741" width="10.75" style="2585" customWidth="1"/>
    <col min="9742" max="9742" width="10" style="2585" customWidth="1"/>
    <col min="9743" max="9744" width="10.5" style="2585" bestFit="1" customWidth="1"/>
    <col min="9745" max="9745" width="10" style="2585" customWidth="1"/>
    <col min="9746" max="9746" width="10.125" style="2585" customWidth="1"/>
    <col min="9747" max="9747" width="10" style="2585" customWidth="1"/>
    <col min="9748" max="9748" width="26.125" style="2585" customWidth="1"/>
    <col min="9749" max="9984" width="8.875" style="2585"/>
    <col min="9985" max="9985" width="9.5" style="2585" customWidth="1"/>
    <col min="9986" max="9986" width="8.875" style="2585"/>
    <col min="9987" max="9989" width="12.875" style="2585" customWidth="1"/>
    <col min="9990" max="9990" width="47.5" style="2585" customWidth="1"/>
    <col min="9991" max="9991" width="13" style="2585" customWidth="1"/>
    <col min="9992" max="9993" width="8.875" style="2585"/>
    <col min="9994" max="9994" width="5.75" style="2585" customWidth="1"/>
    <col min="9995" max="9995" width="11.75" style="2585" customWidth="1"/>
    <col min="9996" max="9997" width="10.75" style="2585" customWidth="1"/>
    <col min="9998" max="9998" width="10" style="2585" customWidth="1"/>
    <col min="9999" max="10000" width="10.5" style="2585" bestFit="1" customWidth="1"/>
    <col min="10001" max="10001" width="10" style="2585" customWidth="1"/>
    <col min="10002" max="10002" width="10.125" style="2585" customWidth="1"/>
    <col min="10003" max="10003" width="10" style="2585" customWidth="1"/>
    <col min="10004" max="10004" width="26.125" style="2585" customWidth="1"/>
    <col min="10005" max="10240" width="8.875" style="2585"/>
    <col min="10241" max="10241" width="9.5" style="2585" customWidth="1"/>
    <col min="10242" max="10242" width="8.875" style="2585"/>
    <col min="10243" max="10245" width="12.875" style="2585" customWidth="1"/>
    <col min="10246" max="10246" width="47.5" style="2585" customWidth="1"/>
    <col min="10247" max="10247" width="13" style="2585" customWidth="1"/>
    <col min="10248" max="10249" width="8.875" style="2585"/>
    <col min="10250" max="10250" width="5.75" style="2585" customWidth="1"/>
    <col min="10251" max="10251" width="11.75" style="2585" customWidth="1"/>
    <col min="10252" max="10253" width="10.75" style="2585" customWidth="1"/>
    <col min="10254" max="10254" width="10" style="2585" customWidth="1"/>
    <col min="10255" max="10256" width="10.5" style="2585" bestFit="1" customWidth="1"/>
    <col min="10257" max="10257" width="10" style="2585" customWidth="1"/>
    <col min="10258" max="10258" width="10.125" style="2585" customWidth="1"/>
    <col min="10259" max="10259" width="10" style="2585" customWidth="1"/>
    <col min="10260" max="10260" width="26.125" style="2585" customWidth="1"/>
    <col min="10261" max="10496" width="8.875" style="2585"/>
    <col min="10497" max="10497" width="9.5" style="2585" customWidth="1"/>
    <col min="10498" max="10498" width="8.875" style="2585"/>
    <col min="10499" max="10501" width="12.875" style="2585" customWidth="1"/>
    <col min="10502" max="10502" width="47.5" style="2585" customWidth="1"/>
    <col min="10503" max="10503" width="13" style="2585" customWidth="1"/>
    <col min="10504" max="10505" width="8.875" style="2585"/>
    <col min="10506" max="10506" width="5.75" style="2585" customWidth="1"/>
    <col min="10507" max="10507" width="11.75" style="2585" customWidth="1"/>
    <col min="10508" max="10509" width="10.75" style="2585" customWidth="1"/>
    <col min="10510" max="10510" width="10" style="2585" customWidth="1"/>
    <col min="10511" max="10512" width="10.5" style="2585" bestFit="1" customWidth="1"/>
    <col min="10513" max="10513" width="10" style="2585" customWidth="1"/>
    <col min="10514" max="10514" width="10.125" style="2585" customWidth="1"/>
    <col min="10515" max="10515" width="10" style="2585" customWidth="1"/>
    <col min="10516" max="10516" width="26.125" style="2585" customWidth="1"/>
    <col min="10517" max="10752" width="8.875" style="2585"/>
    <col min="10753" max="10753" width="9.5" style="2585" customWidth="1"/>
    <col min="10754" max="10754" width="8.875" style="2585"/>
    <col min="10755" max="10757" width="12.875" style="2585" customWidth="1"/>
    <col min="10758" max="10758" width="47.5" style="2585" customWidth="1"/>
    <col min="10759" max="10759" width="13" style="2585" customWidth="1"/>
    <col min="10760" max="10761" width="8.875" style="2585"/>
    <col min="10762" max="10762" width="5.75" style="2585" customWidth="1"/>
    <col min="10763" max="10763" width="11.75" style="2585" customWidth="1"/>
    <col min="10764" max="10765" width="10.75" style="2585" customWidth="1"/>
    <col min="10766" max="10766" width="10" style="2585" customWidth="1"/>
    <col min="10767" max="10768" width="10.5" style="2585" bestFit="1" customWidth="1"/>
    <col min="10769" max="10769" width="10" style="2585" customWidth="1"/>
    <col min="10770" max="10770" width="10.125" style="2585" customWidth="1"/>
    <col min="10771" max="10771" width="10" style="2585" customWidth="1"/>
    <col min="10772" max="10772" width="26.125" style="2585" customWidth="1"/>
    <col min="10773" max="11008" width="8.875" style="2585"/>
    <col min="11009" max="11009" width="9.5" style="2585" customWidth="1"/>
    <col min="11010" max="11010" width="8.875" style="2585"/>
    <col min="11011" max="11013" width="12.875" style="2585" customWidth="1"/>
    <col min="11014" max="11014" width="47.5" style="2585" customWidth="1"/>
    <col min="11015" max="11015" width="13" style="2585" customWidth="1"/>
    <col min="11016" max="11017" width="8.875" style="2585"/>
    <col min="11018" max="11018" width="5.75" style="2585" customWidth="1"/>
    <col min="11019" max="11019" width="11.75" style="2585" customWidth="1"/>
    <col min="11020" max="11021" width="10.75" style="2585" customWidth="1"/>
    <col min="11022" max="11022" width="10" style="2585" customWidth="1"/>
    <col min="11023" max="11024" width="10.5" style="2585" bestFit="1" customWidth="1"/>
    <col min="11025" max="11025" width="10" style="2585" customWidth="1"/>
    <col min="11026" max="11026" width="10.125" style="2585" customWidth="1"/>
    <col min="11027" max="11027" width="10" style="2585" customWidth="1"/>
    <col min="11028" max="11028" width="26.125" style="2585" customWidth="1"/>
    <col min="11029" max="11264" width="8.875" style="2585"/>
    <col min="11265" max="11265" width="9.5" style="2585" customWidth="1"/>
    <col min="11266" max="11266" width="8.875" style="2585"/>
    <col min="11267" max="11269" width="12.875" style="2585" customWidth="1"/>
    <col min="11270" max="11270" width="47.5" style="2585" customWidth="1"/>
    <col min="11271" max="11271" width="13" style="2585" customWidth="1"/>
    <col min="11272" max="11273" width="8.875" style="2585"/>
    <col min="11274" max="11274" width="5.75" style="2585" customWidth="1"/>
    <col min="11275" max="11275" width="11.75" style="2585" customWidth="1"/>
    <col min="11276" max="11277" width="10.75" style="2585" customWidth="1"/>
    <col min="11278" max="11278" width="10" style="2585" customWidth="1"/>
    <col min="11279" max="11280" width="10.5" style="2585" bestFit="1" customWidth="1"/>
    <col min="11281" max="11281" width="10" style="2585" customWidth="1"/>
    <col min="11282" max="11282" width="10.125" style="2585" customWidth="1"/>
    <col min="11283" max="11283" width="10" style="2585" customWidth="1"/>
    <col min="11284" max="11284" width="26.125" style="2585" customWidth="1"/>
    <col min="11285" max="11520" width="8.875" style="2585"/>
    <col min="11521" max="11521" width="9.5" style="2585" customWidth="1"/>
    <col min="11522" max="11522" width="8.875" style="2585"/>
    <col min="11523" max="11525" width="12.875" style="2585" customWidth="1"/>
    <col min="11526" max="11526" width="47.5" style="2585" customWidth="1"/>
    <col min="11527" max="11527" width="13" style="2585" customWidth="1"/>
    <col min="11528" max="11529" width="8.875" style="2585"/>
    <col min="11530" max="11530" width="5.75" style="2585" customWidth="1"/>
    <col min="11531" max="11531" width="11.75" style="2585" customWidth="1"/>
    <col min="11532" max="11533" width="10.75" style="2585" customWidth="1"/>
    <col min="11534" max="11534" width="10" style="2585" customWidth="1"/>
    <col min="11535" max="11536" width="10.5" style="2585" bestFit="1" customWidth="1"/>
    <col min="11537" max="11537" width="10" style="2585" customWidth="1"/>
    <col min="11538" max="11538" width="10.125" style="2585" customWidth="1"/>
    <col min="11539" max="11539" width="10" style="2585" customWidth="1"/>
    <col min="11540" max="11540" width="26.125" style="2585" customWidth="1"/>
    <col min="11541" max="11776" width="8.875" style="2585"/>
    <col min="11777" max="11777" width="9.5" style="2585" customWidth="1"/>
    <col min="11778" max="11778" width="8.875" style="2585"/>
    <col min="11779" max="11781" width="12.875" style="2585" customWidth="1"/>
    <col min="11782" max="11782" width="47.5" style="2585" customWidth="1"/>
    <col min="11783" max="11783" width="13" style="2585" customWidth="1"/>
    <col min="11784" max="11785" width="8.875" style="2585"/>
    <col min="11786" max="11786" width="5.75" style="2585" customWidth="1"/>
    <col min="11787" max="11787" width="11.75" style="2585" customWidth="1"/>
    <col min="11788" max="11789" width="10.75" style="2585" customWidth="1"/>
    <col min="11790" max="11790" width="10" style="2585" customWidth="1"/>
    <col min="11791" max="11792" width="10.5" style="2585" bestFit="1" customWidth="1"/>
    <col min="11793" max="11793" width="10" style="2585" customWidth="1"/>
    <col min="11794" max="11794" width="10.125" style="2585" customWidth="1"/>
    <col min="11795" max="11795" width="10" style="2585" customWidth="1"/>
    <col min="11796" max="11796" width="26.125" style="2585" customWidth="1"/>
    <col min="11797" max="12032" width="8.875" style="2585"/>
    <col min="12033" max="12033" width="9.5" style="2585" customWidth="1"/>
    <col min="12034" max="12034" width="8.875" style="2585"/>
    <col min="12035" max="12037" width="12.875" style="2585" customWidth="1"/>
    <col min="12038" max="12038" width="47.5" style="2585" customWidth="1"/>
    <col min="12039" max="12039" width="13" style="2585" customWidth="1"/>
    <col min="12040" max="12041" width="8.875" style="2585"/>
    <col min="12042" max="12042" width="5.75" style="2585" customWidth="1"/>
    <col min="12043" max="12043" width="11.75" style="2585" customWidth="1"/>
    <col min="12044" max="12045" width="10.75" style="2585" customWidth="1"/>
    <col min="12046" max="12046" width="10" style="2585" customWidth="1"/>
    <col min="12047" max="12048" width="10.5" style="2585" bestFit="1" customWidth="1"/>
    <col min="12049" max="12049" width="10" style="2585" customWidth="1"/>
    <col min="12050" max="12050" width="10.125" style="2585" customWidth="1"/>
    <col min="12051" max="12051" width="10" style="2585" customWidth="1"/>
    <col min="12052" max="12052" width="26.125" style="2585" customWidth="1"/>
    <col min="12053" max="12288" width="8.875" style="2585"/>
    <col min="12289" max="12289" width="9.5" style="2585" customWidth="1"/>
    <col min="12290" max="12290" width="8.875" style="2585"/>
    <col min="12291" max="12293" width="12.875" style="2585" customWidth="1"/>
    <col min="12294" max="12294" width="47.5" style="2585" customWidth="1"/>
    <col min="12295" max="12295" width="13" style="2585" customWidth="1"/>
    <col min="12296" max="12297" width="8.875" style="2585"/>
    <col min="12298" max="12298" width="5.75" style="2585" customWidth="1"/>
    <col min="12299" max="12299" width="11.75" style="2585" customWidth="1"/>
    <col min="12300" max="12301" width="10.75" style="2585" customWidth="1"/>
    <col min="12302" max="12302" width="10" style="2585" customWidth="1"/>
    <col min="12303" max="12304" width="10.5" style="2585" bestFit="1" customWidth="1"/>
    <col min="12305" max="12305" width="10" style="2585" customWidth="1"/>
    <col min="12306" max="12306" width="10.125" style="2585" customWidth="1"/>
    <col min="12307" max="12307" width="10" style="2585" customWidth="1"/>
    <col min="12308" max="12308" width="26.125" style="2585" customWidth="1"/>
    <col min="12309" max="12544" width="8.875" style="2585"/>
    <col min="12545" max="12545" width="9.5" style="2585" customWidth="1"/>
    <col min="12546" max="12546" width="8.875" style="2585"/>
    <col min="12547" max="12549" width="12.875" style="2585" customWidth="1"/>
    <col min="12550" max="12550" width="47.5" style="2585" customWidth="1"/>
    <col min="12551" max="12551" width="13" style="2585" customWidth="1"/>
    <col min="12552" max="12553" width="8.875" style="2585"/>
    <col min="12554" max="12554" width="5.75" style="2585" customWidth="1"/>
    <col min="12555" max="12555" width="11.75" style="2585" customWidth="1"/>
    <col min="12556" max="12557" width="10.75" style="2585" customWidth="1"/>
    <col min="12558" max="12558" width="10" style="2585" customWidth="1"/>
    <col min="12559" max="12560" width="10.5" style="2585" bestFit="1" customWidth="1"/>
    <col min="12561" max="12561" width="10" style="2585" customWidth="1"/>
    <col min="12562" max="12562" width="10.125" style="2585" customWidth="1"/>
    <col min="12563" max="12563" width="10" style="2585" customWidth="1"/>
    <col min="12564" max="12564" width="26.125" style="2585" customWidth="1"/>
    <col min="12565" max="12800" width="8.875" style="2585"/>
    <col min="12801" max="12801" width="9.5" style="2585" customWidth="1"/>
    <col min="12802" max="12802" width="8.875" style="2585"/>
    <col min="12803" max="12805" width="12.875" style="2585" customWidth="1"/>
    <col min="12806" max="12806" width="47.5" style="2585" customWidth="1"/>
    <col min="12807" max="12807" width="13" style="2585" customWidth="1"/>
    <col min="12808" max="12809" width="8.875" style="2585"/>
    <col min="12810" max="12810" width="5.75" style="2585" customWidth="1"/>
    <col min="12811" max="12811" width="11.75" style="2585" customWidth="1"/>
    <col min="12812" max="12813" width="10.75" style="2585" customWidth="1"/>
    <col min="12814" max="12814" width="10" style="2585" customWidth="1"/>
    <col min="12815" max="12816" width="10.5" style="2585" bestFit="1" customWidth="1"/>
    <col min="12817" max="12817" width="10" style="2585" customWidth="1"/>
    <col min="12818" max="12818" width="10.125" style="2585" customWidth="1"/>
    <col min="12819" max="12819" width="10" style="2585" customWidth="1"/>
    <col min="12820" max="12820" width="26.125" style="2585" customWidth="1"/>
    <col min="12821" max="13056" width="8.875" style="2585"/>
    <col min="13057" max="13057" width="9.5" style="2585" customWidth="1"/>
    <col min="13058" max="13058" width="8.875" style="2585"/>
    <col min="13059" max="13061" width="12.875" style="2585" customWidth="1"/>
    <col min="13062" max="13062" width="47.5" style="2585" customWidth="1"/>
    <col min="13063" max="13063" width="13" style="2585" customWidth="1"/>
    <col min="13064" max="13065" width="8.875" style="2585"/>
    <col min="13066" max="13066" width="5.75" style="2585" customWidth="1"/>
    <col min="13067" max="13067" width="11.75" style="2585" customWidth="1"/>
    <col min="13068" max="13069" width="10.75" style="2585" customWidth="1"/>
    <col min="13070" max="13070" width="10" style="2585" customWidth="1"/>
    <col min="13071" max="13072" width="10.5" style="2585" bestFit="1" customWidth="1"/>
    <col min="13073" max="13073" width="10" style="2585" customWidth="1"/>
    <col min="13074" max="13074" width="10.125" style="2585" customWidth="1"/>
    <col min="13075" max="13075" width="10" style="2585" customWidth="1"/>
    <col min="13076" max="13076" width="26.125" style="2585" customWidth="1"/>
    <col min="13077" max="13312" width="8.875" style="2585"/>
    <col min="13313" max="13313" width="9.5" style="2585" customWidth="1"/>
    <col min="13314" max="13314" width="8.875" style="2585"/>
    <col min="13315" max="13317" width="12.875" style="2585" customWidth="1"/>
    <col min="13318" max="13318" width="47.5" style="2585" customWidth="1"/>
    <col min="13319" max="13319" width="13" style="2585" customWidth="1"/>
    <col min="13320" max="13321" width="8.875" style="2585"/>
    <col min="13322" max="13322" width="5.75" style="2585" customWidth="1"/>
    <col min="13323" max="13323" width="11.75" style="2585" customWidth="1"/>
    <col min="13324" max="13325" width="10.75" style="2585" customWidth="1"/>
    <col min="13326" max="13326" width="10" style="2585" customWidth="1"/>
    <col min="13327" max="13328" width="10.5" style="2585" bestFit="1" customWidth="1"/>
    <col min="13329" max="13329" width="10" style="2585" customWidth="1"/>
    <col min="13330" max="13330" width="10.125" style="2585" customWidth="1"/>
    <col min="13331" max="13331" width="10" style="2585" customWidth="1"/>
    <col min="13332" max="13332" width="26.125" style="2585" customWidth="1"/>
    <col min="13333" max="13568" width="8.875" style="2585"/>
    <col min="13569" max="13569" width="9.5" style="2585" customWidth="1"/>
    <col min="13570" max="13570" width="8.875" style="2585"/>
    <col min="13571" max="13573" width="12.875" style="2585" customWidth="1"/>
    <col min="13574" max="13574" width="47.5" style="2585" customWidth="1"/>
    <col min="13575" max="13575" width="13" style="2585" customWidth="1"/>
    <col min="13576" max="13577" width="8.875" style="2585"/>
    <col min="13578" max="13578" width="5.75" style="2585" customWidth="1"/>
    <col min="13579" max="13579" width="11.75" style="2585" customWidth="1"/>
    <col min="13580" max="13581" width="10.75" style="2585" customWidth="1"/>
    <col min="13582" max="13582" width="10" style="2585" customWidth="1"/>
    <col min="13583" max="13584" width="10.5" style="2585" bestFit="1" customWidth="1"/>
    <col min="13585" max="13585" width="10" style="2585" customWidth="1"/>
    <col min="13586" max="13586" width="10.125" style="2585" customWidth="1"/>
    <col min="13587" max="13587" width="10" style="2585" customWidth="1"/>
    <col min="13588" max="13588" width="26.125" style="2585" customWidth="1"/>
    <col min="13589" max="13824" width="8.875" style="2585"/>
    <col min="13825" max="13825" width="9.5" style="2585" customWidth="1"/>
    <col min="13826" max="13826" width="8.875" style="2585"/>
    <col min="13827" max="13829" width="12.875" style="2585" customWidth="1"/>
    <col min="13830" max="13830" width="47.5" style="2585" customWidth="1"/>
    <col min="13831" max="13831" width="13" style="2585" customWidth="1"/>
    <col min="13832" max="13833" width="8.875" style="2585"/>
    <col min="13834" max="13834" width="5.75" style="2585" customWidth="1"/>
    <col min="13835" max="13835" width="11.75" style="2585" customWidth="1"/>
    <col min="13836" max="13837" width="10.75" style="2585" customWidth="1"/>
    <col min="13838" max="13838" width="10" style="2585" customWidth="1"/>
    <col min="13839" max="13840" width="10.5" style="2585" bestFit="1" customWidth="1"/>
    <col min="13841" max="13841" width="10" style="2585" customWidth="1"/>
    <col min="13842" max="13842" width="10.125" style="2585" customWidth="1"/>
    <col min="13843" max="13843" width="10" style="2585" customWidth="1"/>
    <col min="13844" max="13844" width="26.125" style="2585" customWidth="1"/>
    <col min="13845" max="14080" width="8.875" style="2585"/>
    <col min="14081" max="14081" width="9.5" style="2585" customWidth="1"/>
    <col min="14082" max="14082" width="8.875" style="2585"/>
    <col min="14083" max="14085" width="12.875" style="2585" customWidth="1"/>
    <col min="14086" max="14086" width="47.5" style="2585" customWidth="1"/>
    <col min="14087" max="14087" width="13" style="2585" customWidth="1"/>
    <col min="14088" max="14089" width="8.875" style="2585"/>
    <col min="14090" max="14090" width="5.75" style="2585" customWidth="1"/>
    <col min="14091" max="14091" width="11.75" style="2585" customWidth="1"/>
    <col min="14092" max="14093" width="10.75" style="2585" customWidth="1"/>
    <col min="14094" max="14094" width="10" style="2585" customWidth="1"/>
    <col min="14095" max="14096" width="10.5" style="2585" bestFit="1" customWidth="1"/>
    <col min="14097" max="14097" width="10" style="2585" customWidth="1"/>
    <col min="14098" max="14098" width="10.125" style="2585" customWidth="1"/>
    <col min="14099" max="14099" width="10" style="2585" customWidth="1"/>
    <col min="14100" max="14100" width="26.125" style="2585" customWidth="1"/>
    <col min="14101" max="14336" width="8.875" style="2585"/>
    <col min="14337" max="14337" width="9.5" style="2585" customWidth="1"/>
    <col min="14338" max="14338" width="8.875" style="2585"/>
    <col min="14339" max="14341" width="12.875" style="2585" customWidth="1"/>
    <col min="14342" max="14342" width="47.5" style="2585" customWidth="1"/>
    <col min="14343" max="14343" width="13" style="2585" customWidth="1"/>
    <col min="14344" max="14345" width="8.875" style="2585"/>
    <col min="14346" max="14346" width="5.75" style="2585" customWidth="1"/>
    <col min="14347" max="14347" width="11.75" style="2585" customWidth="1"/>
    <col min="14348" max="14349" width="10.75" style="2585" customWidth="1"/>
    <col min="14350" max="14350" width="10" style="2585" customWidth="1"/>
    <col min="14351" max="14352" width="10.5" style="2585" bestFit="1" customWidth="1"/>
    <col min="14353" max="14353" width="10" style="2585" customWidth="1"/>
    <col min="14354" max="14354" width="10.125" style="2585" customWidth="1"/>
    <col min="14355" max="14355" width="10" style="2585" customWidth="1"/>
    <col min="14356" max="14356" width="26.125" style="2585" customWidth="1"/>
    <col min="14357" max="14592" width="8.875" style="2585"/>
    <col min="14593" max="14593" width="9.5" style="2585" customWidth="1"/>
    <col min="14594" max="14594" width="8.875" style="2585"/>
    <col min="14595" max="14597" width="12.875" style="2585" customWidth="1"/>
    <col min="14598" max="14598" width="47.5" style="2585" customWidth="1"/>
    <col min="14599" max="14599" width="13" style="2585" customWidth="1"/>
    <col min="14600" max="14601" width="8.875" style="2585"/>
    <col min="14602" max="14602" width="5.75" style="2585" customWidth="1"/>
    <col min="14603" max="14603" width="11.75" style="2585" customWidth="1"/>
    <col min="14604" max="14605" width="10.75" style="2585" customWidth="1"/>
    <col min="14606" max="14606" width="10" style="2585" customWidth="1"/>
    <col min="14607" max="14608" width="10.5" style="2585" bestFit="1" customWidth="1"/>
    <col min="14609" max="14609" width="10" style="2585" customWidth="1"/>
    <col min="14610" max="14610" width="10.125" style="2585" customWidth="1"/>
    <col min="14611" max="14611" width="10" style="2585" customWidth="1"/>
    <col min="14612" max="14612" width="26.125" style="2585" customWidth="1"/>
    <col min="14613" max="14848" width="8.875" style="2585"/>
    <col min="14849" max="14849" width="9.5" style="2585" customWidth="1"/>
    <col min="14850" max="14850" width="8.875" style="2585"/>
    <col min="14851" max="14853" width="12.875" style="2585" customWidth="1"/>
    <col min="14854" max="14854" width="47.5" style="2585" customWidth="1"/>
    <col min="14855" max="14855" width="13" style="2585" customWidth="1"/>
    <col min="14856" max="14857" width="8.875" style="2585"/>
    <col min="14858" max="14858" width="5.75" style="2585" customWidth="1"/>
    <col min="14859" max="14859" width="11.75" style="2585" customWidth="1"/>
    <col min="14860" max="14861" width="10.75" style="2585" customWidth="1"/>
    <col min="14862" max="14862" width="10" style="2585" customWidth="1"/>
    <col min="14863" max="14864" width="10.5" style="2585" bestFit="1" customWidth="1"/>
    <col min="14865" max="14865" width="10" style="2585" customWidth="1"/>
    <col min="14866" max="14866" width="10.125" style="2585" customWidth="1"/>
    <col min="14867" max="14867" width="10" style="2585" customWidth="1"/>
    <col min="14868" max="14868" width="26.125" style="2585" customWidth="1"/>
    <col min="14869" max="15104" width="8.875" style="2585"/>
    <col min="15105" max="15105" width="9.5" style="2585" customWidth="1"/>
    <col min="15106" max="15106" width="8.875" style="2585"/>
    <col min="15107" max="15109" width="12.875" style="2585" customWidth="1"/>
    <col min="15110" max="15110" width="47.5" style="2585" customWidth="1"/>
    <col min="15111" max="15111" width="13" style="2585" customWidth="1"/>
    <col min="15112" max="15113" width="8.875" style="2585"/>
    <col min="15114" max="15114" width="5.75" style="2585" customWidth="1"/>
    <col min="15115" max="15115" width="11.75" style="2585" customWidth="1"/>
    <col min="15116" max="15117" width="10.75" style="2585" customWidth="1"/>
    <col min="15118" max="15118" width="10" style="2585" customWidth="1"/>
    <col min="15119" max="15120" width="10.5" style="2585" bestFit="1" customWidth="1"/>
    <col min="15121" max="15121" width="10" style="2585" customWidth="1"/>
    <col min="15122" max="15122" width="10.125" style="2585" customWidth="1"/>
    <col min="15123" max="15123" width="10" style="2585" customWidth="1"/>
    <col min="15124" max="15124" width="26.125" style="2585" customWidth="1"/>
    <col min="15125" max="15360" width="8.875" style="2585"/>
    <col min="15361" max="15361" width="9.5" style="2585" customWidth="1"/>
    <col min="15362" max="15362" width="8.875" style="2585"/>
    <col min="15363" max="15365" width="12.875" style="2585" customWidth="1"/>
    <col min="15366" max="15366" width="47.5" style="2585" customWidth="1"/>
    <col min="15367" max="15367" width="13" style="2585" customWidth="1"/>
    <col min="15368" max="15369" width="8.875" style="2585"/>
    <col min="15370" max="15370" width="5.75" style="2585" customWidth="1"/>
    <col min="15371" max="15371" width="11.75" style="2585" customWidth="1"/>
    <col min="15372" max="15373" width="10.75" style="2585" customWidth="1"/>
    <col min="15374" max="15374" width="10" style="2585" customWidth="1"/>
    <col min="15375" max="15376" width="10.5" style="2585" bestFit="1" customWidth="1"/>
    <col min="15377" max="15377" width="10" style="2585" customWidth="1"/>
    <col min="15378" max="15378" width="10.125" style="2585" customWidth="1"/>
    <col min="15379" max="15379" width="10" style="2585" customWidth="1"/>
    <col min="15380" max="15380" width="26.125" style="2585" customWidth="1"/>
    <col min="15381" max="15616" width="8.875" style="2585"/>
    <col min="15617" max="15617" width="9.5" style="2585" customWidth="1"/>
    <col min="15618" max="15618" width="8.875" style="2585"/>
    <col min="15619" max="15621" width="12.875" style="2585" customWidth="1"/>
    <col min="15622" max="15622" width="47.5" style="2585" customWidth="1"/>
    <col min="15623" max="15623" width="13" style="2585" customWidth="1"/>
    <col min="15624" max="15625" width="8.875" style="2585"/>
    <col min="15626" max="15626" width="5.75" style="2585" customWidth="1"/>
    <col min="15627" max="15627" width="11.75" style="2585" customWidth="1"/>
    <col min="15628" max="15629" width="10.75" style="2585" customWidth="1"/>
    <col min="15630" max="15630" width="10" style="2585" customWidth="1"/>
    <col min="15631" max="15632" width="10.5" style="2585" bestFit="1" customWidth="1"/>
    <col min="15633" max="15633" width="10" style="2585" customWidth="1"/>
    <col min="15634" max="15634" width="10.125" style="2585" customWidth="1"/>
    <col min="15635" max="15635" width="10" style="2585" customWidth="1"/>
    <col min="15636" max="15636" width="26.125" style="2585" customWidth="1"/>
    <col min="15637" max="15872" width="8.875" style="2585"/>
    <col min="15873" max="15873" width="9.5" style="2585" customWidth="1"/>
    <col min="15874" max="15874" width="8.875" style="2585"/>
    <col min="15875" max="15877" width="12.875" style="2585" customWidth="1"/>
    <col min="15878" max="15878" width="47.5" style="2585" customWidth="1"/>
    <col min="15879" max="15879" width="13" style="2585" customWidth="1"/>
    <col min="15880" max="15881" width="8.875" style="2585"/>
    <col min="15882" max="15882" width="5.75" style="2585" customWidth="1"/>
    <col min="15883" max="15883" width="11.75" style="2585" customWidth="1"/>
    <col min="15884" max="15885" width="10.75" style="2585" customWidth="1"/>
    <col min="15886" max="15886" width="10" style="2585" customWidth="1"/>
    <col min="15887" max="15888" width="10.5" style="2585" bestFit="1" customWidth="1"/>
    <col min="15889" max="15889" width="10" style="2585" customWidth="1"/>
    <col min="15890" max="15890" width="10.125" style="2585" customWidth="1"/>
    <col min="15891" max="15891" width="10" style="2585" customWidth="1"/>
    <col min="15892" max="15892" width="26.125" style="2585" customWidth="1"/>
    <col min="15893" max="16128" width="8.875" style="2585"/>
    <col min="16129" max="16129" width="9.5" style="2585" customWidth="1"/>
    <col min="16130" max="16130" width="8.875" style="2585"/>
    <col min="16131" max="16133" width="12.875" style="2585" customWidth="1"/>
    <col min="16134" max="16134" width="47.5" style="2585" customWidth="1"/>
    <col min="16135" max="16135" width="13" style="2585" customWidth="1"/>
    <col min="16136" max="16137" width="8.875" style="2585"/>
    <col min="16138" max="16138" width="5.75" style="2585" customWidth="1"/>
    <col min="16139" max="16139" width="11.75" style="2585" customWidth="1"/>
    <col min="16140" max="16141" width="10.75" style="2585" customWidth="1"/>
    <col min="16142" max="16142" width="10" style="2585" customWidth="1"/>
    <col min="16143" max="16144" width="10.5" style="2585" bestFit="1" customWidth="1"/>
    <col min="16145" max="16145" width="10" style="2585" customWidth="1"/>
    <col min="16146" max="16146" width="10.125" style="2585" customWidth="1"/>
    <col min="16147" max="16147" width="10" style="2585" customWidth="1"/>
    <col min="16148" max="16148" width="26.125" style="2585" customWidth="1"/>
    <col min="16149" max="16384" width="8.875" style="2585"/>
  </cols>
  <sheetData>
    <row r="1" spans="1:22" ht="21" customHeight="1">
      <c r="A1" s="2574" t="s">
        <v>2431</v>
      </c>
      <c r="B1" s="2575"/>
      <c r="C1" s="2587"/>
      <c r="D1" s="2587"/>
      <c r="E1" s="2576"/>
      <c r="F1" s="2577"/>
      <c r="G1" s="2578"/>
      <c r="J1" s="2581" t="s">
        <v>2310</v>
      </c>
      <c r="K1" s="2582"/>
      <c r="L1" s="2582"/>
      <c r="M1" s="2582"/>
      <c r="N1" s="2582"/>
      <c r="O1" s="2582"/>
      <c r="P1" s="2582"/>
      <c r="Q1" s="2582"/>
      <c r="R1" s="2583"/>
      <c r="S1" s="2584"/>
      <c r="T1" s="2584"/>
      <c r="U1" s="2584"/>
    </row>
    <row r="2" spans="1:22" s="2596" customFormat="1" ht="13.15" customHeight="1">
      <c r="A2" s="1289" t="s">
        <v>2311</v>
      </c>
      <c r="B2" s="2586" t="e">
        <f>IF(D2="——",C40,C40+E2)</f>
        <v>#DIV/0!</v>
      </c>
      <c r="C2" s="2587" t="s">
        <v>2312</v>
      </c>
      <c r="D2" s="3100" t="s">
        <v>3355</v>
      </c>
      <c r="E2" s="3101"/>
      <c r="F2" s="2589"/>
      <c r="G2" s="2590"/>
      <c r="H2" s="2591"/>
      <c r="I2" s="2592"/>
      <c r="J2" s="3468" t="s">
        <v>2313</v>
      </c>
      <c r="K2" s="3469"/>
      <c r="L2" s="2593" t="s">
        <v>2314</v>
      </c>
      <c r="M2" s="2593" t="s">
        <v>2315</v>
      </c>
      <c r="N2" s="2593" t="s">
        <v>2316</v>
      </c>
      <c r="O2" s="2593" t="s">
        <v>2317</v>
      </c>
      <c r="P2" s="2593" t="s">
        <v>2318</v>
      </c>
      <c r="Q2" s="2594" t="s">
        <v>2319</v>
      </c>
      <c r="R2" s="2595" t="s">
        <v>2320</v>
      </c>
      <c r="S2" s="2584"/>
      <c r="T2" s="2584"/>
      <c r="U2" s="2584"/>
      <c r="V2" s="2592"/>
    </row>
    <row r="3" spans="1:22" s="2596" customFormat="1" ht="13.15" customHeight="1">
      <c r="A3" s="2597" t="s">
        <v>2321</v>
      </c>
      <c r="B3" s="2598" t="e">
        <f>ROUND(B2*10000/B4,0)</f>
        <v>#DIV/0!</v>
      </c>
      <c r="C3" s="2587" t="s">
        <v>2322</v>
      </c>
      <c r="D3" s="2587"/>
      <c r="E3" s="2588"/>
      <c r="F3" s="2589"/>
      <c r="G3" s="2590"/>
      <c r="H3" s="2591"/>
      <c r="I3" s="2592"/>
      <c r="J3" s="3470" t="s">
        <v>2323</v>
      </c>
      <c r="K3" s="3471"/>
      <c r="L3" s="2599"/>
      <c r="M3" s="2599"/>
      <c r="N3" s="2599"/>
      <c r="O3" s="2599"/>
      <c r="P3" s="2599"/>
      <c r="Q3" s="2600"/>
      <c r="R3" s="2601">
        <f>SUM(L3:Q3)</f>
        <v>0</v>
      </c>
      <c r="S3" s="2584"/>
      <c r="T3" s="2584"/>
      <c r="U3" s="2584"/>
      <c r="V3" s="2592"/>
    </row>
    <row r="4" spans="1:22" s="2596" customFormat="1" ht="13.15" customHeight="1">
      <c r="A4" s="2602" t="s">
        <v>2324</v>
      </c>
      <c r="B4" s="2603"/>
      <c r="C4" s="2587"/>
      <c r="D4" s="2587"/>
      <c r="E4" s="2588"/>
      <c r="F4" s="2589"/>
      <c r="G4" s="2590"/>
      <c r="H4" s="2591"/>
      <c r="I4" s="2592"/>
      <c r="J4" s="3470" t="s">
        <v>2325</v>
      </c>
      <c r="K4" s="3471"/>
      <c r="L4" s="2604"/>
      <c r="M4" s="2604"/>
      <c r="N4" s="2604"/>
      <c r="O4" s="2604"/>
      <c r="P4" s="2604"/>
      <c r="Q4" s="2605"/>
      <c r="R4" s="2606">
        <f>SUM(L4:Q4)</f>
        <v>0</v>
      </c>
      <c r="S4" s="2584"/>
      <c r="T4" s="2584"/>
      <c r="U4" s="2584"/>
      <c r="V4" s="2592"/>
    </row>
    <row r="5" spans="1:22" s="2596" customFormat="1" ht="13.15" customHeight="1" thickBot="1">
      <c r="A5" s="2607" t="s">
        <v>2326</v>
      </c>
      <c r="B5" s="2608"/>
      <c r="C5" s="2587"/>
      <c r="D5" s="2609"/>
      <c r="E5" s="2589"/>
      <c r="F5" s="2589"/>
      <c r="G5" s="2590"/>
      <c r="H5" s="2591"/>
      <c r="I5" s="2592"/>
      <c r="J5" s="2610" t="s">
        <v>2327</v>
      </c>
      <c r="K5" s="2611"/>
      <c r="L5" s="2611"/>
      <c r="M5" s="2612"/>
      <c r="N5" s="2612"/>
      <c r="O5" s="2612"/>
      <c r="P5" s="2612"/>
      <c r="Q5" s="2612"/>
      <c r="R5" s="2595">
        <f>SUM(R14,R19,R24,R25,R27,R28)</f>
        <v>0</v>
      </c>
      <c r="S5" s="2584"/>
      <c r="T5" s="2584" t="s">
        <v>2328</v>
      </c>
      <c r="U5" s="2584" t="e">
        <f>ROUND(R5*10000/365/R3,1)</f>
        <v>#DIV/0!</v>
      </c>
      <c r="V5" s="2592"/>
    </row>
    <row r="6" spans="1:22" s="2596" customFormat="1" ht="13.15" customHeight="1" thickBot="1">
      <c r="A6" s="3472" t="s">
        <v>2329</v>
      </c>
      <c r="B6" s="3473"/>
      <c r="C6" s="3474"/>
      <c r="D6" s="2613"/>
      <c r="E6" s="2614"/>
      <c r="F6" s="2615"/>
      <c r="G6" s="2616"/>
      <c r="H6" s="2591"/>
      <c r="I6" s="2592"/>
      <c r="J6" s="3475">
        <v>1</v>
      </c>
      <c r="K6" s="3476" t="s">
        <v>2330</v>
      </c>
      <c r="L6" s="2617" t="s">
        <v>2331</v>
      </c>
      <c r="M6" s="2618" t="s">
        <v>2332</v>
      </c>
      <c r="N6" s="2618" t="s">
        <v>2333</v>
      </c>
      <c r="O6" s="2618" t="s">
        <v>2334</v>
      </c>
      <c r="P6" s="2618" t="s">
        <v>2335</v>
      </c>
      <c r="Q6" s="2618" t="s">
        <v>2336</v>
      </c>
      <c r="R6" s="2601" t="s">
        <v>2337</v>
      </c>
      <c r="S6" s="2584"/>
      <c r="T6" s="2584" t="s">
        <v>2338</v>
      </c>
      <c r="U6" s="2584"/>
      <c r="V6" s="2592"/>
    </row>
    <row r="7" spans="1:22" s="2596" customFormat="1" ht="13.15" customHeight="1">
      <c r="A7" s="2619" t="s">
        <v>2339</v>
      </c>
      <c r="B7" s="2620"/>
      <c r="C7" s="2621"/>
      <c r="D7" s="2622">
        <f>SUM(D9,D10,D11,D17,0)</f>
        <v>0</v>
      </c>
      <c r="E7" s="2623" t="e">
        <f>E9+E10+E11+E17</f>
        <v>#DIV/0!</v>
      </c>
      <c r="F7" s="2624"/>
      <c r="G7" s="2625"/>
      <c r="H7" s="2591"/>
      <c r="I7" s="2592"/>
      <c r="J7" s="3475"/>
      <c r="K7" s="3477"/>
      <c r="L7" s="2626" t="s">
        <v>2340</v>
      </c>
      <c r="M7" s="2627"/>
      <c r="N7" s="2603"/>
      <c r="O7" s="2628"/>
      <c r="P7" s="2628"/>
      <c r="Q7" s="2629">
        <v>365</v>
      </c>
      <c r="R7" s="2630">
        <f>ROUND(M7*N7*O7*P7*Q7/10000,0)</f>
        <v>0</v>
      </c>
      <c r="S7" s="2584"/>
      <c r="T7" s="2584" t="s">
        <v>2341</v>
      </c>
      <c r="U7" s="2584"/>
      <c r="V7" s="2592"/>
    </row>
    <row r="8" spans="1:22" s="2596" customFormat="1" ht="13.15" customHeight="1">
      <c r="A8" s="2631" t="s">
        <v>2342</v>
      </c>
      <c r="B8" s="3479" t="s">
        <v>2343</v>
      </c>
      <c r="C8" s="3480"/>
      <c r="D8" s="2632" t="s">
        <v>2344</v>
      </c>
      <c r="E8" s="2633" t="s">
        <v>2345</v>
      </c>
      <c r="F8" s="2634" t="s">
        <v>2346</v>
      </c>
      <c r="G8" s="2635"/>
      <c r="H8" s="2591"/>
      <c r="I8" s="2592"/>
      <c r="J8" s="3475"/>
      <c r="K8" s="3477"/>
      <c r="L8" s="2626" t="s">
        <v>2347</v>
      </c>
      <c r="M8" s="2627"/>
      <c r="N8" s="2603"/>
      <c r="O8" s="2628"/>
      <c r="P8" s="2628"/>
      <c r="Q8" s="2629">
        <v>365</v>
      </c>
      <c r="R8" s="2630">
        <f t="shared" ref="R8:R13" si="0">ROUND(M8*N8*O8*P8*Q8/10000,0)</f>
        <v>0</v>
      </c>
      <c r="S8" s="2584"/>
      <c r="T8" s="2584" t="s">
        <v>2348</v>
      </c>
      <c r="U8" s="2584"/>
      <c r="V8" s="2592"/>
    </row>
    <row r="9" spans="1:22" s="2596" customFormat="1" ht="13.15" customHeight="1">
      <c r="A9" s="2631">
        <v>1</v>
      </c>
      <c r="B9" s="3479" t="s">
        <v>2349</v>
      </c>
      <c r="C9" s="3480"/>
      <c r="D9" s="2632">
        <f>ROUND(D6*E9,0)</f>
        <v>0</v>
      </c>
      <c r="E9" s="2636"/>
      <c r="F9" s="2637" t="s">
        <v>2350</v>
      </c>
      <c r="G9" s="2616"/>
      <c r="H9" s="2591"/>
      <c r="I9" s="2592"/>
      <c r="J9" s="3475"/>
      <c r="K9" s="3477"/>
      <c r="L9" s="2626" t="s">
        <v>2351</v>
      </c>
      <c r="M9" s="2627"/>
      <c r="N9" s="2603"/>
      <c r="O9" s="2628"/>
      <c r="P9" s="2628"/>
      <c r="Q9" s="2629">
        <v>365</v>
      </c>
      <c r="R9" s="2630">
        <f t="shared" si="0"/>
        <v>0</v>
      </c>
      <c r="S9" s="2584"/>
      <c r="T9" s="2584"/>
      <c r="U9" s="2584"/>
      <c r="V9" s="2592"/>
    </row>
    <row r="10" spans="1:22" s="2596" customFormat="1" ht="13.15" customHeight="1">
      <c r="A10" s="2631">
        <v>2</v>
      </c>
      <c r="B10" s="3479" t="s">
        <v>2352</v>
      </c>
      <c r="C10" s="3480"/>
      <c r="D10" s="2632">
        <f>ROUND(D6*E10,0)</f>
        <v>0</v>
      </c>
      <c r="E10" s="2636"/>
      <c r="F10" s="2637" t="s">
        <v>2353</v>
      </c>
      <c r="G10" s="2616"/>
      <c r="H10" s="2591"/>
      <c r="I10" s="2592"/>
      <c r="J10" s="3475"/>
      <c r="K10" s="3477"/>
      <c r="L10" s="2626" t="s">
        <v>2354</v>
      </c>
      <c r="M10" s="2627"/>
      <c r="N10" s="2603"/>
      <c r="O10" s="2628"/>
      <c r="P10" s="2628"/>
      <c r="Q10" s="2629">
        <v>365</v>
      </c>
      <c r="R10" s="2630">
        <f t="shared" si="0"/>
        <v>0</v>
      </c>
      <c r="S10" s="2584"/>
      <c r="T10" s="2584"/>
      <c r="U10" s="2584"/>
      <c r="V10" s="2592"/>
    </row>
    <row r="11" spans="1:22" s="2596" customFormat="1" ht="13.15" customHeight="1">
      <c r="A11" s="2631">
        <v>3</v>
      </c>
      <c r="B11" s="3479" t="s">
        <v>2355</v>
      </c>
      <c r="C11" s="3480"/>
      <c r="D11" s="2632">
        <f>D12+D14+D15+D16</f>
        <v>0</v>
      </c>
      <c r="E11" s="2638" t="e">
        <f>D11/D6</f>
        <v>#DIV/0!</v>
      </c>
      <c r="F11" s="2634"/>
      <c r="G11" s="2635"/>
      <c r="H11" s="2591"/>
      <c r="I11" s="2592"/>
      <c r="J11" s="3475"/>
      <c r="K11" s="3477"/>
      <c r="L11" s="2626" t="s">
        <v>2356</v>
      </c>
      <c r="M11" s="2627"/>
      <c r="N11" s="2603"/>
      <c r="O11" s="2628"/>
      <c r="P11" s="2628"/>
      <c r="Q11" s="2629">
        <v>365</v>
      </c>
      <c r="R11" s="2630">
        <f t="shared" si="0"/>
        <v>0</v>
      </c>
      <c r="S11" s="2584"/>
      <c r="T11" s="2584"/>
      <c r="U11" s="2584"/>
      <c r="V11" s="2592"/>
    </row>
    <row r="12" spans="1:22" s="2596" customFormat="1" ht="13.15" customHeight="1">
      <c r="A12" s="2639" t="s">
        <v>2357</v>
      </c>
      <c r="B12" s="3481" t="s">
        <v>2358</v>
      </c>
      <c r="C12" s="3482"/>
      <c r="D12" s="2640">
        <f>ROUND(D13*1.2%*(1-30%),0)</f>
        <v>0</v>
      </c>
      <c r="E12" s="2641">
        <v>1.2E-2</v>
      </c>
      <c r="F12" s="2634" t="s">
        <v>2359</v>
      </c>
      <c r="G12" s="2635"/>
      <c r="H12" s="2591"/>
      <c r="I12" s="2592"/>
      <c r="J12" s="3475"/>
      <c r="K12" s="3477"/>
      <c r="L12" s="2626" t="s">
        <v>2360</v>
      </c>
      <c r="M12" s="2627"/>
      <c r="N12" s="2603"/>
      <c r="O12" s="2628"/>
      <c r="P12" s="2628"/>
      <c r="Q12" s="2629">
        <v>365</v>
      </c>
      <c r="R12" s="2630">
        <f t="shared" si="0"/>
        <v>0</v>
      </c>
      <c r="S12" s="2584"/>
      <c r="T12" s="2584"/>
      <c r="U12" s="2584"/>
      <c r="V12" s="2592"/>
    </row>
    <row r="13" spans="1:22" s="2596" customFormat="1" ht="13.15" customHeight="1">
      <c r="A13" s="2639"/>
      <c r="B13" s="2642"/>
      <c r="C13" s="2643" t="s">
        <v>2361</v>
      </c>
      <c r="D13" s="2644"/>
      <c r="E13" s="2645"/>
      <c r="F13" s="2634"/>
      <c r="G13" s="2635"/>
      <c r="H13" s="2591"/>
      <c r="I13" s="2592"/>
      <c r="J13" s="3475"/>
      <c r="K13" s="3477"/>
      <c r="L13" s="2626" t="s">
        <v>2362</v>
      </c>
      <c r="M13" s="2627"/>
      <c r="N13" s="2603"/>
      <c r="O13" s="2628"/>
      <c r="P13" s="2628"/>
      <c r="Q13" s="2629">
        <v>365</v>
      </c>
      <c r="R13" s="2630">
        <f t="shared" si="0"/>
        <v>0</v>
      </c>
      <c r="S13" s="2584"/>
      <c r="T13" s="2584"/>
      <c r="U13" s="2584"/>
      <c r="V13" s="2592"/>
    </row>
    <row r="14" spans="1:22" s="2596" customFormat="1" ht="13.15" customHeight="1">
      <c r="A14" s="2639" t="s">
        <v>2363</v>
      </c>
      <c r="B14" s="3481" t="s">
        <v>2364</v>
      </c>
      <c r="C14" s="3482"/>
      <c r="D14" s="2640">
        <f>ROUND(E14*B5/10000,0)</f>
        <v>0</v>
      </c>
      <c r="E14" s="2629"/>
      <c r="F14" s="2634" t="s">
        <v>2365</v>
      </c>
      <c r="G14" s="2635"/>
      <c r="H14" s="2591"/>
      <c r="I14" s="2592"/>
      <c r="J14" s="3475"/>
      <c r="K14" s="3478"/>
      <c r="L14" s="2646" t="s">
        <v>2366</v>
      </c>
      <c r="M14" s="2647">
        <f>SUM(M7:M13)</f>
        <v>0</v>
      </c>
      <c r="N14" s="2647" t="e">
        <f>ROUND((N7*M7+N8*M8+N9*M9+N10*M10+N11*M11+N12*M12+N13*M13)/M14,0)</f>
        <v>#DIV/0!</v>
      </c>
      <c r="O14" s="2648"/>
      <c r="P14" s="2648"/>
      <c r="Q14" s="2649"/>
      <c r="R14" s="2595">
        <f>SUM(R7:R13)</f>
        <v>0</v>
      </c>
      <c r="S14" s="2584"/>
      <c r="T14" s="2584"/>
      <c r="U14" s="2584"/>
      <c r="V14" s="2592"/>
    </row>
    <row r="15" spans="1:22" s="2596" customFormat="1" ht="13.15" customHeight="1">
      <c r="A15" s="2639" t="s">
        <v>2367</v>
      </c>
      <c r="B15" s="3481" t="s">
        <v>2368</v>
      </c>
      <c r="C15" s="3482"/>
      <c r="D15" s="2640">
        <f>ROUND(D6*E15,0)</f>
        <v>0</v>
      </c>
      <c r="E15" s="2641">
        <v>5.5E-2</v>
      </c>
      <c r="F15" s="2634" t="s">
        <v>2369</v>
      </c>
      <c r="G15" s="2616"/>
      <c r="H15" s="2591"/>
      <c r="I15" s="2592"/>
      <c r="J15" s="3475">
        <v>2</v>
      </c>
      <c r="K15" s="3476" t="s">
        <v>2370</v>
      </c>
      <c r="L15" s="2626" t="s">
        <v>2371</v>
      </c>
      <c r="M15" s="2627" t="s">
        <v>2372</v>
      </c>
      <c r="N15" s="2627" t="s">
        <v>2373</v>
      </c>
      <c r="O15" s="2628" t="s">
        <v>2374</v>
      </c>
      <c r="P15" s="2628" t="s">
        <v>2336</v>
      </c>
      <c r="Q15" s="2603" t="s">
        <v>2375</v>
      </c>
      <c r="R15" s="2650" t="s">
        <v>2337</v>
      </c>
      <c r="S15" s="2584"/>
      <c r="T15" s="2584"/>
      <c r="U15" s="2584"/>
      <c r="V15" s="2592"/>
    </row>
    <row r="16" spans="1:22" s="2596" customFormat="1" ht="13.15" customHeight="1">
      <c r="A16" s="2639" t="s">
        <v>2376</v>
      </c>
      <c r="B16" s="3481" t="s">
        <v>2377</v>
      </c>
      <c r="C16" s="3482"/>
      <c r="D16" s="2651">
        <f>D6*E16</f>
        <v>0</v>
      </c>
      <c r="E16" s="2652"/>
      <c r="F16" s="2637" t="s">
        <v>2378</v>
      </c>
      <c r="G16" s="2616"/>
      <c r="H16" s="2591"/>
      <c r="I16" s="2592"/>
      <c r="J16" s="3475"/>
      <c r="K16" s="3477"/>
      <c r="L16" s="2626" t="s">
        <v>2379</v>
      </c>
      <c r="M16" s="2627"/>
      <c r="N16" s="2627"/>
      <c r="O16" s="2628"/>
      <c r="P16" s="2629">
        <v>365</v>
      </c>
      <c r="Q16" s="2603"/>
      <c r="R16" s="2650">
        <f>ROUND(M16*N16*O16*P16/10000,0)</f>
        <v>0</v>
      </c>
      <c r="S16" s="2584"/>
      <c r="T16" s="2584"/>
      <c r="U16" s="2584"/>
      <c r="V16" s="2592"/>
    </row>
    <row r="17" spans="1:22" s="2596" customFormat="1" ht="13.15" customHeight="1" thickBot="1">
      <c r="A17" s="2653">
        <v>4</v>
      </c>
      <c r="B17" s="3483" t="s">
        <v>2380</v>
      </c>
      <c r="C17" s="3484"/>
      <c r="D17" s="2654">
        <f>ROUND(D6*E17,0)</f>
        <v>0</v>
      </c>
      <c r="E17" s="2655"/>
      <c r="F17" s="2656" t="s">
        <v>2381</v>
      </c>
      <c r="G17" s="2616"/>
      <c r="H17" s="2591"/>
      <c r="I17" s="2592"/>
      <c r="J17" s="3475"/>
      <c r="K17" s="3477"/>
      <c r="L17" s="2626" t="s">
        <v>2382</v>
      </c>
      <c r="M17" s="2627"/>
      <c r="N17" s="2627"/>
      <c r="O17" s="2628"/>
      <c r="P17" s="2629">
        <v>365</v>
      </c>
      <c r="Q17" s="2603"/>
      <c r="R17" s="2650">
        <f>ROUND(M17*N17*O17*P17/10000,0)</f>
        <v>0</v>
      </c>
      <c r="S17" s="2584"/>
      <c r="T17" s="2584"/>
      <c r="U17" s="2584"/>
      <c r="V17" s="2592"/>
    </row>
    <row r="18" spans="1:22" s="2596" customFormat="1" ht="13.15" customHeight="1" thickBot="1">
      <c r="A18" s="2619" t="s">
        <v>2383</v>
      </c>
      <c r="B18" s="2620"/>
      <c r="C18" s="2620"/>
      <c r="D18" s="2657">
        <f>ROUND(D6*E18,0)</f>
        <v>0</v>
      </c>
      <c r="E18" s="2658"/>
      <c r="F18" s="2659" t="s">
        <v>2384</v>
      </c>
      <c r="G18" s="2616"/>
      <c r="H18" s="2591"/>
      <c r="I18" s="2592"/>
      <c r="J18" s="3475"/>
      <c r="K18" s="3477"/>
      <c r="L18" s="2626" t="s">
        <v>2385</v>
      </c>
      <c r="M18" s="2627"/>
      <c r="N18" s="2627"/>
      <c r="O18" s="2628"/>
      <c r="P18" s="2629">
        <v>365</v>
      </c>
      <c r="Q18" s="2603"/>
      <c r="R18" s="2650">
        <f>ROUND(M18*N18*O18*P18/10000,0)</f>
        <v>0</v>
      </c>
      <c r="S18" s="2584"/>
      <c r="T18" s="2584"/>
      <c r="U18" s="2584"/>
      <c r="V18" s="2592"/>
    </row>
    <row r="19" spans="1:22" s="2596" customFormat="1" ht="13.15" customHeight="1" thickBot="1">
      <c r="A19" s="2660" t="s">
        <v>2386</v>
      </c>
      <c r="B19" s="2614"/>
      <c r="C19" s="2614"/>
      <c r="D19" s="2614"/>
      <c r="E19" s="2614"/>
      <c r="F19" s="2615"/>
      <c r="G19" s="2635"/>
      <c r="H19" s="2591"/>
      <c r="I19" s="2592"/>
      <c r="J19" s="3475"/>
      <c r="K19" s="3478"/>
      <c r="L19" s="2646" t="s">
        <v>2366</v>
      </c>
      <c r="M19" s="2647"/>
      <c r="N19" s="2647">
        <f>SUM(N16:N18)</f>
        <v>0</v>
      </c>
      <c r="O19" s="2648"/>
      <c r="P19" s="2661" t="s">
        <v>2430</v>
      </c>
      <c r="Q19" s="2628">
        <v>0</v>
      </c>
      <c r="R19" s="2662">
        <f>ROUND(IF(P19="按比例",R14*Q19,SUM(R16:R18)),0)</f>
        <v>0</v>
      </c>
      <c r="S19" s="2584"/>
      <c r="T19" s="2584"/>
      <c r="U19" s="2584"/>
      <c r="V19" s="2592"/>
    </row>
    <row r="20" spans="1:22" s="2596" customFormat="1" ht="13.15" customHeight="1">
      <c r="A20" s="2619"/>
      <c r="B20" s="2620"/>
      <c r="C20" s="2620"/>
      <c r="D20" s="2620"/>
      <c r="E20" s="2620"/>
      <c r="F20" s="2663"/>
      <c r="G20" s="2635"/>
      <c r="H20" s="2591"/>
      <c r="I20" s="2592"/>
      <c r="J20" s="3475">
        <v>3</v>
      </c>
      <c r="K20" s="3476" t="s">
        <v>2387</v>
      </c>
      <c r="L20" s="2626" t="s">
        <v>2388</v>
      </c>
      <c r="M20" s="2627" t="s">
        <v>2389</v>
      </c>
      <c r="N20" s="2664" t="s">
        <v>2390</v>
      </c>
      <c r="O20" s="2628" t="s">
        <v>2391</v>
      </c>
      <c r="P20" s="2629" t="s">
        <v>2392</v>
      </c>
      <c r="Q20" s="2603" t="s">
        <v>2393</v>
      </c>
      <c r="R20" s="2650" t="s">
        <v>2394</v>
      </c>
      <c r="S20" s="2584"/>
      <c r="T20" s="2584"/>
      <c r="U20" s="2584"/>
      <c r="V20" s="2592"/>
    </row>
    <row r="21" spans="1:22" s="2596" customFormat="1" ht="13.15" customHeight="1">
      <c r="A21" s="2619"/>
      <c r="B21" s="2620"/>
      <c r="C21" s="2665" t="s">
        <v>2395</v>
      </c>
      <c r="D21" s="2666" t="s">
        <v>2396</v>
      </c>
      <c r="E21" s="2667" t="s">
        <v>2397</v>
      </c>
      <c r="F21" s="2663"/>
      <c r="G21" s="2635"/>
      <c r="H21" s="2591"/>
      <c r="I21" s="2592"/>
      <c r="J21" s="3475"/>
      <c r="K21" s="3477"/>
      <c r="L21" s="2626" t="s">
        <v>2398</v>
      </c>
      <c r="M21" s="2627"/>
      <c r="N21" s="2627"/>
      <c r="O21" s="2628"/>
      <c r="P21" s="2629">
        <v>365</v>
      </c>
      <c r="Q21" s="2603"/>
      <c r="R21" s="2668">
        <f>ROUND(M21*N21*O21*P21/10000,0)</f>
        <v>0</v>
      </c>
      <c r="S21" s="2584"/>
      <c r="T21" s="2584"/>
      <c r="U21" s="2584"/>
      <c r="V21" s="2592"/>
    </row>
    <row r="22" spans="1:22" s="2596" customFormat="1" ht="13.15" customHeight="1">
      <c r="A22" s="2619"/>
      <c r="B22" s="2620"/>
      <c r="C22" s="2669" t="s">
        <v>2399</v>
      </c>
      <c r="D22" s="2670" t="s">
        <v>2400</v>
      </c>
      <c r="E22" s="2671" t="s">
        <v>2401</v>
      </c>
      <c r="F22" s="2663"/>
      <c r="G22" s="2584"/>
      <c r="H22" s="2591"/>
      <c r="I22" s="2592"/>
      <c r="J22" s="3475"/>
      <c r="K22" s="3477"/>
      <c r="L22" s="2626" t="s">
        <v>2402</v>
      </c>
      <c r="M22" s="2627"/>
      <c r="N22" s="2627"/>
      <c r="O22" s="2628"/>
      <c r="P22" s="2629">
        <v>365</v>
      </c>
      <c r="Q22" s="2603"/>
      <c r="R22" s="2668">
        <f>ROUND(M22*N22*O22*P22/10000,0)</f>
        <v>0</v>
      </c>
      <c r="S22" s="2584"/>
      <c r="T22" s="2584"/>
      <c r="U22" s="2584"/>
      <c r="V22" s="2592"/>
    </row>
    <row r="23" spans="1:22" s="2596" customFormat="1" ht="13.15" customHeight="1">
      <c r="A23" s="2672">
        <v>1</v>
      </c>
      <c r="B23" s="2673" t="s">
        <v>2403</v>
      </c>
      <c r="C23" s="2674">
        <f>D6</f>
        <v>0</v>
      </c>
      <c r="D23" s="2675">
        <f>C23*(1+D24)</f>
        <v>0</v>
      </c>
      <c r="E23" s="2676">
        <f>D23*(1+E24)</f>
        <v>0</v>
      </c>
      <c r="F23" s="2677"/>
      <c r="G23" s="2678"/>
      <c r="H23" s="2591"/>
      <c r="I23" s="2592"/>
      <c r="J23" s="3475"/>
      <c r="K23" s="3477"/>
      <c r="L23" s="2626" t="s">
        <v>2404</v>
      </c>
      <c r="M23" s="2627"/>
      <c r="N23" s="2627"/>
      <c r="O23" s="2628"/>
      <c r="P23" s="2629">
        <v>365</v>
      </c>
      <c r="Q23" s="2603"/>
      <c r="R23" s="2668">
        <f>ROUND(M23*N23*O23*P23/10000,0)</f>
        <v>0</v>
      </c>
      <c r="S23" s="2584"/>
      <c r="T23" s="2584"/>
      <c r="U23" s="2584"/>
      <c r="V23" s="2592"/>
    </row>
    <row r="24" spans="1:22" s="2596" customFormat="1" ht="13.15" customHeight="1">
      <c r="A24" s="2679"/>
      <c r="B24" s="2680" t="s">
        <v>2405</v>
      </c>
      <c r="C24" s="2681"/>
      <c r="D24" s="2682"/>
      <c r="E24" s="2683"/>
      <c r="F24" s="2684"/>
      <c r="G24" s="2678"/>
      <c r="H24" s="2591"/>
      <c r="I24" s="2592"/>
      <c r="J24" s="3475"/>
      <c r="K24" s="3478"/>
      <c r="L24" s="2646" t="s">
        <v>2366</v>
      </c>
      <c r="M24" s="2647">
        <f>SUM(M21:M23)</f>
        <v>0</v>
      </c>
      <c r="N24" s="2647"/>
      <c r="O24" s="2648"/>
      <c r="P24" s="2661" t="s">
        <v>2430</v>
      </c>
      <c r="Q24" s="2628">
        <v>0</v>
      </c>
      <c r="R24" s="2662">
        <f>ROUND(IF(P24="按比例",R14*Q24,SUM(R21:R23)),0)</f>
        <v>0</v>
      </c>
      <c r="S24" s="2584"/>
      <c r="T24" s="2584"/>
      <c r="U24" s="2584"/>
      <c r="V24" s="2592"/>
    </row>
    <row r="25" spans="1:22" s="2691" customFormat="1" ht="13.15" customHeight="1">
      <c r="A25" s="2679"/>
      <c r="B25" s="2680"/>
      <c r="C25" s="2681"/>
      <c r="D25" s="2682"/>
      <c r="E25" s="2683"/>
      <c r="F25" s="2684"/>
      <c r="G25" s="2584"/>
      <c r="H25" s="2591"/>
      <c r="I25" s="2592"/>
      <c r="J25" s="2685">
        <v>4</v>
      </c>
      <c r="K25" s="2686" t="s">
        <v>2406</v>
      </c>
      <c r="L25" s="2687"/>
      <c r="M25" s="2687"/>
      <c r="N25" s="2687"/>
      <c r="O25" s="2687"/>
      <c r="P25" s="2688"/>
      <c r="Q25" s="2689">
        <v>0</v>
      </c>
      <c r="R25" s="2662">
        <f>ROUND(R14*Q25,0)</f>
        <v>0</v>
      </c>
      <c r="S25" s="2584"/>
      <c r="T25" s="2584"/>
      <c r="U25" s="2584"/>
      <c r="V25" s="2690"/>
    </row>
    <row r="26" spans="1:22" s="2691" customFormat="1" ht="13.15" customHeight="1">
      <c r="A26" s="2672">
        <v>2</v>
      </c>
      <c r="B26" s="2673" t="s">
        <v>2407</v>
      </c>
      <c r="C26" s="2674">
        <f>D7</f>
        <v>0</v>
      </c>
      <c r="D26" s="2675">
        <f>D23*D27</f>
        <v>0</v>
      </c>
      <c r="E26" s="2676">
        <f>E23*E27</f>
        <v>0</v>
      </c>
      <c r="F26" s="2677"/>
      <c r="G26" s="2678"/>
      <c r="H26" s="2591"/>
      <c r="I26" s="2592"/>
      <c r="J26" s="3485">
        <v>5</v>
      </c>
      <c r="K26" s="2692" t="s">
        <v>2408</v>
      </c>
      <c r="L26" s="2693"/>
      <c r="M26" s="2694"/>
      <c r="N26" s="2695" t="s">
        <v>2409</v>
      </c>
      <c r="O26" s="2695" t="s">
        <v>2410</v>
      </c>
      <c r="P26" s="2696" t="s">
        <v>2411</v>
      </c>
      <c r="Q26" s="2696" t="s">
        <v>2412</v>
      </c>
      <c r="R26" s="2601" t="s">
        <v>2337</v>
      </c>
      <c r="S26" s="2635"/>
      <c r="T26" s="2635"/>
      <c r="U26" s="2635"/>
      <c r="V26" s="2690"/>
    </row>
    <row r="27" spans="1:22" s="2596" customFormat="1" ht="13.15" customHeight="1">
      <c r="A27" s="2679"/>
      <c r="B27" s="2680" t="s">
        <v>2413</v>
      </c>
      <c r="C27" s="2697" t="e">
        <f>E7</f>
        <v>#DIV/0!</v>
      </c>
      <c r="D27" s="2682"/>
      <c r="E27" s="2683"/>
      <c r="F27" s="2684"/>
      <c r="G27" s="2678"/>
      <c r="H27" s="2698"/>
      <c r="I27" s="2690"/>
      <c r="J27" s="3486"/>
      <c r="K27" s="2699"/>
      <c r="L27" s="2700"/>
      <c r="M27" s="2701"/>
      <c r="N27" s="2702"/>
      <c r="O27" s="2702"/>
      <c r="P27" s="2702"/>
      <c r="Q27" s="2703"/>
      <c r="R27" s="2662">
        <f>ROUND(O27*N27*P27*(1-Q27)/10000,0)</f>
        <v>0</v>
      </c>
      <c r="S27" s="2584"/>
      <c r="T27" s="2584"/>
      <c r="U27" s="2584"/>
      <c r="V27" s="2592"/>
    </row>
    <row r="28" spans="1:22" s="2691" customFormat="1" ht="13.15" customHeight="1" thickBot="1">
      <c r="A28" s="2679"/>
      <c r="B28" s="2680"/>
      <c r="C28" s="2697"/>
      <c r="D28" s="2682"/>
      <c r="E28" s="2683" t="s">
        <v>2414</v>
      </c>
      <c r="F28" s="2684"/>
      <c r="G28" s="2584"/>
      <c r="H28" s="2698"/>
      <c r="I28" s="2690"/>
      <c r="J28" s="2704">
        <v>6</v>
      </c>
      <c r="K28" s="2705" t="s">
        <v>2415</v>
      </c>
      <c r="L28" s="2706" t="s">
        <v>2416</v>
      </c>
      <c r="M28" s="2707"/>
      <c r="N28" s="2706" t="s">
        <v>2417</v>
      </c>
      <c r="O28" s="2708"/>
      <c r="P28" s="2706" t="s">
        <v>2418</v>
      </c>
      <c r="Q28" s="2709">
        <v>1.4999999999999999E-2</v>
      </c>
      <c r="R28" s="2710"/>
      <c r="S28" s="2584"/>
      <c r="T28" s="2584"/>
      <c r="U28" s="2584"/>
      <c r="V28" s="2690"/>
    </row>
    <row r="29" spans="1:22" s="2691" customFormat="1" ht="13.15" customHeight="1">
      <c r="A29" s="2672">
        <v>3</v>
      </c>
      <c r="B29" s="2673" t="s">
        <v>2419</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15" customHeight="1" thickBot="1">
      <c r="A30" s="2679"/>
      <c r="B30" s="2680" t="s">
        <v>2413</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15" customHeight="1">
      <c r="A31" s="2679"/>
      <c r="B31" s="2680"/>
      <c r="C31" s="2712"/>
      <c r="D31" s="2711"/>
      <c r="E31" s="2645"/>
      <c r="F31" s="2684"/>
      <c r="G31" s="2584"/>
      <c r="H31" s="2698"/>
      <c r="I31" s="2690"/>
      <c r="J31" s="2581" t="s">
        <v>2420</v>
      </c>
      <c r="K31" s="2582"/>
      <c r="L31" s="2582"/>
      <c r="M31" s="2582"/>
      <c r="N31" s="2582"/>
      <c r="O31" s="2582"/>
      <c r="P31" s="2582"/>
      <c r="Q31" s="2582"/>
      <c r="R31" s="2583"/>
      <c r="S31" s="2584"/>
      <c r="T31" s="2584"/>
      <c r="U31" s="2584"/>
      <c r="V31" s="2690"/>
    </row>
    <row r="32" spans="1:22" s="2691" customFormat="1" ht="13.15" customHeight="1">
      <c r="A32" s="2672">
        <v>4</v>
      </c>
      <c r="B32" s="2673" t="s">
        <v>2421</v>
      </c>
      <c r="C32" s="2674">
        <f>C23-C26-C29</f>
        <v>0</v>
      </c>
      <c r="D32" s="2675">
        <f>D23-D26-D29</f>
        <v>0</v>
      </c>
      <c r="E32" s="2676">
        <f>E23-E26-E29</f>
        <v>0</v>
      </c>
      <c r="F32" s="2677"/>
      <c r="G32" s="2584"/>
      <c r="H32" s="2591"/>
      <c r="I32" s="2592"/>
      <c r="J32" s="3468" t="s">
        <v>2313</v>
      </c>
      <c r="K32" s="3469"/>
      <c r="L32" s="2593" t="s">
        <v>2314</v>
      </c>
      <c r="M32" s="2593" t="s">
        <v>2315</v>
      </c>
      <c r="N32" s="2593" t="s">
        <v>2316</v>
      </c>
      <c r="O32" s="2593" t="s">
        <v>2317</v>
      </c>
      <c r="P32" s="2593" t="s">
        <v>2318</v>
      </c>
      <c r="Q32" s="2594" t="s">
        <v>2319</v>
      </c>
      <c r="R32" s="2713" t="s">
        <v>2320</v>
      </c>
      <c r="S32" s="2584"/>
      <c r="T32" s="2584"/>
      <c r="U32" s="2584"/>
      <c r="V32" s="2690"/>
    </row>
    <row r="33" spans="1:23" s="2596" customFormat="1" ht="13.15" customHeight="1">
      <c r="A33" s="2672"/>
      <c r="B33" s="2673"/>
      <c r="C33" s="2674"/>
      <c r="D33" s="2714"/>
      <c r="E33" s="2715"/>
      <c r="F33" s="2677"/>
      <c r="G33" s="2584"/>
      <c r="H33" s="2698"/>
      <c r="I33" s="2690"/>
      <c r="J33" s="3470" t="s">
        <v>2323</v>
      </c>
      <c r="K33" s="3471"/>
      <c r="L33" s="2599"/>
      <c r="M33" s="2599"/>
      <c r="N33" s="2599"/>
      <c r="O33" s="2599"/>
      <c r="P33" s="2599"/>
      <c r="Q33" s="2600"/>
      <c r="R33" s="2716">
        <f>SUM(L33:Q33)</f>
        <v>0</v>
      </c>
      <c r="S33" s="2584"/>
      <c r="T33" s="2584"/>
      <c r="U33" s="2584"/>
      <c r="V33" s="2592"/>
    </row>
    <row r="34" spans="1:23" s="2596" customFormat="1" ht="13.15" customHeight="1">
      <c r="A34" s="2672">
        <v>5</v>
      </c>
      <c r="B34" s="2673" t="s">
        <v>2422</v>
      </c>
      <c r="C34" s="2717"/>
      <c r="D34" s="2718"/>
      <c r="E34" s="2719"/>
      <c r="F34" s="2677"/>
      <c r="G34" s="2584"/>
      <c r="H34" s="2698"/>
      <c r="I34" s="2690"/>
      <c r="J34" s="3470" t="s">
        <v>2325</v>
      </c>
      <c r="K34" s="3471"/>
      <c r="L34" s="2604"/>
      <c r="M34" s="2604"/>
      <c r="N34" s="2604"/>
      <c r="O34" s="2604"/>
      <c r="P34" s="2604"/>
      <c r="Q34" s="2605"/>
      <c r="R34" s="2720">
        <f>SUM(L34:Q34)</f>
        <v>0</v>
      </c>
      <c r="S34" s="2584"/>
      <c r="T34" s="2584"/>
      <c r="U34" s="2584" t="e">
        <f>ROUND(R35*10000/365/R33,1)</f>
        <v>#DIV/0!</v>
      </c>
      <c r="V34" s="2592"/>
    </row>
    <row r="35" spans="1:23" s="2596" customFormat="1" ht="13.15" customHeight="1">
      <c r="A35" s="2672">
        <v>6</v>
      </c>
      <c r="B35" s="2673" t="s">
        <v>2423</v>
      </c>
      <c r="C35" s="2721"/>
      <c r="D35" s="2722"/>
      <c r="E35" s="2723"/>
      <c r="F35" s="2677"/>
      <c r="G35" s="2724"/>
      <c r="H35" s="2591"/>
      <c r="I35" s="2690"/>
      <c r="J35" s="2610" t="s">
        <v>2327</v>
      </c>
      <c r="K35" s="2611"/>
      <c r="L35" s="2611"/>
      <c r="M35" s="2612"/>
      <c r="N35" s="2612"/>
      <c r="O35" s="2612"/>
      <c r="P35" s="2612"/>
      <c r="Q35" s="2612"/>
      <c r="R35" s="2725">
        <f>R40+R41+R43</f>
        <v>0</v>
      </c>
      <c r="S35" s="2584"/>
      <c r="T35" s="2584" t="s">
        <v>2328</v>
      </c>
      <c r="U35" s="2584"/>
      <c r="V35" s="2592"/>
    </row>
    <row r="36" spans="1:23" s="2596" customFormat="1" ht="13.15" customHeight="1" thickBot="1">
      <c r="A36" s="2672">
        <v>7</v>
      </c>
      <c r="B36" s="2726" t="s">
        <v>2424</v>
      </c>
      <c r="C36" s="2727"/>
      <c r="D36" s="2728"/>
      <c r="E36" s="2729"/>
      <c r="F36" s="2730">
        <f>C36+D36+E36</f>
        <v>0</v>
      </c>
      <c r="G36" s="2584"/>
      <c r="H36" s="2591"/>
      <c r="I36" s="2592"/>
      <c r="J36" s="3475">
        <v>1</v>
      </c>
      <c r="K36" s="3476" t="s">
        <v>2425</v>
      </c>
      <c r="L36" s="2617"/>
      <c r="M36" s="2618"/>
      <c r="N36" s="2618"/>
      <c r="O36" s="2618"/>
      <c r="P36" s="2618"/>
      <c r="Q36" s="2618"/>
      <c r="R36" s="2601" t="s">
        <v>2337</v>
      </c>
      <c r="S36" s="2584"/>
      <c r="T36" s="2584" t="s">
        <v>2338</v>
      </c>
      <c r="U36" s="2584"/>
      <c r="V36" s="2592"/>
    </row>
    <row r="37" spans="1:23" s="2596" customFormat="1" ht="13.15" customHeight="1">
      <c r="A37" s="2672"/>
      <c r="B37" s="2673"/>
      <c r="C37" s="2673"/>
      <c r="D37" s="2673"/>
      <c r="E37" s="2673"/>
      <c r="F37" s="2677"/>
      <c r="G37" s="2584"/>
      <c r="H37" s="2591"/>
      <c r="I37" s="2592"/>
      <c r="J37" s="3475"/>
      <c r="K37" s="3477"/>
      <c r="L37" s="2626"/>
      <c r="M37" s="2627"/>
      <c r="N37" s="2603"/>
      <c r="O37" s="2628"/>
      <c r="P37" s="2628"/>
      <c r="Q37" s="2629"/>
      <c r="R37" s="2630"/>
      <c r="S37" s="2584"/>
      <c r="T37" s="2584" t="s">
        <v>2341</v>
      </c>
      <c r="U37" s="2584"/>
      <c r="V37" s="2592"/>
    </row>
    <row r="38" spans="1:23" s="2596" customFormat="1" ht="13.15" customHeight="1">
      <c r="A38" s="2672">
        <v>8</v>
      </c>
      <c r="B38" s="2673"/>
      <c r="C38" s="2632" t="e">
        <f>ROUND(C32*(1-((1+C35)/(1+C34))^C36)/(C34-C35),0)</f>
        <v>#DIV/0!</v>
      </c>
      <c r="D38" s="2632">
        <f>IF(D23=0,0,ROUND(D32*(1-((1+D35)/(1+D34))^D36)/(D34-D35),0))</f>
        <v>0</v>
      </c>
      <c r="E38" s="2632">
        <f>IF(E23=0,0,ROUND(E32*(1-((1+E35)/(1+E34))^E36)/(E34-E35),0))</f>
        <v>0</v>
      </c>
      <c r="F38" s="2677"/>
      <c r="G38" s="2584"/>
      <c r="H38" s="2591"/>
      <c r="I38" s="2592"/>
      <c r="J38" s="3475"/>
      <c r="K38" s="3477"/>
      <c r="L38" s="2626"/>
      <c r="M38" s="2627"/>
      <c r="N38" s="2603"/>
      <c r="O38" s="2628"/>
      <c r="P38" s="2628"/>
      <c r="Q38" s="2629"/>
      <c r="R38" s="2630"/>
      <c r="S38" s="2584"/>
      <c r="T38" s="2584" t="s">
        <v>2348</v>
      </c>
      <c r="U38" s="2584"/>
      <c r="V38" s="2592"/>
    </row>
    <row r="39" spans="1:23" s="2596" customFormat="1" ht="13.15" customHeight="1">
      <c r="A39" s="2672">
        <v>9</v>
      </c>
      <c r="B39" s="2673" t="s">
        <v>2426</v>
      </c>
      <c r="C39" s="2640" t="e">
        <f>C38</f>
        <v>#DIV/0!</v>
      </c>
      <c r="D39" s="2673">
        <f>D38/(1+D34)^C36</f>
        <v>0</v>
      </c>
      <c r="E39" s="2673">
        <f>E38/(1+E34)^(C36+D36)</f>
        <v>0</v>
      </c>
      <c r="F39" s="2677"/>
      <c r="G39" s="2592"/>
      <c r="H39" s="2591"/>
      <c r="I39" s="2592"/>
      <c r="J39" s="3475"/>
      <c r="K39" s="3477"/>
      <c r="L39" s="2626"/>
      <c r="M39" s="2627"/>
      <c r="N39" s="2603"/>
      <c r="O39" s="2628"/>
      <c r="P39" s="2628"/>
      <c r="Q39" s="2629"/>
      <c r="R39" s="2630"/>
      <c r="S39" s="2584"/>
      <c r="T39" s="2584"/>
      <c r="U39" s="2584"/>
      <c r="V39" s="2592"/>
    </row>
    <row r="40" spans="1:23" s="2596" customFormat="1" ht="13.15" customHeight="1">
      <c r="A40" s="2731">
        <v>10</v>
      </c>
      <c r="B40" s="2673" t="s">
        <v>2427</v>
      </c>
      <c r="C40" s="2732" t="e">
        <f>C39+D39+E39</f>
        <v>#DIV/0!</v>
      </c>
      <c r="D40" s="2733"/>
      <c r="E40" s="2733"/>
      <c r="F40" s="2734"/>
      <c r="G40" s="2584"/>
      <c r="H40" s="2591"/>
      <c r="I40" s="2592"/>
      <c r="J40" s="3475"/>
      <c r="K40" s="3478"/>
      <c r="L40" s="2646" t="s">
        <v>2366</v>
      </c>
      <c r="M40" s="2647"/>
      <c r="N40" s="2647"/>
      <c r="O40" s="2648"/>
      <c r="P40" s="2648"/>
      <c r="Q40" s="2649"/>
      <c r="R40" s="2595">
        <f>SUM(R37:R39)</f>
        <v>0</v>
      </c>
      <c r="S40" s="2584"/>
      <c r="T40" s="2584"/>
      <c r="U40" s="2584"/>
      <c r="V40" s="2592"/>
    </row>
    <row r="41" spans="1:23" s="2596" customFormat="1" ht="13.15" customHeight="1" thickBot="1">
      <c r="A41" s="2735">
        <v>11</v>
      </c>
      <c r="B41" s="2736" t="s">
        <v>2428</v>
      </c>
      <c r="C41" s="2736" t="e">
        <f>ROUND(C40*10000/B4,0)</f>
        <v>#DIV/0!</v>
      </c>
      <c r="D41" s="2737"/>
      <c r="E41" s="2737"/>
      <c r="F41" s="2738"/>
      <c r="G41" s="2591"/>
      <c r="H41" s="2591"/>
      <c r="I41" s="2592"/>
      <c r="J41" s="2685">
        <v>2</v>
      </c>
      <c r="K41" s="2686" t="s">
        <v>2406</v>
      </c>
      <c r="L41" s="2687"/>
      <c r="M41" s="2687"/>
      <c r="N41" s="2687"/>
      <c r="O41" s="2687"/>
      <c r="P41" s="2688"/>
      <c r="Q41" s="2689"/>
      <c r="R41" s="2662">
        <f>ROUND(R40*Q41,0)</f>
        <v>0</v>
      </c>
      <c r="S41" s="2584"/>
      <c r="T41" s="2584"/>
      <c r="U41" s="2635"/>
      <c r="V41" s="2592"/>
    </row>
    <row r="42" spans="1:23" s="2596" customFormat="1" ht="13.15" customHeight="1">
      <c r="G42" s="2591"/>
      <c r="H42" s="2591"/>
      <c r="I42" s="2592"/>
      <c r="J42" s="3485">
        <v>3</v>
      </c>
      <c r="K42" s="2692" t="s">
        <v>2408</v>
      </c>
      <c r="L42" s="2693"/>
      <c r="M42" s="2694"/>
      <c r="N42" s="2695" t="s">
        <v>2409</v>
      </c>
      <c r="O42" s="2695" t="s">
        <v>2410</v>
      </c>
      <c r="P42" s="2696" t="s">
        <v>2411</v>
      </c>
      <c r="Q42" s="2696" t="s">
        <v>2412</v>
      </c>
      <c r="R42" s="2601" t="s">
        <v>2337</v>
      </c>
      <c r="S42" s="2635"/>
      <c r="T42" s="2635"/>
      <c r="U42" s="2584"/>
      <c r="V42" s="2592"/>
    </row>
    <row r="43" spans="1:23" ht="13.15" customHeight="1">
      <c r="A43" s="2596"/>
      <c r="B43" s="2596"/>
      <c r="C43" s="2596"/>
      <c r="D43" s="2596"/>
      <c r="E43" s="2596"/>
      <c r="F43" s="2596"/>
      <c r="I43" s="2579"/>
      <c r="J43" s="3486"/>
      <c r="K43" s="2699"/>
      <c r="L43" s="2700"/>
      <c r="M43" s="2701"/>
      <c r="N43" s="2627"/>
      <c r="O43" s="2627"/>
      <c r="P43" s="2627"/>
      <c r="Q43" s="2689"/>
      <c r="R43" s="2662">
        <f>ROUND(O43*N43*P43*(1-Q43)/10000,0)</f>
        <v>0</v>
      </c>
      <c r="S43" s="2584"/>
      <c r="T43" s="2584"/>
      <c r="V43" s="2739"/>
      <c r="W43" s="2740"/>
    </row>
    <row r="44" spans="1:23" ht="13.15" customHeight="1" thickBot="1">
      <c r="J44" s="2704">
        <v>6</v>
      </c>
      <c r="K44" s="2705" t="s">
        <v>2415</v>
      </c>
      <c r="L44" s="2741" t="s">
        <v>2416</v>
      </c>
      <c r="M44" s="2707"/>
      <c r="N44" s="2741" t="s">
        <v>2417</v>
      </c>
      <c r="O44" s="2707"/>
      <c r="P44" s="2741" t="s">
        <v>2418</v>
      </c>
      <c r="Q44" s="2709">
        <v>1.4999999999999999E-2</v>
      </c>
      <c r="R44" s="271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1660</v>
      </c>
      <c r="C1" s="1151" t="s">
        <v>1661</v>
      </c>
      <c r="D1" s="1138"/>
      <c r="E1" s="3087"/>
      <c r="F1" s="1731"/>
      <c r="G1" s="1148" t="s">
        <v>1662</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088"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1663</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1664</v>
      </c>
      <c r="D3" s="343">
        <f>IF(D1="",'数据-汇总表'!E3,SUMIF('数据-汇总表'!$C19:$C33,D1,'数据-汇总表'!$E19:$E33))</f>
        <v>108765.47999999998</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5">
      <c r="A4" s="345" t="s">
        <v>1665</v>
      </c>
      <c r="B4" s="346"/>
      <c r="C4" s="3396" t="s">
        <v>1666</v>
      </c>
      <c r="D4" s="3397"/>
      <c r="E4" s="3398" t="s">
        <v>1667</v>
      </c>
      <c r="F4" s="3399"/>
      <c r="G4" s="3396" t="s">
        <v>1668</v>
      </c>
      <c r="H4" s="3397"/>
      <c r="I4" s="3396" t="s">
        <v>1669</v>
      </c>
      <c r="J4" s="3397"/>
      <c r="K4" s="1740" t="s">
        <v>1670</v>
      </c>
      <c r="L4" s="2478"/>
      <c r="M4" s="2479"/>
      <c r="N4" s="2479"/>
      <c r="O4" s="2479"/>
      <c r="P4" s="3430" t="s">
        <v>1671</v>
      </c>
      <c r="Q4" s="3431"/>
      <c r="R4" s="3427" t="s">
        <v>1667</v>
      </c>
      <c r="S4" s="3428"/>
      <c r="T4" s="3427" t="s">
        <v>1668</v>
      </c>
      <c r="U4" s="3428"/>
      <c r="V4" s="3409" t="s">
        <v>1669</v>
      </c>
      <c r="W4" s="3409"/>
      <c r="X4" s="1261"/>
      <c r="Y4" s="3427" t="s">
        <v>1671</v>
      </c>
      <c r="Z4" s="3428"/>
      <c r="AA4" s="3426" t="s">
        <v>1667</v>
      </c>
      <c r="AB4" s="3426" t="s">
        <v>1668</v>
      </c>
      <c r="AC4" s="3426" t="s">
        <v>1669</v>
      </c>
    </row>
    <row r="5" spans="1:29" ht="15">
      <c r="A5" s="348"/>
      <c r="B5" s="349"/>
      <c r="C5" s="3385" t="s">
        <v>1672</v>
      </c>
      <c r="D5" s="3386"/>
      <c r="E5" s="3429" t="s">
        <v>1673</v>
      </c>
      <c r="F5" s="3384"/>
      <c r="G5" s="3385" t="s">
        <v>1674</v>
      </c>
      <c r="H5" s="3386"/>
      <c r="I5" s="3385" t="s">
        <v>1675</v>
      </c>
      <c r="J5" s="3386"/>
      <c r="K5" s="1741"/>
      <c r="L5" s="2478"/>
      <c r="M5" s="2479"/>
      <c r="N5" s="2479"/>
      <c r="O5" s="2479"/>
      <c r="P5" s="3432"/>
      <c r="Q5" s="3403"/>
      <c r="R5" s="3381"/>
      <c r="S5" s="3382"/>
      <c r="T5" s="3381"/>
      <c r="U5" s="3382"/>
      <c r="V5" s="3409"/>
      <c r="W5" s="3409"/>
      <c r="X5" s="1261"/>
      <c r="Y5" s="3381"/>
      <c r="Z5" s="3382"/>
      <c r="AA5" s="3375"/>
      <c r="AB5" s="3375"/>
      <c r="AC5" s="3375"/>
    </row>
    <row r="6" spans="1:29" ht="15.75" thickBot="1">
      <c r="A6" s="350"/>
      <c r="B6" s="351"/>
      <c r="C6" s="3387" t="s">
        <v>1676</v>
      </c>
      <c r="D6" s="3388"/>
      <c r="E6" s="3390" t="s">
        <v>1676</v>
      </c>
      <c r="F6" s="3391"/>
      <c r="G6" s="3387" t="s">
        <v>1676</v>
      </c>
      <c r="H6" s="3388"/>
      <c r="I6" s="3387" t="s">
        <v>1676</v>
      </c>
      <c r="J6" s="3388"/>
      <c r="K6" s="1741" t="s">
        <v>1677</v>
      </c>
      <c r="L6" s="2478"/>
      <c r="M6" s="2479"/>
      <c r="N6" s="2479"/>
      <c r="O6" s="2479"/>
      <c r="P6" s="3433"/>
      <c r="Q6" s="3405"/>
      <c r="R6" s="3381"/>
      <c r="S6" s="3382"/>
      <c r="T6" s="3406"/>
      <c r="U6" s="3407"/>
      <c r="V6" s="3409"/>
      <c r="W6" s="3409"/>
      <c r="X6" s="1261"/>
      <c r="Y6" s="3406"/>
      <c r="Z6" s="3407"/>
      <c r="AA6" s="3376"/>
      <c r="AB6" s="3376"/>
      <c r="AC6" s="3376"/>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1742"/>
      <c r="L7" s="2480"/>
      <c r="M7" s="2432"/>
      <c r="N7" s="2432"/>
      <c r="O7" s="2432"/>
      <c r="P7" s="3377" t="s">
        <v>1679</v>
      </c>
      <c r="Q7" s="3412"/>
      <c r="R7" s="664" t="s">
        <v>20</v>
      </c>
      <c r="S7" s="665">
        <f t="shared" ref="S7:S15" si="0">F7</f>
        <v>0</v>
      </c>
      <c r="T7" s="664" t="s">
        <v>20</v>
      </c>
      <c r="U7" s="665">
        <f t="shared" ref="U7:U15" si="1">H7</f>
        <v>0</v>
      </c>
      <c r="V7" s="664" t="s">
        <v>20</v>
      </c>
      <c r="W7" s="665">
        <f t="shared" ref="W7:W15" si="2">J7</f>
        <v>0</v>
      </c>
      <c r="X7" s="666"/>
      <c r="Y7" s="3377" t="s">
        <v>1679</v>
      </c>
      <c r="Z7" s="3378"/>
      <c r="AA7" s="50" t="e">
        <f>D7/F7</f>
        <v>#DIV/0!</v>
      </c>
      <c r="AB7" s="50" t="e">
        <f>D7/H7</f>
        <v>#DIV/0!</v>
      </c>
      <c r="AC7" s="50" t="e">
        <f>D7/J7</f>
        <v>#DIV/0!</v>
      </c>
    </row>
    <row r="8" spans="1:29" s="102" customFormat="1" ht="15.75" thickBot="1">
      <c r="A8" s="352" t="s">
        <v>1680</v>
      </c>
      <c r="B8" s="353"/>
      <c r="C8" s="358"/>
      <c r="D8" s="355">
        <v>100</v>
      </c>
      <c r="E8" s="1743"/>
      <c r="F8" s="357">
        <f>SUMIF(61:61,E8,62:62)-SUMIF(61:61,C8,62:62)+100</f>
        <v>100</v>
      </c>
      <c r="G8" s="358"/>
      <c r="H8" s="355">
        <f>SUMIF(61:61,G8,62:62)-SUMIF(61:61,C8,62:62)+100</f>
        <v>100</v>
      </c>
      <c r="I8" s="1743"/>
      <c r="J8" s="355">
        <f>SUMIF(61:61,I8,62:62)-SUMIF(61:61,C8,62:62)+100</f>
        <v>100</v>
      </c>
      <c r="K8" s="1742"/>
      <c r="L8" s="2480"/>
      <c r="M8" s="2432"/>
      <c r="N8" s="2432"/>
      <c r="O8" s="2432"/>
      <c r="P8" s="3377" t="s">
        <v>1682</v>
      </c>
      <c r="Q8" s="3378"/>
      <c r="R8" s="664" t="s">
        <v>20</v>
      </c>
      <c r="S8" s="665">
        <f t="shared" si="0"/>
        <v>100</v>
      </c>
      <c r="T8" s="664" t="s">
        <v>20</v>
      </c>
      <c r="U8" s="665">
        <f t="shared" si="1"/>
        <v>100</v>
      </c>
      <c r="V8" s="664" t="s">
        <v>20</v>
      </c>
      <c r="W8" s="665">
        <f t="shared" si="2"/>
        <v>100</v>
      </c>
      <c r="X8" s="666"/>
      <c r="Y8" s="3377" t="s">
        <v>1682</v>
      </c>
      <c r="Z8" s="3378"/>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2"/>
      <c r="L9" s="2480"/>
      <c r="M9" s="2432"/>
      <c r="N9" s="2432"/>
      <c r="O9" s="2432"/>
      <c r="P9" s="3392"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1742"/>
      <c r="L10" s="2481"/>
      <c r="M10" s="2482"/>
      <c r="N10" s="2482"/>
      <c r="O10" s="2482"/>
      <c r="P10" s="3392"/>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392"/>
      <c r="Q11" s="530" t="str">
        <f t="shared" si="6"/>
        <v>容积率</v>
      </c>
      <c r="R11" s="664" t="s">
        <v>18</v>
      </c>
      <c r="S11" s="665" t="e">
        <f t="shared" si="0"/>
        <v>#N/A</v>
      </c>
      <c r="T11" s="664" t="s">
        <v>18</v>
      </c>
      <c r="U11" s="665" t="e">
        <f t="shared" si="1"/>
        <v>#N/A</v>
      </c>
      <c r="V11" s="664" t="s">
        <v>18</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2"/>
      <c r="N12" s="2432"/>
      <c r="O12" s="2432"/>
      <c r="P12" s="3392"/>
      <c r="Q12" s="530">
        <f t="shared" si="6"/>
        <v>111</v>
      </c>
      <c r="R12" s="664" t="s">
        <v>18</v>
      </c>
      <c r="S12" s="665">
        <f t="shared" si="0"/>
        <v>100</v>
      </c>
      <c r="T12" s="664" t="s">
        <v>18</v>
      </c>
      <c r="U12" s="665">
        <f t="shared" si="1"/>
        <v>100</v>
      </c>
      <c r="V12" s="664" t="s">
        <v>18</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392"/>
      <c r="Q13" s="530">
        <f t="shared" si="6"/>
        <v>111</v>
      </c>
      <c r="R13" s="664" t="s">
        <v>18</v>
      </c>
      <c r="S13" s="665">
        <f t="shared" si="0"/>
        <v>100</v>
      </c>
      <c r="T13" s="664" t="s">
        <v>18</v>
      </c>
      <c r="U13" s="665">
        <f t="shared" si="1"/>
        <v>100</v>
      </c>
      <c r="V13" s="664" t="s">
        <v>18</v>
      </c>
      <c r="W13" s="665">
        <f t="shared" si="2"/>
        <v>100</v>
      </c>
      <c r="X13" s="666"/>
      <c r="Y13" s="3346"/>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392"/>
      <c r="Q14" s="530">
        <f t="shared" si="6"/>
        <v>111</v>
      </c>
      <c r="R14" s="664" t="s">
        <v>18</v>
      </c>
      <c r="S14" s="665">
        <f t="shared" si="0"/>
        <v>100</v>
      </c>
      <c r="T14" s="664" t="s">
        <v>18</v>
      </c>
      <c r="U14" s="665">
        <f t="shared" si="1"/>
        <v>100</v>
      </c>
      <c r="V14" s="664" t="s">
        <v>18</v>
      </c>
      <c r="W14" s="665">
        <f t="shared" si="2"/>
        <v>100</v>
      </c>
      <c r="X14" s="666"/>
      <c r="Y14" s="3346"/>
      <c r="Z14" s="50">
        <f t="shared" si="7"/>
        <v>111</v>
      </c>
      <c r="AA14" s="50">
        <f t="shared" si="3"/>
        <v>1</v>
      </c>
      <c r="AB14" s="50">
        <f t="shared" si="4"/>
        <v>1</v>
      </c>
      <c r="AC14" s="50">
        <f t="shared" si="5"/>
        <v>1</v>
      </c>
    </row>
    <row r="15" spans="1:29" ht="15">
      <c r="A15" s="379" t="s">
        <v>1689</v>
      </c>
      <c r="B15" s="58" t="s">
        <v>1256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413" t="s">
        <v>1690</v>
      </c>
      <c r="Q15" s="1259" t="str">
        <f t="shared" si="6"/>
        <v>居住社区成熟度</v>
      </c>
      <c r="R15" s="667" t="s">
        <v>18</v>
      </c>
      <c r="S15" s="668">
        <f t="shared" si="0"/>
        <v>100</v>
      </c>
      <c r="T15" s="667" t="s">
        <v>18</v>
      </c>
      <c r="U15" s="668">
        <f t="shared" si="1"/>
        <v>100</v>
      </c>
      <c r="V15" s="667" t="s">
        <v>18</v>
      </c>
      <c r="W15" s="668">
        <f t="shared" si="2"/>
        <v>100</v>
      </c>
      <c r="X15" s="1261"/>
      <c r="Y15" s="3415" t="s">
        <v>1690</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414"/>
      <c r="Q16" s="1259"/>
      <c r="R16" s="667"/>
      <c r="S16" s="668"/>
      <c r="T16" s="667"/>
      <c r="U16" s="668"/>
      <c r="V16" s="667"/>
      <c r="W16" s="668"/>
      <c r="X16" s="1261"/>
      <c r="Y16" s="3416"/>
      <c r="Z16" s="1260"/>
      <c r="AA16" s="1260">
        <v>1</v>
      </c>
      <c r="AB16" s="1260">
        <v>1</v>
      </c>
      <c r="AC16" s="1260">
        <v>1</v>
      </c>
    </row>
    <row r="17" spans="1:29" ht="28.5">
      <c r="A17" s="367"/>
      <c r="B17" s="390" t="s">
        <v>1258</v>
      </c>
      <c r="C17" s="1750" t="str">
        <f>估价对象房地状况!C6</f>
        <v>9号线、房山线，较好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414"/>
      <c r="Q17" s="1259" t="str">
        <f>B17</f>
        <v>交通便捷度</v>
      </c>
      <c r="R17" s="667" t="s">
        <v>18</v>
      </c>
      <c r="S17" s="668">
        <f>F17</f>
        <v>100</v>
      </c>
      <c r="T17" s="667" t="s">
        <v>18</v>
      </c>
      <c r="U17" s="668">
        <f>H17</f>
        <v>100</v>
      </c>
      <c r="V17" s="667" t="s">
        <v>18</v>
      </c>
      <c r="W17" s="668">
        <f>J17</f>
        <v>100</v>
      </c>
      <c r="X17" s="1261"/>
      <c r="Y17" s="3416"/>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414"/>
      <c r="Q18" s="1259"/>
      <c r="R18" s="667"/>
      <c r="S18" s="668"/>
      <c r="T18" s="667"/>
      <c r="U18" s="668"/>
      <c r="V18" s="667"/>
      <c r="W18" s="668"/>
      <c r="X18" s="1261"/>
      <c r="Y18" s="3416"/>
      <c r="Z18" s="1260"/>
      <c r="AA18" s="1260">
        <v>1</v>
      </c>
      <c r="AB18" s="1260">
        <v>1</v>
      </c>
      <c r="AC18" s="1260">
        <v>1</v>
      </c>
    </row>
    <row r="19" spans="1:29" ht="15">
      <c r="A19" s="367"/>
      <c r="B19" s="390" t="s">
        <v>1257</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414"/>
      <c r="Q19" s="1259" t="str">
        <f>B19</f>
        <v>公共配套设施</v>
      </c>
      <c r="R19" s="667" t="s">
        <v>18</v>
      </c>
      <c r="S19" s="668">
        <f>F19</f>
        <v>100</v>
      </c>
      <c r="T19" s="667" t="s">
        <v>18</v>
      </c>
      <c r="U19" s="668">
        <f>H19</f>
        <v>100</v>
      </c>
      <c r="V19" s="667" t="s">
        <v>18</v>
      </c>
      <c r="W19" s="668">
        <f>J19</f>
        <v>100</v>
      </c>
      <c r="X19" s="1261"/>
      <c r="Y19" s="3416"/>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414"/>
      <c r="Q20" s="1259"/>
      <c r="R20" s="667"/>
      <c r="S20" s="668"/>
      <c r="T20" s="667"/>
      <c r="U20" s="668"/>
      <c r="V20" s="667"/>
      <c r="W20" s="668"/>
      <c r="X20" s="1261"/>
      <c r="Y20" s="3416"/>
      <c r="Z20" s="1260"/>
      <c r="AA20" s="1260">
        <v>1</v>
      </c>
      <c r="AB20" s="1260">
        <v>1</v>
      </c>
      <c r="AC20" s="1260">
        <v>1</v>
      </c>
    </row>
    <row r="21" spans="1:29" ht="15">
      <c r="A21" s="367"/>
      <c r="B21" s="586" t="s">
        <v>1259</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414"/>
      <c r="Q21" s="1259" t="str">
        <f>B21</f>
        <v>基础设施水平</v>
      </c>
      <c r="R21" s="667" t="s">
        <v>14</v>
      </c>
      <c r="S21" s="668">
        <f>F21</f>
        <v>100</v>
      </c>
      <c r="T21" s="667" t="s">
        <v>14</v>
      </c>
      <c r="U21" s="668">
        <f>H21</f>
        <v>100</v>
      </c>
      <c r="V21" s="667" t="s">
        <v>14</v>
      </c>
      <c r="W21" s="668">
        <f>J21</f>
        <v>100</v>
      </c>
      <c r="X21" s="1261"/>
      <c r="Y21" s="3416"/>
      <c r="Z21" s="1260" t="str">
        <f>Q21</f>
        <v>基础设施水平</v>
      </c>
      <c r="AA21" s="1260">
        <f>D21/F21</f>
        <v>1</v>
      </c>
      <c r="AB21" s="1260">
        <f>D21/H21</f>
        <v>1</v>
      </c>
      <c r="AC21" s="1260">
        <f>D21/J21</f>
        <v>1</v>
      </c>
    </row>
    <row r="22" spans="1:29" ht="15">
      <c r="A22" s="367"/>
      <c r="B22" s="586"/>
      <c r="C22" s="1751"/>
      <c r="D22" s="387"/>
      <c r="E22" s="386"/>
      <c r="F22" s="387"/>
      <c r="G22" s="1754"/>
      <c r="H22" s="387"/>
      <c r="I22" s="386"/>
      <c r="J22" s="387"/>
      <c r="K22" s="1755"/>
      <c r="L22" s="2484"/>
      <c r="M22" s="2479"/>
      <c r="N22" s="2479"/>
      <c r="O22" s="2479"/>
      <c r="P22" s="3414"/>
      <c r="Q22" s="1259"/>
      <c r="R22" s="667"/>
      <c r="S22" s="668"/>
      <c r="T22" s="667"/>
      <c r="U22" s="668"/>
      <c r="V22" s="667"/>
      <c r="W22" s="668"/>
      <c r="X22" s="1261"/>
      <c r="Y22" s="3416"/>
      <c r="Z22" s="1260"/>
      <c r="AA22" s="1260">
        <v>1</v>
      </c>
      <c r="AB22" s="1260">
        <v>1</v>
      </c>
      <c r="AC22" s="1260">
        <v>1</v>
      </c>
    </row>
    <row r="23" spans="1:29" ht="28.5">
      <c r="A23" s="367"/>
      <c r="B23" s="390" t="s">
        <v>1260</v>
      </c>
      <c r="C23" s="1750" t="str">
        <f>估价对象房地状况!C9</f>
        <v>白盆窑公园、国际法官学院，一般</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414"/>
      <c r="Q23" s="1259" t="str">
        <f>B23</f>
        <v>自然及人文环境</v>
      </c>
      <c r="R23" s="667" t="s">
        <v>18</v>
      </c>
      <c r="S23" s="668">
        <f>F23</f>
        <v>100</v>
      </c>
      <c r="T23" s="667" t="s">
        <v>18</v>
      </c>
      <c r="U23" s="668">
        <f>H23</f>
        <v>100</v>
      </c>
      <c r="V23" s="667" t="s">
        <v>18</v>
      </c>
      <c r="W23" s="668">
        <f>J23</f>
        <v>100</v>
      </c>
      <c r="X23" s="1261"/>
      <c r="Y23" s="3416"/>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414"/>
      <c r="Q24" s="1259"/>
      <c r="R24" s="667"/>
      <c r="S24" s="668"/>
      <c r="T24" s="667"/>
      <c r="U24" s="668"/>
      <c r="V24" s="667"/>
      <c r="W24" s="668"/>
      <c r="X24" s="1261"/>
      <c r="Y24" s="3416"/>
      <c r="Z24" s="1260"/>
      <c r="AA24" s="1260">
        <v>1</v>
      </c>
      <c r="AB24" s="1260">
        <v>1</v>
      </c>
      <c r="AC24" s="1260">
        <v>1</v>
      </c>
    </row>
    <row r="25" spans="1:29" ht="15">
      <c r="A25" s="367"/>
      <c r="B25" s="364" t="s">
        <v>1691</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414"/>
      <c r="Q25" s="1259" t="str">
        <f t="shared" ref="Q25:Q46" si="8">B25</f>
        <v>楼层-1</v>
      </c>
      <c r="R25" s="667" t="s">
        <v>18</v>
      </c>
      <c r="S25" s="668">
        <f t="shared" ref="S25:S46" si="9">F25</f>
        <v>100</v>
      </c>
      <c r="T25" s="667" t="s">
        <v>18</v>
      </c>
      <c r="U25" s="668">
        <f t="shared" ref="U25:U46" si="10">H25</f>
        <v>100</v>
      </c>
      <c r="V25" s="667" t="s">
        <v>18</v>
      </c>
      <c r="W25" s="668">
        <f t="shared" ref="W25:W46" si="11">J25</f>
        <v>100</v>
      </c>
      <c r="X25" s="1261"/>
      <c r="Y25" s="3416"/>
      <c r="Z25" s="1260" t="str">
        <f>Q25</f>
        <v>楼层-1</v>
      </c>
      <c r="AA25" s="1260">
        <f t="shared" ref="AA25:AA46" si="12">D25/F25</f>
        <v>1</v>
      </c>
      <c r="AB25" s="1260">
        <f t="shared" ref="AB25:AB46" si="13">D25/H25</f>
        <v>1</v>
      </c>
      <c r="AC25" s="1260">
        <f t="shared" ref="AC25:AC46" si="14">D25/J25</f>
        <v>1</v>
      </c>
    </row>
    <row r="26" spans="1:29" ht="15">
      <c r="A26" s="367"/>
      <c r="B26" s="364" t="s">
        <v>1692</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414"/>
      <c r="Q26" s="1259" t="str">
        <f t="shared" si="8"/>
        <v>朝向</v>
      </c>
      <c r="R26" s="667" t="s">
        <v>18</v>
      </c>
      <c r="S26" s="668">
        <f t="shared" si="9"/>
        <v>100</v>
      </c>
      <c r="T26" s="667" t="s">
        <v>18</v>
      </c>
      <c r="U26" s="668">
        <f t="shared" si="10"/>
        <v>100</v>
      </c>
      <c r="V26" s="667" t="s">
        <v>18</v>
      </c>
      <c r="W26" s="668">
        <f t="shared" si="11"/>
        <v>100</v>
      </c>
      <c r="X26" s="1261"/>
      <c r="Y26" s="3416"/>
      <c r="Z26" s="1260" t="str">
        <f>Q26</f>
        <v>朝向</v>
      </c>
      <c r="AA26" s="1260">
        <f t="shared" si="12"/>
        <v>1</v>
      </c>
      <c r="AB26" s="1260">
        <f t="shared" si="13"/>
        <v>1</v>
      </c>
      <c r="AC26" s="1260">
        <f t="shared" si="14"/>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2"/>
      <c r="N27" s="2432"/>
      <c r="O27" s="2432"/>
      <c r="P27" s="3414"/>
      <c r="Q27" s="530">
        <f t="shared" si="8"/>
        <v>111</v>
      </c>
      <c r="R27" s="664" t="s">
        <v>18</v>
      </c>
      <c r="S27" s="665">
        <f t="shared" si="9"/>
        <v>100</v>
      </c>
      <c r="T27" s="664" t="s">
        <v>18</v>
      </c>
      <c r="U27" s="665">
        <f t="shared" si="10"/>
        <v>100</v>
      </c>
      <c r="V27" s="664" t="s">
        <v>18</v>
      </c>
      <c r="W27" s="665">
        <f t="shared" si="11"/>
        <v>100</v>
      </c>
      <c r="X27" s="666"/>
      <c r="Y27" s="3416"/>
      <c r="Z27" s="50">
        <f>Q27</f>
        <v>111</v>
      </c>
      <c r="AA27" s="1260">
        <f t="shared" si="12"/>
        <v>1</v>
      </c>
      <c r="AB27" s="1260">
        <f t="shared" si="13"/>
        <v>1</v>
      </c>
      <c r="AC27" s="1260">
        <f t="shared" si="14"/>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414"/>
      <c r="Q28" s="1259">
        <f t="shared" si="8"/>
        <v>111</v>
      </c>
      <c r="R28" s="667" t="s">
        <v>18</v>
      </c>
      <c r="S28" s="668">
        <f t="shared" si="9"/>
        <v>100</v>
      </c>
      <c r="T28" s="667" t="s">
        <v>18</v>
      </c>
      <c r="U28" s="668">
        <f t="shared" si="10"/>
        <v>100</v>
      </c>
      <c r="V28" s="667" t="s">
        <v>18</v>
      </c>
      <c r="W28" s="668">
        <f t="shared" si="11"/>
        <v>100</v>
      </c>
      <c r="X28" s="1261"/>
      <c r="Y28" s="3416"/>
      <c r="Z28" s="1260">
        <f t="shared" ref="Z28:Z46" si="15">Q28</f>
        <v>111</v>
      </c>
      <c r="AA28" s="1260">
        <f t="shared" si="12"/>
        <v>1</v>
      </c>
      <c r="AB28" s="1260">
        <f t="shared" si="13"/>
        <v>1</v>
      </c>
      <c r="AC28" s="1260">
        <f t="shared" si="14"/>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414"/>
      <c r="Q29" s="1259">
        <f t="shared" si="8"/>
        <v>111</v>
      </c>
      <c r="R29" s="667" t="s">
        <v>18</v>
      </c>
      <c r="S29" s="668">
        <f t="shared" si="9"/>
        <v>100</v>
      </c>
      <c r="T29" s="667" t="s">
        <v>18</v>
      </c>
      <c r="U29" s="668">
        <f t="shared" si="10"/>
        <v>100</v>
      </c>
      <c r="V29" s="667" t="s">
        <v>18</v>
      </c>
      <c r="W29" s="668">
        <f t="shared" si="11"/>
        <v>100</v>
      </c>
      <c r="X29" s="1261"/>
      <c r="Y29" s="3416"/>
      <c r="Z29" s="1260">
        <f t="shared" si="15"/>
        <v>111</v>
      </c>
      <c r="AA29" s="1260">
        <f t="shared" si="12"/>
        <v>1</v>
      </c>
      <c r="AB29" s="1260">
        <f t="shared" si="13"/>
        <v>1</v>
      </c>
      <c r="AC29" s="1260">
        <f t="shared" si="14"/>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414"/>
      <c r="Q30" s="1259">
        <f t="shared" si="8"/>
        <v>111</v>
      </c>
      <c r="R30" s="667" t="s">
        <v>18</v>
      </c>
      <c r="S30" s="668">
        <f t="shared" si="9"/>
        <v>100</v>
      </c>
      <c r="T30" s="667" t="s">
        <v>18</v>
      </c>
      <c r="U30" s="668">
        <f t="shared" si="10"/>
        <v>100</v>
      </c>
      <c r="V30" s="667" t="s">
        <v>18</v>
      </c>
      <c r="W30" s="668">
        <f t="shared" si="11"/>
        <v>100</v>
      </c>
      <c r="X30" s="1261"/>
      <c r="Y30" s="3416"/>
      <c r="Z30" s="1260">
        <f t="shared" si="15"/>
        <v>111</v>
      </c>
      <c r="AA30" s="1260">
        <f t="shared" si="12"/>
        <v>1</v>
      </c>
      <c r="AB30" s="1260">
        <f t="shared" si="13"/>
        <v>1</v>
      </c>
      <c r="AC30" s="1260">
        <f t="shared" si="14"/>
        <v>1</v>
      </c>
    </row>
    <row r="31" spans="1:29" ht="15.75"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414"/>
      <c r="Q31" s="1259">
        <f t="shared" si="8"/>
        <v>111</v>
      </c>
      <c r="R31" s="667" t="s">
        <v>18</v>
      </c>
      <c r="S31" s="668">
        <f t="shared" si="9"/>
        <v>100</v>
      </c>
      <c r="T31" s="667" t="s">
        <v>18</v>
      </c>
      <c r="U31" s="668">
        <f t="shared" si="10"/>
        <v>100</v>
      </c>
      <c r="V31" s="667" t="s">
        <v>18</v>
      </c>
      <c r="W31" s="668">
        <f t="shared" si="11"/>
        <v>100</v>
      </c>
      <c r="X31" s="1261"/>
      <c r="Y31" s="3416"/>
      <c r="Z31" s="1260">
        <f t="shared" si="15"/>
        <v>111</v>
      </c>
      <c r="AA31" s="1260">
        <f t="shared" si="12"/>
        <v>1</v>
      </c>
      <c r="AB31" s="1260">
        <f t="shared" si="13"/>
        <v>1</v>
      </c>
      <c r="AC31" s="1260">
        <f t="shared" si="14"/>
        <v>1</v>
      </c>
    </row>
    <row r="32" spans="1:29" ht="15">
      <c r="A32" s="379" t="s">
        <v>1693</v>
      </c>
      <c r="B32" s="60" t="s">
        <v>1694</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417" t="s">
        <v>1695</v>
      </c>
      <c r="Q32" s="1259" t="str">
        <f t="shared" si="8"/>
        <v>建筑类型</v>
      </c>
      <c r="R32" s="667" t="s">
        <v>18</v>
      </c>
      <c r="S32" s="668">
        <f t="shared" si="9"/>
        <v>100</v>
      </c>
      <c r="T32" s="667" t="s">
        <v>18</v>
      </c>
      <c r="U32" s="668">
        <f t="shared" si="10"/>
        <v>100</v>
      </c>
      <c r="V32" s="667" t="s">
        <v>18</v>
      </c>
      <c r="W32" s="668">
        <f t="shared" si="11"/>
        <v>100</v>
      </c>
      <c r="X32" s="1261"/>
      <c r="Y32" s="3420" t="s">
        <v>1695</v>
      </c>
      <c r="Z32" s="1260" t="str">
        <f t="shared" si="15"/>
        <v>建筑类型</v>
      </c>
      <c r="AA32" s="1260">
        <f t="shared" si="12"/>
        <v>1</v>
      </c>
      <c r="AB32" s="1260">
        <f t="shared" si="13"/>
        <v>1</v>
      </c>
      <c r="AC32" s="1260">
        <f t="shared" si="14"/>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418"/>
      <c r="Q33" s="531" t="str">
        <f t="shared" si="8"/>
        <v>项目建筑规模</v>
      </c>
      <c r="R33" s="669" t="s">
        <v>18</v>
      </c>
      <c r="S33" s="670" t="e">
        <f t="shared" si="9"/>
        <v>#N/A</v>
      </c>
      <c r="T33" s="669" t="s">
        <v>18</v>
      </c>
      <c r="U33" s="670" t="e">
        <f t="shared" si="10"/>
        <v>#N/A</v>
      </c>
      <c r="V33" s="669" t="s">
        <v>18</v>
      </c>
      <c r="W33" s="670" t="e">
        <f t="shared" si="11"/>
        <v>#N/A</v>
      </c>
      <c r="X33" s="671"/>
      <c r="Y33" s="3420"/>
      <c r="Z33" s="672" t="str">
        <f t="shared" si="15"/>
        <v>项目建筑规模</v>
      </c>
      <c r="AA33" s="1260" t="e">
        <f t="shared" si="12"/>
        <v>#N/A</v>
      </c>
      <c r="AB33" s="1260" t="e">
        <f t="shared" si="13"/>
        <v>#N/A</v>
      </c>
      <c r="AC33" s="1260" t="e">
        <f t="shared" si="14"/>
        <v>#N/A</v>
      </c>
    </row>
    <row r="34" spans="1:29" ht="15">
      <c r="A34" s="409"/>
      <c r="B34" s="364" t="s">
        <v>1697</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418"/>
      <c r="Q34" s="1259" t="str">
        <f t="shared" si="8"/>
        <v>建筑结构</v>
      </c>
      <c r="R34" s="667" t="s">
        <v>18</v>
      </c>
      <c r="S34" s="668">
        <f t="shared" si="9"/>
        <v>100</v>
      </c>
      <c r="T34" s="667" t="s">
        <v>18</v>
      </c>
      <c r="U34" s="668">
        <f t="shared" si="10"/>
        <v>100</v>
      </c>
      <c r="V34" s="667" t="s">
        <v>18</v>
      </c>
      <c r="W34" s="668">
        <f t="shared" si="11"/>
        <v>100</v>
      </c>
      <c r="X34" s="1261"/>
      <c r="Y34" s="3420"/>
      <c r="Z34" s="1260" t="str">
        <f t="shared" si="15"/>
        <v>建筑结构</v>
      </c>
      <c r="AA34" s="1260">
        <f t="shared" si="12"/>
        <v>1</v>
      </c>
      <c r="AB34" s="1260">
        <f t="shared" si="13"/>
        <v>1</v>
      </c>
      <c r="AC34" s="1260">
        <f t="shared" si="14"/>
        <v>1</v>
      </c>
    </row>
    <row r="35" spans="1:29" ht="15">
      <c r="A35" s="409"/>
      <c r="B35" s="364" t="s">
        <v>1698</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418"/>
      <c r="Q35" s="1259" t="str">
        <f t="shared" si="8"/>
        <v>建筑品质</v>
      </c>
      <c r="R35" s="667" t="s">
        <v>18</v>
      </c>
      <c r="S35" s="668">
        <f t="shared" si="9"/>
        <v>100</v>
      </c>
      <c r="T35" s="667" t="s">
        <v>18</v>
      </c>
      <c r="U35" s="668">
        <f t="shared" si="10"/>
        <v>100</v>
      </c>
      <c r="V35" s="667" t="s">
        <v>18</v>
      </c>
      <c r="W35" s="668">
        <f t="shared" si="11"/>
        <v>100</v>
      </c>
      <c r="X35" s="1261"/>
      <c r="Y35" s="3420"/>
      <c r="Z35" s="1260" t="str">
        <f t="shared" si="15"/>
        <v>建筑品质</v>
      </c>
      <c r="AA35" s="1260">
        <f t="shared" si="12"/>
        <v>1</v>
      </c>
      <c r="AB35" s="1260">
        <f t="shared" si="13"/>
        <v>1</v>
      </c>
      <c r="AC35" s="1260">
        <f t="shared" si="14"/>
        <v>1</v>
      </c>
    </row>
    <row r="36" spans="1:29" ht="15">
      <c r="A36" s="409"/>
      <c r="B36" s="364" t="s">
        <v>1699</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418"/>
      <c r="Q36" s="1259" t="str">
        <f t="shared" si="8"/>
        <v>公共部分装修</v>
      </c>
      <c r="R36" s="667" t="s">
        <v>18</v>
      </c>
      <c r="S36" s="668">
        <f t="shared" si="9"/>
        <v>100</v>
      </c>
      <c r="T36" s="667" t="s">
        <v>18</v>
      </c>
      <c r="U36" s="668">
        <f t="shared" si="10"/>
        <v>100</v>
      </c>
      <c r="V36" s="667" t="s">
        <v>18</v>
      </c>
      <c r="W36" s="668">
        <f t="shared" si="11"/>
        <v>100</v>
      </c>
      <c r="X36" s="1261"/>
      <c r="Y36" s="3420"/>
      <c r="Z36" s="1260" t="str">
        <f t="shared" si="15"/>
        <v>公共部分装修</v>
      </c>
      <c r="AA36" s="1260">
        <f t="shared" si="12"/>
        <v>1</v>
      </c>
      <c r="AB36" s="1260">
        <f t="shared" si="13"/>
        <v>1</v>
      </c>
      <c r="AC36" s="1260">
        <f t="shared" si="14"/>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2"/>
      <c r="N37" s="2432"/>
      <c r="O37" s="2432"/>
      <c r="P37" s="3418"/>
      <c r="Q37" s="530" t="str">
        <f t="shared" si="8"/>
        <v>成新度</v>
      </c>
      <c r="R37" s="664" t="s">
        <v>18</v>
      </c>
      <c r="S37" s="665" t="e">
        <f t="shared" si="9"/>
        <v>#N/A</v>
      </c>
      <c r="T37" s="664" t="s">
        <v>18</v>
      </c>
      <c r="U37" s="665" t="e">
        <f t="shared" si="10"/>
        <v>#N/A</v>
      </c>
      <c r="V37" s="664" t="s">
        <v>18</v>
      </c>
      <c r="W37" s="665" t="e">
        <f t="shared" si="11"/>
        <v>#N/A</v>
      </c>
      <c r="X37" s="666"/>
      <c r="Y37" s="3420"/>
      <c r="Z37" s="50" t="str">
        <f t="shared" si="15"/>
        <v>成新度</v>
      </c>
      <c r="AA37" s="50" t="e">
        <f t="shared" si="12"/>
        <v>#N/A</v>
      </c>
      <c r="AB37" s="50" t="e">
        <f t="shared" si="13"/>
        <v>#N/A</v>
      </c>
      <c r="AC37" s="50" t="e">
        <f t="shared" si="14"/>
        <v>#N/A</v>
      </c>
    </row>
    <row r="38" spans="1:29" ht="15">
      <c r="A38" s="409"/>
      <c r="B38" s="364" t="s">
        <v>1701</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418" t="s">
        <v>1695</v>
      </c>
      <c r="Q38" s="1259" t="str">
        <f t="shared" si="8"/>
        <v>物业管理</v>
      </c>
      <c r="R38" s="667" t="s">
        <v>18</v>
      </c>
      <c r="S38" s="668">
        <f t="shared" si="9"/>
        <v>100</v>
      </c>
      <c r="T38" s="667" t="s">
        <v>18</v>
      </c>
      <c r="U38" s="668">
        <f t="shared" si="10"/>
        <v>100</v>
      </c>
      <c r="V38" s="667" t="s">
        <v>18</v>
      </c>
      <c r="W38" s="668">
        <f t="shared" si="11"/>
        <v>100</v>
      </c>
      <c r="X38" s="1261"/>
      <c r="Y38" s="3420" t="s">
        <v>1695</v>
      </c>
      <c r="Z38" s="1260" t="str">
        <f t="shared" si="15"/>
        <v>物业管理</v>
      </c>
      <c r="AA38" s="1260">
        <f t="shared" si="12"/>
        <v>1</v>
      </c>
      <c r="AB38" s="1260">
        <f t="shared" si="13"/>
        <v>1</v>
      </c>
      <c r="AC38" s="1260">
        <f t="shared" si="14"/>
        <v>1</v>
      </c>
    </row>
    <row r="39" spans="1:29" ht="15">
      <c r="A39" s="409"/>
      <c r="B39" s="364" t="s">
        <v>1702</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418"/>
      <c r="Q39" s="1259" t="str">
        <f t="shared" si="8"/>
        <v>市政基础设施</v>
      </c>
      <c r="R39" s="667" t="s">
        <v>18</v>
      </c>
      <c r="S39" s="668">
        <f t="shared" si="9"/>
        <v>100</v>
      </c>
      <c r="T39" s="667" t="s">
        <v>18</v>
      </c>
      <c r="U39" s="668">
        <f t="shared" si="10"/>
        <v>100</v>
      </c>
      <c r="V39" s="667" t="s">
        <v>18</v>
      </c>
      <c r="W39" s="668">
        <f t="shared" si="11"/>
        <v>100</v>
      </c>
      <c r="X39" s="1261"/>
      <c r="Y39" s="3420"/>
      <c r="Z39" s="1260" t="str">
        <f t="shared" si="15"/>
        <v>市政基础设施</v>
      </c>
      <c r="AA39" s="1260">
        <f t="shared" si="12"/>
        <v>1</v>
      </c>
      <c r="AB39" s="1260">
        <f t="shared" si="13"/>
        <v>1</v>
      </c>
      <c r="AC39" s="1260">
        <f t="shared" si="14"/>
        <v>1</v>
      </c>
    </row>
    <row r="40" spans="1:29" ht="15">
      <c r="A40" s="409"/>
      <c r="B40" s="364" t="s">
        <v>1703</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418"/>
      <c r="Q40" s="1259" t="str">
        <f t="shared" si="8"/>
        <v>房型</v>
      </c>
      <c r="R40" s="667" t="s">
        <v>18</v>
      </c>
      <c r="S40" s="668">
        <f t="shared" si="9"/>
        <v>100</v>
      </c>
      <c r="T40" s="667" t="s">
        <v>18</v>
      </c>
      <c r="U40" s="668">
        <f t="shared" si="10"/>
        <v>100</v>
      </c>
      <c r="V40" s="667" t="s">
        <v>18</v>
      </c>
      <c r="W40" s="668">
        <f t="shared" si="11"/>
        <v>100</v>
      </c>
      <c r="X40" s="1261"/>
      <c r="Y40" s="3420"/>
      <c r="Z40" s="1260" t="str">
        <f t="shared" si="15"/>
        <v>房型</v>
      </c>
      <c r="AA40" s="1260">
        <f t="shared" si="12"/>
        <v>1</v>
      </c>
      <c r="AB40" s="1260">
        <f t="shared" si="13"/>
        <v>1</v>
      </c>
      <c r="AC40" s="1260">
        <f t="shared" si="14"/>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418"/>
      <c r="Q41" s="531" t="str">
        <f t="shared" si="8"/>
        <v>单套/主力户型建筑面积</v>
      </c>
      <c r="R41" s="669" t="s">
        <v>18</v>
      </c>
      <c r="S41" s="670">
        <f t="shared" si="9"/>
        <v>100</v>
      </c>
      <c r="T41" s="669" t="s">
        <v>18</v>
      </c>
      <c r="U41" s="670">
        <f t="shared" si="10"/>
        <v>100</v>
      </c>
      <c r="V41" s="669" t="s">
        <v>18</v>
      </c>
      <c r="W41" s="670">
        <f t="shared" si="11"/>
        <v>100</v>
      </c>
      <c r="X41" s="671"/>
      <c r="Y41" s="3420"/>
      <c r="Z41" s="672" t="str">
        <f t="shared" si="15"/>
        <v>单套/主力户型建筑面积</v>
      </c>
      <c r="AA41" s="1260">
        <f t="shared" si="12"/>
        <v>1</v>
      </c>
      <c r="AB41" s="1260">
        <f t="shared" si="13"/>
        <v>1</v>
      </c>
      <c r="AC41" s="1260">
        <f t="shared" si="14"/>
        <v>1</v>
      </c>
    </row>
    <row r="42" spans="1:29" ht="15">
      <c r="A42" s="409"/>
      <c r="B42" s="364" t="s">
        <v>1705</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418"/>
      <c r="Q42" s="1259" t="str">
        <f t="shared" si="8"/>
        <v>内部装修</v>
      </c>
      <c r="R42" s="667" t="s">
        <v>18</v>
      </c>
      <c r="S42" s="668">
        <f t="shared" si="9"/>
        <v>100</v>
      </c>
      <c r="T42" s="667" t="s">
        <v>18</v>
      </c>
      <c r="U42" s="668">
        <f t="shared" si="10"/>
        <v>100</v>
      </c>
      <c r="V42" s="667" t="s">
        <v>18</v>
      </c>
      <c r="W42" s="668">
        <f t="shared" si="11"/>
        <v>100</v>
      </c>
      <c r="X42" s="1261"/>
      <c r="Y42" s="3420"/>
      <c r="Z42" s="1260" t="str">
        <f t="shared" si="15"/>
        <v>内部装修</v>
      </c>
      <c r="AA42" s="1260">
        <f t="shared" si="12"/>
        <v>1</v>
      </c>
      <c r="AB42" s="1260">
        <f t="shared" si="13"/>
        <v>1</v>
      </c>
      <c r="AC42" s="1260">
        <f t="shared" si="14"/>
        <v>1</v>
      </c>
    </row>
    <row r="43" spans="1:29" ht="15">
      <c r="A43" s="409"/>
      <c r="B43" s="364" t="s">
        <v>1706</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418"/>
      <c r="Q43" s="1259" t="str">
        <f t="shared" si="8"/>
        <v>内部装修维护情况</v>
      </c>
      <c r="R43" s="667" t="s">
        <v>18</v>
      </c>
      <c r="S43" s="668">
        <f t="shared" si="9"/>
        <v>100</v>
      </c>
      <c r="T43" s="667" t="s">
        <v>18</v>
      </c>
      <c r="U43" s="668">
        <f t="shared" si="10"/>
        <v>100</v>
      </c>
      <c r="V43" s="667" t="s">
        <v>18</v>
      </c>
      <c r="W43" s="668">
        <f t="shared" si="11"/>
        <v>100</v>
      </c>
      <c r="X43" s="1261"/>
      <c r="Y43" s="3420"/>
      <c r="Z43" s="1260" t="str">
        <f t="shared" si="15"/>
        <v>内部装修维护情况</v>
      </c>
      <c r="AA43" s="1260">
        <f t="shared" si="12"/>
        <v>1</v>
      </c>
      <c r="AB43" s="1260">
        <f t="shared" si="13"/>
        <v>1</v>
      </c>
      <c r="AC43" s="1260">
        <f t="shared" si="14"/>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2"/>
      <c r="N44" s="2432"/>
      <c r="O44" s="2432"/>
      <c r="P44" s="3418"/>
      <c r="Q44" s="530">
        <f t="shared" si="8"/>
        <v>111</v>
      </c>
      <c r="R44" s="664" t="s">
        <v>18</v>
      </c>
      <c r="S44" s="665">
        <f t="shared" si="9"/>
        <v>100</v>
      </c>
      <c r="T44" s="664" t="s">
        <v>18</v>
      </c>
      <c r="U44" s="665">
        <f t="shared" si="10"/>
        <v>100</v>
      </c>
      <c r="V44" s="664" t="s">
        <v>18</v>
      </c>
      <c r="W44" s="665">
        <f t="shared" si="11"/>
        <v>100</v>
      </c>
      <c r="X44" s="666"/>
      <c r="Y44" s="3420"/>
      <c r="Z44" s="50">
        <f t="shared" si="15"/>
        <v>111</v>
      </c>
      <c r="AA44" s="50">
        <f t="shared" si="12"/>
        <v>1</v>
      </c>
      <c r="AB44" s="50">
        <f t="shared" si="13"/>
        <v>1</v>
      </c>
      <c r="AC44" s="50">
        <f t="shared" si="14"/>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418"/>
      <c r="Q45" s="1259">
        <f t="shared" si="8"/>
        <v>111</v>
      </c>
      <c r="R45" s="667" t="s">
        <v>18</v>
      </c>
      <c r="S45" s="668">
        <f t="shared" si="9"/>
        <v>100</v>
      </c>
      <c r="T45" s="667" t="s">
        <v>18</v>
      </c>
      <c r="U45" s="668">
        <f t="shared" si="10"/>
        <v>100</v>
      </c>
      <c r="V45" s="667" t="s">
        <v>18</v>
      </c>
      <c r="W45" s="668">
        <f t="shared" si="11"/>
        <v>100</v>
      </c>
      <c r="X45" s="1261"/>
      <c r="Y45" s="3420"/>
      <c r="Z45" s="1260">
        <f t="shared" si="15"/>
        <v>111</v>
      </c>
      <c r="AA45" s="1260">
        <f t="shared" si="12"/>
        <v>1</v>
      </c>
      <c r="AB45" s="1260">
        <f t="shared" si="13"/>
        <v>1</v>
      </c>
      <c r="AC45" s="1260">
        <f t="shared" si="14"/>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419"/>
      <c r="Q46" s="1259">
        <f t="shared" si="8"/>
        <v>111</v>
      </c>
      <c r="R46" s="667" t="s">
        <v>17</v>
      </c>
      <c r="S46" s="668">
        <f t="shared" si="9"/>
        <v>100</v>
      </c>
      <c r="T46" s="667" t="s">
        <v>17</v>
      </c>
      <c r="U46" s="668">
        <f t="shared" si="10"/>
        <v>100</v>
      </c>
      <c r="V46" s="667" t="s">
        <v>17</v>
      </c>
      <c r="W46" s="668">
        <f t="shared" si="11"/>
        <v>100</v>
      </c>
      <c r="X46" s="1261"/>
      <c r="Y46" s="3421"/>
      <c r="Z46" s="1260">
        <f t="shared" si="15"/>
        <v>111</v>
      </c>
      <c r="AA46" s="1260">
        <f t="shared" si="12"/>
        <v>1</v>
      </c>
      <c r="AB46" s="1260">
        <f t="shared" si="13"/>
        <v>1</v>
      </c>
      <c r="AC46" s="1260">
        <f t="shared" si="14"/>
        <v>1</v>
      </c>
    </row>
    <row r="47" spans="1:29" ht="15">
      <c r="A47" s="416" t="s">
        <v>1707</v>
      </c>
      <c r="B47" s="417"/>
      <c r="C47" s="1078" t="s">
        <v>16</v>
      </c>
      <c r="D47" s="418"/>
      <c r="E47" s="419"/>
      <c r="F47" s="420"/>
      <c r="G47" s="421"/>
      <c r="H47" s="422"/>
      <c r="I47" s="419"/>
      <c r="J47" s="422"/>
      <c r="K47" s="1763"/>
      <c r="L47" s="2486"/>
      <c r="M47" s="2479"/>
      <c r="N47" s="2479"/>
      <c r="O47" s="2479"/>
      <c r="P47" s="3422" t="str">
        <f>A47</f>
        <v>成交单价（元/平方米）</v>
      </c>
      <c r="Q47" s="3422"/>
      <c r="R47" s="3409">
        <f>E47</f>
        <v>0</v>
      </c>
      <c r="S47" s="3409"/>
      <c r="T47" s="3409">
        <f>G47</f>
        <v>0</v>
      </c>
      <c r="U47" s="3409"/>
      <c r="V47" s="3409">
        <f>I47</f>
        <v>0</v>
      </c>
      <c r="W47" s="3409"/>
      <c r="X47" s="385"/>
      <c r="Y47" s="673"/>
      <c r="Z47" s="385"/>
      <c r="AA47" s="385"/>
      <c r="AB47" s="385"/>
      <c r="AC47" s="385"/>
    </row>
    <row r="48" spans="1:29" ht="15.75" thickBot="1">
      <c r="A48" s="423" t="s">
        <v>1708</v>
      </c>
      <c r="B48" s="424"/>
      <c r="C48" s="1079" t="e">
        <f>R49</f>
        <v>#DIV/0!</v>
      </c>
      <c r="D48" s="2136" t="s">
        <v>2136</v>
      </c>
      <c r="E48" s="1080" t="e">
        <f>R48</f>
        <v>#DIV/0!</v>
      </c>
      <c r="F48" s="2137"/>
      <c r="G48" s="1079" t="e">
        <f>T48</f>
        <v>#DIV/0!</v>
      </c>
      <c r="H48" s="2137"/>
      <c r="I48" s="1080" t="e">
        <f>V48</f>
        <v>#DIV/0!</v>
      </c>
      <c r="J48" s="2137"/>
      <c r="K48" s="2138">
        <f>F48+H48+J48</f>
        <v>0</v>
      </c>
      <c r="L48" s="2486"/>
      <c r="M48" s="2479"/>
      <c r="N48" s="2479"/>
      <c r="O48" s="2479"/>
      <c r="P48" s="3422" t="str">
        <f>A48</f>
        <v>比较价值（元/平方米）</v>
      </c>
      <c r="Q48" s="3422"/>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1709</v>
      </c>
      <c r="B49" s="428"/>
      <c r="C49" s="1081" t="e">
        <f>R49</f>
        <v>#DIV/0!</v>
      </c>
      <c r="D49" s="351"/>
      <c r="E49" s="351"/>
      <c r="F49" s="351"/>
      <c r="G49" s="351"/>
      <c r="H49" s="351"/>
      <c r="I49" s="351"/>
      <c r="J49" s="351"/>
      <c r="K49" s="1764"/>
      <c r="L49" s="2486"/>
      <c r="M49" s="2479"/>
      <c r="N49" s="2479"/>
      <c r="O49" s="2479"/>
      <c r="P49" s="3436" t="str">
        <f>A49</f>
        <v>估价对象XX用房的比较价值（楼面单价，元/平方米）</v>
      </c>
      <c r="Q49" s="3437"/>
      <c r="R49" s="3487" t="e">
        <f>IF(F1="售价",ROUND(IF(D48="简单平均",AVERAGE(R48:V48),R48*F48+T48*H48+V48*J48),0),ROUND(IF(D48="简单平均",AVERAGE(R48:V48),R48*F48+T48*H48+V48*J48),1))</f>
        <v>#DIV/0!</v>
      </c>
      <c r="S49" s="3487"/>
      <c r="T49" s="3487"/>
      <c r="U49" s="3487"/>
      <c r="V49" s="3487"/>
      <c r="W49" s="3487"/>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1.75" thickBot="1">
      <c r="A57" s="658" t="s">
        <v>1713</v>
      </c>
      <c r="B57" s="385"/>
      <c r="C57" s="659"/>
      <c r="D57" s="659"/>
      <c r="E57" s="659"/>
      <c r="F57" s="660"/>
      <c r="G57" s="660"/>
      <c r="H57" s="659"/>
      <c r="I57" s="659"/>
      <c r="J57" s="659"/>
      <c r="K57" s="884"/>
      <c r="L57" s="885"/>
      <c r="M57" s="883"/>
      <c r="N57" s="883"/>
      <c r="O57" s="883"/>
      <c r="P57" s="1767"/>
      <c r="Q57" s="439"/>
    </row>
    <row r="58" spans="1:29" s="442" customFormat="1" ht="15">
      <c r="A58" s="440" t="s">
        <v>1714</v>
      </c>
      <c r="B58" s="441"/>
      <c r="C58" s="1101" t="str">
        <f>YEAR(C7)&amp;"-"&amp;MONTH(C7)</f>
        <v>2024-12</v>
      </c>
      <c r="D58" s="1100">
        <f>EDATE(C58,-1)</f>
        <v>45597</v>
      </c>
      <c r="E58" s="1100">
        <f>EDATE(D58,-1)</f>
        <v>45566</v>
      </c>
      <c r="F58" s="1100">
        <f t="shared" ref="F58:O58" si="16">EDATE(E58,-1)</f>
        <v>45536</v>
      </c>
      <c r="G58" s="1100">
        <f t="shared" si="16"/>
        <v>45505</v>
      </c>
      <c r="H58" s="1100">
        <f t="shared" si="16"/>
        <v>45474</v>
      </c>
      <c r="I58" s="1100">
        <f t="shared" si="16"/>
        <v>45444</v>
      </c>
      <c r="J58" s="1100">
        <f t="shared" si="16"/>
        <v>45413</v>
      </c>
      <c r="K58" s="1100">
        <f t="shared" si="16"/>
        <v>45383</v>
      </c>
      <c r="L58" s="1100">
        <f t="shared" si="16"/>
        <v>45352</v>
      </c>
      <c r="M58" s="1100">
        <f t="shared" si="16"/>
        <v>45323</v>
      </c>
      <c r="N58" s="1100">
        <f t="shared" si="16"/>
        <v>45292</v>
      </c>
      <c r="O58" s="1100">
        <f t="shared" si="16"/>
        <v>45261</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1715</v>
      </c>
      <c r="B60" s="450"/>
      <c r="C60" s="451"/>
      <c r="D60" s="452"/>
      <c r="E60" s="452"/>
      <c r="F60" s="452"/>
      <c r="G60" s="452"/>
      <c r="H60" s="452"/>
      <c r="I60" s="452"/>
      <c r="J60" s="452"/>
      <c r="K60" s="452"/>
      <c r="L60" s="452"/>
      <c r="M60" s="453"/>
      <c r="N60" s="452"/>
      <c r="O60" s="453"/>
      <c r="P60" s="1769"/>
      <c r="Q60" s="439"/>
    </row>
    <row r="61" spans="1:29" s="102" customFormat="1" ht="15">
      <c r="A61" s="455" t="s">
        <v>1716</v>
      </c>
      <c r="B61" s="444"/>
      <c r="C61" s="456" t="s">
        <v>1717</v>
      </c>
      <c r="D61" s="31"/>
      <c r="E61" s="31"/>
      <c r="F61" s="31"/>
      <c r="G61" s="31"/>
      <c r="H61" s="31"/>
      <c r="I61" s="31"/>
      <c r="J61" s="31"/>
      <c r="K61" s="31"/>
      <c r="L61" s="457"/>
      <c r="M61" s="458"/>
      <c r="N61" s="875"/>
      <c r="O61" s="875"/>
      <c r="P61" s="1770"/>
      <c r="Q61" s="439"/>
    </row>
    <row r="62" spans="1:29" s="102" customFormat="1" ht="15.75" thickBot="1">
      <c r="A62" s="455"/>
      <c r="B62" s="444"/>
      <c r="C62" s="445">
        <v>100</v>
      </c>
      <c r="D62" s="446"/>
      <c r="E62" s="446"/>
      <c r="F62" s="446"/>
      <c r="G62" s="446"/>
      <c r="H62" s="446"/>
      <c r="I62" s="446"/>
      <c r="J62" s="446"/>
      <c r="K62" s="446"/>
      <c r="L62" s="446"/>
      <c r="M62" s="448"/>
      <c r="N62" s="875"/>
      <c r="O62" s="875"/>
      <c r="P62" s="1769"/>
      <c r="Q62" s="439"/>
    </row>
    <row r="63" spans="1:29">
      <c r="A63" s="379" t="s">
        <v>1718</v>
      </c>
      <c r="B63" s="460" t="s">
        <v>1684</v>
      </c>
      <c r="C63" s="461">
        <f>C9</f>
        <v>0</v>
      </c>
      <c r="D63" s="462"/>
      <c r="E63" s="462"/>
      <c r="F63" s="462"/>
      <c r="G63" s="462"/>
      <c r="H63" s="462"/>
      <c r="I63" s="462"/>
      <c r="J63" s="462"/>
      <c r="K63" s="463"/>
      <c r="L63" s="464"/>
      <c r="M63" s="465"/>
      <c r="N63" s="876"/>
      <c r="O63" s="876"/>
      <c r="P63" s="1771"/>
      <c r="Q63" s="439"/>
    </row>
    <row r="64" spans="1:29" ht="15.75" thickBot="1">
      <c r="A64" s="367"/>
      <c r="B64" s="466"/>
      <c r="C64" s="467">
        <v>100</v>
      </c>
      <c r="D64" s="467"/>
      <c r="E64" s="467"/>
      <c r="F64" s="467"/>
      <c r="G64" s="467"/>
      <c r="H64" s="467"/>
      <c r="I64" s="467"/>
      <c r="J64" s="467"/>
      <c r="K64" s="467"/>
      <c r="L64" s="467"/>
      <c r="M64" s="468"/>
      <c r="N64" s="877"/>
      <c r="O64" s="877"/>
      <c r="P64" s="1771"/>
      <c r="Q64" s="439"/>
    </row>
    <row r="65" spans="1:17" ht="27.75" thickTop="1">
      <c r="A65" s="367"/>
      <c r="B65" s="469" t="s">
        <v>1687</v>
      </c>
      <c r="C65" s="513"/>
      <c r="D65" s="513"/>
      <c r="E65" s="513"/>
      <c r="F65" s="513"/>
      <c r="G65" s="513"/>
      <c r="H65" s="513"/>
      <c r="I65" s="513"/>
      <c r="J65" s="513"/>
      <c r="K65" s="513"/>
      <c r="L65" s="513"/>
      <c r="M65" s="513"/>
      <c r="N65" s="877"/>
      <c r="O65" s="877"/>
      <c r="P65" s="1771"/>
      <c r="Q65" s="439"/>
    </row>
    <row r="66" spans="1:17" ht="15.75" thickBot="1">
      <c r="A66" s="367"/>
      <c r="B66" s="474"/>
      <c r="C66" s="467"/>
      <c r="D66" s="467"/>
      <c r="E66" s="467"/>
      <c r="F66" s="467"/>
      <c r="G66" s="467"/>
      <c r="H66" s="467"/>
      <c r="I66" s="467"/>
      <c r="J66" s="467"/>
      <c r="K66" s="467"/>
      <c r="L66" s="467"/>
      <c r="M66" s="468"/>
      <c r="N66" s="877"/>
      <c r="O66" s="877"/>
      <c r="P66" s="1771"/>
      <c r="Q66" s="439"/>
    </row>
    <row r="67" spans="1:17"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77"/>
      <c r="O67" s="877"/>
      <c r="P67" s="1771"/>
      <c r="Q67" s="439"/>
    </row>
    <row r="68" spans="1:17" ht="15">
      <c r="A68" s="367"/>
      <c r="B68" s="479"/>
      <c r="C68" s="480"/>
      <c r="D68" s="480"/>
      <c r="E68" s="480"/>
      <c r="F68" s="480"/>
      <c r="G68" s="480"/>
      <c r="H68" s="480"/>
      <c r="I68" s="480"/>
      <c r="J68" s="480"/>
      <c r="K68" s="481"/>
      <c r="L68" s="482"/>
      <c r="M68" s="483"/>
      <c r="N68" s="876"/>
      <c r="O68" s="876"/>
      <c r="P68" s="1771"/>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77"/>
      <c r="O69" s="877"/>
      <c r="P69" s="1771"/>
      <c r="Q69" s="439"/>
    </row>
    <row r="70" spans="1:17" s="408" customFormat="1" ht="15.75" thickTop="1">
      <c r="A70" s="484"/>
      <c r="B70" s="469">
        <f>B12</f>
        <v>111</v>
      </c>
      <c r="C70" s="485"/>
      <c r="D70" s="485"/>
      <c r="E70" s="485"/>
      <c r="F70" s="485"/>
      <c r="G70" s="485"/>
      <c r="H70" s="486"/>
      <c r="I70" s="486"/>
      <c r="J70" s="486"/>
      <c r="K70" s="486"/>
      <c r="L70" s="487"/>
      <c r="M70" s="488"/>
      <c r="N70" s="878"/>
      <c r="O70" s="878"/>
      <c r="P70" s="1772"/>
      <c r="Q70" s="490"/>
    </row>
    <row r="71" spans="1:17" s="408" customFormat="1" ht="15.75" thickBot="1">
      <c r="A71" s="484"/>
      <c r="B71" s="474"/>
      <c r="C71" s="491"/>
      <c r="D71" s="467"/>
      <c r="E71" s="467"/>
      <c r="F71" s="467"/>
      <c r="G71" s="467"/>
      <c r="H71" s="467"/>
      <c r="I71" s="467"/>
      <c r="J71" s="467"/>
      <c r="K71" s="467"/>
      <c r="L71" s="467"/>
      <c r="M71" s="468"/>
      <c r="N71" s="877"/>
      <c r="O71" s="877"/>
      <c r="P71" s="1772"/>
      <c r="Q71" s="490"/>
    </row>
    <row r="72" spans="1:17" s="408" customFormat="1" ht="15.75" thickTop="1">
      <c r="A72" s="484"/>
      <c r="B72" s="469">
        <f>B13</f>
        <v>111</v>
      </c>
      <c r="C72" s="485"/>
      <c r="D72" s="485"/>
      <c r="E72" s="485"/>
      <c r="F72" s="485"/>
      <c r="G72" s="485"/>
      <c r="H72" s="486"/>
      <c r="I72" s="486"/>
      <c r="J72" s="486"/>
      <c r="K72" s="486"/>
      <c r="L72" s="487"/>
      <c r="M72" s="488"/>
      <c r="N72" s="878"/>
      <c r="O72" s="878"/>
      <c r="P72" s="1773"/>
      <c r="Q72" s="492"/>
    </row>
    <row r="73" spans="1:17" s="408" customFormat="1" ht="15.75" thickBot="1">
      <c r="A73" s="484"/>
      <c r="B73" s="474"/>
      <c r="C73" s="491"/>
      <c r="D73" s="491"/>
      <c r="E73" s="491"/>
      <c r="F73" s="491"/>
      <c r="G73" s="491"/>
      <c r="H73" s="493"/>
      <c r="I73" s="493"/>
      <c r="J73" s="493"/>
      <c r="K73" s="493"/>
      <c r="L73" s="493"/>
      <c r="M73" s="494"/>
      <c r="N73" s="878"/>
      <c r="O73" s="878"/>
      <c r="P73" s="1772"/>
      <c r="Q73" s="490"/>
    </row>
    <row r="74" spans="1:17" s="408" customFormat="1" ht="15.75" thickTop="1">
      <c r="A74" s="484"/>
      <c r="B74" s="477">
        <f>B14</f>
        <v>111</v>
      </c>
      <c r="C74" s="485"/>
      <c r="D74" s="485"/>
      <c r="E74" s="485"/>
      <c r="F74" s="485"/>
      <c r="G74" s="31"/>
      <c r="H74" s="495"/>
      <c r="I74" s="495"/>
      <c r="J74" s="495"/>
      <c r="K74" s="495"/>
      <c r="L74" s="496"/>
      <c r="M74" s="497"/>
      <c r="N74" s="878"/>
      <c r="O74" s="878"/>
      <c r="P74" s="1774"/>
      <c r="Q74" s="490"/>
    </row>
    <row r="75" spans="1:17" s="408" customFormat="1" ht="15.75" thickBot="1">
      <c r="A75" s="499"/>
      <c r="B75" s="500"/>
      <c r="C75" s="501"/>
      <c r="D75" s="501"/>
      <c r="E75" s="501"/>
      <c r="F75" s="501"/>
      <c r="G75" s="501"/>
      <c r="H75" s="502"/>
      <c r="I75" s="502"/>
      <c r="J75" s="502"/>
      <c r="K75" s="502"/>
      <c r="L75" s="502"/>
      <c r="M75" s="503"/>
      <c r="N75" s="878"/>
      <c r="O75" s="878"/>
      <c r="P75" s="1772"/>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6"/>
      <c r="O76" s="876"/>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6"/>
      <c r="O78" s="876"/>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6"/>
      <c r="O80" s="876"/>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75" thickTop="1">
      <c r="A82" s="367"/>
      <c r="B82" s="477" t="s">
        <v>1259</v>
      </c>
      <c r="C82" s="470" t="s">
        <v>1727</v>
      </c>
      <c r="D82" s="470" t="s">
        <v>1728</v>
      </c>
      <c r="E82" s="470" t="s">
        <v>1729</v>
      </c>
      <c r="F82" s="470" t="s">
        <v>1730</v>
      </c>
      <c r="G82" s="470" t="s">
        <v>1731</v>
      </c>
      <c r="H82" s="470"/>
      <c r="I82" s="470"/>
      <c r="J82" s="470"/>
      <c r="K82" s="470"/>
      <c r="L82" s="470"/>
      <c r="M82" s="1060"/>
      <c r="N82" s="877"/>
      <c r="O82" s="877"/>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77"/>
      <c r="O83" s="877"/>
      <c r="P83" s="1771"/>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6"/>
      <c r="O84" s="876"/>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75" thickTop="1">
      <c r="A86" s="370"/>
      <c r="B86" s="469" t="s">
        <v>1733</v>
      </c>
      <c r="C86" s="485"/>
      <c r="D86" s="485"/>
      <c r="E86" s="485"/>
      <c r="F86" s="485"/>
      <c r="G86" s="485"/>
      <c r="H86" s="485"/>
      <c r="I86" s="485"/>
      <c r="J86" s="485"/>
      <c r="K86" s="485"/>
      <c r="L86" s="510"/>
      <c r="M86" s="511"/>
      <c r="N86" s="875"/>
      <c r="O86" s="875"/>
      <c r="P86" s="1771"/>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77"/>
      <c r="O87" s="877"/>
      <c r="P87" s="1771"/>
      <c r="Q87" s="439"/>
    </row>
    <row r="88" spans="1:17" s="102" customFormat="1" ht="15.75" thickTop="1">
      <c r="A88" s="370"/>
      <c r="B88" s="469" t="s">
        <v>1734</v>
      </c>
      <c r="C88" s="485"/>
      <c r="D88" s="485"/>
      <c r="E88" s="485"/>
      <c r="F88" s="1776"/>
      <c r="G88" s="485"/>
      <c r="H88" s="485"/>
      <c r="I88" s="485"/>
      <c r="J88" s="485"/>
      <c r="K88" s="485"/>
      <c r="L88" s="485"/>
      <c r="M88" s="511"/>
      <c r="N88" s="875"/>
      <c r="O88" s="875"/>
      <c r="P88" s="1771"/>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77"/>
      <c r="O89" s="877"/>
      <c r="P89" s="1771"/>
      <c r="Q89" s="439"/>
    </row>
    <row r="90" spans="1:17" s="408" customFormat="1" ht="15.75" thickTop="1">
      <c r="A90" s="484"/>
      <c r="B90" s="469">
        <f>B27</f>
        <v>111</v>
      </c>
      <c r="C90" s="485"/>
      <c r="D90" s="485"/>
      <c r="E90" s="485"/>
      <c r="F90" s="485"/>
      <c r="G90" s="485"/>
      <c r="H90" s="486"/>
      <c r="I90" s="486"/>
      <c r="J90" s="486"/>
      <c r="K90" s="486"/>
      <c r="L90" s="487"/>
      <c r="M90" s="488"/>
      <c r="N90" s="878"/>
      <c r="O90" s="878"/>
      <c r="P90" s="1772"/>
      <c r="Q90" s="490"/>
    </row>
    <row r="91" spans="1:17" s="408" customFormat="1" ht="15.75" thickBot="1">
      <c r="A91" s="484"/>
      <c r="B91" s="474"/>
      <c r="C91" s="491"/>
      <c r="D91" s="491"/>
      <c r="E91" s="491"/>
      <c r="F91" s="491"/>
      <c r="G91" s="491"/>
      <c r="H91" s="493"/>
      <c r="I91" s="493"/>
      <c r="J91" s="493"/>
      <c r="K91" s="493"/>
      <c r="L91" s="493"/>
      <c r="M91" s="494"/>
      <c r="N91" s="878"/>
      <c r="O91" s="878"/>
      <c r="P91" s="1772"/>
      <c r="Q91" s="490"/>
    </row>
    <row r="92" spans="1:17" ht="15.75" thickTop="1">
      <c r="A92" s="367"/>
      <c r="B92" s="469">
        <f>B28</f>
        <v>111</v>
      </c>
      <c r="C92" s="485"/>
      <c r="D92" s="485"/>
      <c r="E92" s="485"/>
      <c r="F92" s="485"/>
      <c r="G92" s="513"/>
      <c r="H92" s="513"/>
      <c r="I92" s="513"/>
      <c r="J92" s="513"/>
      <c r="K92" s="514"/>
      <c r="L92" s="515"/>
      <c r="M92" s="516"/>
      <c r="N92" s="876"/>
      <c r="O92" s="876"/>
      <c r="P92" s="1771"/>
      <c r="Q92" s="439"/>
    </row>
    <row r="93" spans="1:17" ht="15.75" thickBot="1">
      <c r="A93" s="367"/>
      <c r="B93" s="474"/>
      <c r="C93" s="491"/>
      <c r="D93" s="467"/>
      <c r="E93" s="467"/>
      <c r="F93" s="467"/>
      <c r="G93" s="467"/>
      <c r="H93" s="467"/>
      <c r="I93" s="467"/>
      <c r="J93" s="467"/>
      <c r="K93" s="467"/>
      <c r="L93" s="467"/>
      <c r="M93" s="468"/>
      <c r="N93" s="877"/>
      <c r="O93" s="877"/>
      <c r="P93" s="1771"/>
      <c r="Q93" s="439"/>
    </row>
    <row r="94" spans="1:17" ht="15.75" thickTop="1">
      <c r="A94" s="367"/>
      <c r="B94" s="469">
        <f>B29</f>
        <v>111</v>
      </c>
      <c r="C94" s="485"/>
      <c r="D94" s="485"/>
      <c r="E94" s="485"/>
      <c r="F94" s="485"/>
      <c r="G94" s="513"/>
      <c r="H94" s="513"/>
      <c r="I94" s="513"/>
      <c r="J94" s="513"/>
      <c r="K94" s="514"/>
      <c r="L94" s="515"/>
      <c r="M94" s="516"/>
      <c r="N94" s="876"/>
      <c r="O94" s="876"/>
      <c r="P94" s="1771"/>
      <c r="Q94" s="439"/>
    </row>
    <row r="95" spans="1:17" ht="15.75" thickBot="1">
      <c r="A95" s="367"/>
      <c r="B95" s="474"/>
      <c r="C95" s="491"/>
      <c r="D95" s="491"/>
      <c r="E95" s="491"/>
      <c r="F95" s="491"/>
      <c r="G95" s="467"/>
      <c r="H95" s="467"/>
      <c r="I95" s="467"/>
      <c r="J95" s="467"/>
      <c r="K95" s="467"/>
      <c r="L95" s="467"/>
      <c r="M95" s="468"/>
      <c r="N95" s="877"/>
      <c r="O95" s="877"/>
      <c r="P95" s="1771"/>
      <c r="Q95" s="439"/>
    </row>
    <row r="96" spans="1:17" ht="15.75" thickTop="1">
      <c r="A96" s="367"/>
      <c r="B96" s="469">
        <f>B30</f>
        <v>111</v>
      </c>
      <c r="C96" s="485"/>
      <c r="D96" s="485"/>
      <c r="E96" s="485"/>
      <c r="F96" s="485"/>
      <c r="G96" s="513"/>
      <c r="H96" s="513"/>
      <c r="I96" s="513"/>
      <c r="J96" s="513"/>
      <c r="K96" s="514"/>
      <c r="L96" s="515"/>
      <c r="M96" s="516"/>
      <c r="N96" s="876"/>
      <c r="O96" s="876"/>
      <c r="P96" s="1771"/>
      <c r="Q96" s="439"/>
    </row>
    <row r="97" spans="1:17" ht="15.75" thickBot="1">
      <c r="A97" s="367"/>
      <c r="B97" s="474"/>
      <c r="C97" s="501"/>
      <c r="D97" s="501"/>
      <c r="E97" s="501"/>
      <c r="F97" s="501"/>
      <c r="G97" s="467"/>
      <c r="H97" s="467"/>
      <c r="I97" s="467"/>
      <c r="J97" s="467"/>
      <c r="K97" s="467"/>
      <c r="L97" s="467"/>
      <c r="M97" s="468"/>
      <c r="N97" s="877"/>
      <c r="O97" s="877"/>
      <c r="P97" s="1771"/>
      <c r="Q97" s="439"/>
    </row>
    <row r="98" spans="1:17" ht="15.75" thickTop="1">
      <c r="A98" s="367"/>
      <c r="B98" s="477">
        <f>B31</f>
        <v>111</v>
      </c>
      <c r="C98" s="517"/>
      <c r="D98" s="517"/>
      <c r="E98" s="517"/>
      <c r="F98" s="517"/>
      <c r="G98" s="517"/>
      <c r="H98" s="517"/>
      <c r="I98" s="517"/>
      <c r="J98" s="517"/>
      <c r="K98" s="518"/>
      <c r="L98" s="519"/>
      <c r="M98" s="520"/>
      <c r="N98" s="876"/>
      <c r="O98" s="876"/>
      <c r="P98" s="1771"/>
      <c r="Q98" s="439"/>
    </row>
    <row r="99" spans="1:17" ht="15.75" thickBot="1">
      <c r="A99" s="375"/>
      <c r="B99" s="500"/>
      <c r="C99" s="521"/>
      <c r="D99" s="521"/>
      <c r="E99" s="521"/>
      <c r="F99" s="521"/>
      <c r="G99" s="521"/>
      <c r="H99" s="521"/>
      <c r="I99" s="521"/>
      <c r="J99" s="521"/>
      <c r="K99" s="521"/>
      <c r="L99" s="521"/>
      <c r="M99" s="522"/>
      <c r="N99" s="877"/>
      <c r="O99" s="877"/>
      <c r="P99" s="1771"/>
      <c r="Q99" s="439"/>
    </row>
    <row r="100" spans="1:17">
      <c r="A100" s="379" t="s">
        <v>1693</v>
      </c>
      <c r="B100" s="460" t="s">
        <v>1735</v>
      </c>
      <c r="C100" s="462"/>
      <c r="D100" s="462"/>
      <c r="E100" s="462"/>
      <c r="F100" s="462"/>
      <c r="G100" s="462"/>
      <c r="H100" s="462"/>
      <c r="I100" s="462"/>
      <c r="J100" s="462"/>
      <c r="K100" s="463"/>
      <c r="L100" s="464"/>
      <c r="M100" s="465"/>
      <c r="N100" s="876"/>
      <c r="O100" s="876"/>
      <c r="P100" s="1771"/>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7"/>
      <c r="O101" s="877"/>
      <c r="P101" s="1771"/>
      <c r="Q101" s="439"/>
    </row>
    <row r="102" spans="1:17" ht="15.75" thickTop="1">
      <c r="A102" s="367"/>
      <c r="B102" s="469" t="s">
        <v>1736</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5.75"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1737</v>
      </c>
      <c r="C105" s="485"/>
      <c r="D105" s="485"/>
      <c r="E105" s="513"/>
      <c r="F105" s="513"/>
      <c r="G105" s="513"/>
      <c r="H105" s="513"/>
      <c r="I105" s="513"/>
      <c r="J105" s="513"/>
      <c r="K105" s="514"/>
      <c r="L105" s="515"/>
      <c r="M105" s="516"/>
      <c r="N105" s="876"/>
      <c r="O105" s="876"/>
      <c r="P105" s="1771"/>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77"/>
      <c r="O106" s="877"/>
      <c r="P106" s="1771"/>
      <c r="Q106" s="439"/>
    </row>
    <row r="107" spans="1:17" ht="15" thickTop="1">
      <c r="A107" s="409"/>
      <c r="B107" s="469" t="s">
        <v>1738</v>
      </c>
      <c r="C107" s="513"/>
      <c r="D107" s="513"/>
      <c r="E107" s="513"/>
      <c r="F107" s="513"/>
      <c r="G107" s="513"/>
      <c r="H107" s="513"/>
      <c r="I107" s="513"/>
      <c r="J107" s="513"/>
      <c r="K107" s="514"/>
      <c r="L107" s="515"/>
      <c r="M107" s="516"/>
      <c r="N107" s="876"/>
      <c r="O107" s="876"/>
      <c r="P107" s="1771"/>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77"/>
      <c r="O108" s="877"/>
      <c r="P108" s="1771"/>
      <c r="Q108" s="439"/>
    </row>
    <row r="109" spans="1:17" ht="15" thickTop="1">
      <c r="A109" s="409"/>
      <c r="B109" s="469" t="s">
        <v>1739</v>
      </c>
      <c r="C109" s="485"/>
      <c r="D109" s="485"/>
      <c r="E109" s="485"/>
      <c r="F109" s="513"/>
      <c r="G109" s="513"/>
      <c r="H109" s="513"/>
      <c r="I109" s="513"/>
      <c r="J109" s="513"/>
      <c r="K109" s="514"/>
      <c r="L109" s="515"/>
      <c r="M109" s="516"/>
      <c r="N109" s="876"/>
      <c r="O109" s="876"/>
      <c r="P109" s="1771"/>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77"/>
      <c r="O110" s="877"/>
      <c r="P110" s="1771"/>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1740</v>
      </c>
      <c r="C114" s="485"/>
      <c r="D114" s="485"/>
      <c r="E114" s="513"/>
      <c r="F114" s="513"/>
      <c r="G114" s="513"/>
      <c r="H114" s="513"/>
      <c r="I114" s="513"/>
      <c r="J114" s="513"/>
      <c r="K114" s="514"/>
      <c r="L114" s="515"/>
      <c r="M114" s="516"/>
      <c r="N114" s="876"/>
      <c r="O114" s="876"/>
      <c r="P114" s="1771"/>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77"/>
      <c r="O115" s="877"/>
      <c r="P115" s="1771"/>
      <c r="Q115" s="439"/>
    </row>
    <row r="116" spans="1:17" ht="15" thickTop="1">
      <c r="A116" s="409"/>
      <c r="B116" s="469" t="s">
        <v>1741</v>
      </c>
      <c r="C116" s="485"/>
      <c r="D116" s="485"/>
      <c r="E116" s="485"/>
      <c r="F116" s="485"/>
      <c r="G116" s="485"/>
      <c r="H116" s="513"/>
      <c r="I116" s="513"/>
      <c r="J116" s="513"/>
      <c r="K116" s="514"/>
      <c r="L116" s="515"/>
      <c r="M116" s="516"/>
      <c r="N116" s="876"/>
      <c r="O116" s="876"/>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1742</v>
      </c>
      <c r="C118" s="513"/>
      <c r="D118" s="513"/>
      <c r="E118" s="513"/>
      <c r="F118" s="513"/>
      <c r="G118" s="513"/>
      <c r="H118" s="513"/>
      <c r="I118" s="513"/>
      <c r="J118" s="513"/>
      <c r="K118" s="514"/>
      <c r="L118" s="515"/>
      <c r="M118" s="516"/>
      <c r="N118" s="876"/>
      <c r="O118" s="876"/>
      <c r="P118" s="1771"/>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77"/>
      <c r="O119" s="877"/>
      <c r="P119" s="1771"/>
      <c r="Q119" s="439"/>
    </row>
    <row r="120" spans="1:17" s="408" customFormat="1" ht="28.5" thickTop="1">
      <c r="A120" s="406"/>
      <c r="B120" s="469" t="s">
        <v>1704</v>
      </c>
      <c r="C120" s="485"/>
      <c r="D120" s="485"/>
      <c r="E120" s="485"/>
      <c r="F120" s="485"/>
      <c r="G120" s="485"/>
      <c r="H120" s="485"/>
      <c r="I120" s="485"/>
      <c r="J120" s="485"/>
      <c r="K120" s="485"/>
      <c r="L120" s="510"/>
      <c r="M120" s="511"/>
      <c r="N120" s="878"/>
      <c r="O120" s="878"/>
      <c r="P120" s="1772"/>
      <c r="Q120" s="490"/>
    </row>
    <row r="121" spans="1:17" s="408" customFormat="1" ht="15.75"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1743</v>
      </c>
      <c r="C122" s="485"/>
      <c r="D122" s="485"/>
      <c r="E122" s="485"/>
      <c r="F122" s="513"/>
      <c r="G122" s="513"/>
      <c r="H122" s="513"/>
      <c r="I122" s="513"/>
      <c r="J122" s="513"/>
      <c r="K122" s="514"/>
      <c r="L122" s="515"/>
      <c r="M122" s="516"/>
      <c r="N122" s="876"/>
      <c r="O122" s="876"/>
      <c r="P122" s="1771"/>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77"/>
      <c r="O123" s="877"/>
      <c r="P123" s="1771"/>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6"/>
      <c r="O124" s="876"/>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5.75" thickBot="1">
      <c r="A127" s="484"/>
      <c r="B127" s="474"/>
      <c r="C127" s="491"/>
      <c r="D127" s="467"/>
      <c r="E127" s="467"/>
      <c r="F127" s="467"/>
      <c r="G127" s="491"/>
      <c r="H127" s="493"/>
      <c r="I127" s="493"/>
      <c r="J127" s="493"/>
      <c r="K127" s="493"/>
      <c r="L127" s="493"/>
      <c r="M127" s="494"/>
      <c r="N127" s="878"/>
      <c r="O127" s="878"/>
      <c r="P127" s="1772"/>
      <c r="Q127" s="490"/>
    </row>
    <row r="128" spans="1:17" ht="15" thickTop="1">
      <c r="A128" s="409"/>
      <c r="B128" s="469">
        <f>B45</f>
        <v>111</v>
      </c>
      <c r="C128" s="485"/>
      <c r="D128" s="485"/>
      <c r="E128" s="485"/>
      <c r="F128" s="485"/>
      <c r="G128" s="513"/>
      <c r="H128" s="513"/>
      <c r="I128" s="513"/>
      <c r="J128" s="513"/>
      <c r="K128" s="514"/>
      <c r="L128" s="515"/>
      <c r="M128" s="516"/>
      <c r="N128" s="876"/>
      <c r="O128" s="876"/>
      <c r="P128" s="1771"/>
      <c r="Q128" s="439"/>
    </row>
    <row r="129" spans="1:17" ht="15.75" thickBot="1">
      <c r="A129" s="367"/>
      <c r="B129" s="474"/>
      <c r="C129" s="491"/>
      <c r="D129" s="491"/>
      <c r="E129" s="491"/>
      <c r="F129" s="491"/>
      <c r="G129" s="467"/>
      <c r="H129" s="467"/>
      <c r="I129" s="467"/>
      <c r="J129" s="467"/>
      <c r="K129" s="467"/>
      <c r="L129" s="467"/>
      <c r="M129" s="468"/>
      <c r="N129" s="877"/>
      <c r="O129" s="877"/>
      <c r="P129" s="1771"/>
      <c r="Q129" s="439"/>
    </row>
    <row r="130" spans="1:17" ht="15" thickTop="1">
      <c r="A130" s="409"/>
      <c r="B130" s="477">
        <f>B46</f>
        <v>111</v>
      </c>
      <c r="C130" s="485"/>
      <c r="D130" s="485"/>
      <c r="E130" s="485"/>
      <c r="F130" s="485"/>
      <c r="G130" s="517"/>
      <c r="H130" s="517"/>
      <c r="I130" s="517"/>
      <c r="J130" s="517"/>
      <c r="K130" s="31"/>
      <c r="L130" s="457"/>
      <c r="M130" s="520"/>
      <c r="N130" s="876"/>
      <c r="O130" s="876"/>
      <c r="P130" s="1771"/>
      <c r="Q130" s="439"/>
    </row>
    <row r="131" spans="1:17" ht="15.75"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1745</v>
      </c>
    </row>
    <row r="137" spans="1:17" ht="15">
      <c r="B137" s="1778" t="s">
        <v>1746</v>
      </c>
      <c r="C137" s="1779"/>
      <c r="D137" s="1779"/>
      <c r="E137" s="1779"/>
      <c r="F137" s="1779"/>
      <c r="G137" s="1780"/>
      <c r="H137" s="1781"/>
      <c r="I137" s="1782" t="s">
        <v>1747</v>
      </c>
      <c r="J137" s="1779"/>
      <c r="K137" s="1783"/>
    </row>
    <row r="138" spans="1:17" ht="15">
      <c r="B138" s="1784"/>
      <c r="C138" s="129" t="s">
        <v>1748</v>
      </c>
      <c r="D138" s="129" t="s">
        <v>1749</v>
      </c>
      <c r="E138" s="1785" t="s">
        <v>1750</v>
      </c>
      <c r="F138" s="1786" t="s">
        <v>1751</v>
      </c>
      <c r="G138" s="129" t="s">
        <v>1749</v>
      </c>
      <c r="H138" s="130" t="s">
        <v>1750</v>
      </c>
      <c r="I138" s="1787"/>
      <c r="J138" s="129" t="s">
        <v>1752</v>
      </c>
      <c r="K138" s="130" t="s">
        <v>1753</v>
      </c>
    </row>
    <row r="139" spans="1:17" ht="15">
      <c r="B139" s="811">
        <v>6</v>
      </c>
      <c r="C139" s="812">
        <v>96</v>
      </c>
      <c r="D139" s="1788" t="s">
        <v>1754</v>
      </c>
      <c r="E139" s="813">
        <v>100</v>
      </c>
      <c r="F139" s="814">
        <v>102.5</v>
      </c>
      <c r="G139" s="1788" t="s">
        <v>1754</v>
      </c>
      <c r="H139" s="815">
        <v>105</v>
      </c>
      <c r="I139" s="1789" t="s">
        <v>1755</v>
      </c>
      <c r="J139" s="812">
        <v>20</v>
      </c>
      <c r="K139" s="816">
        <f>C145/(J139-2)</f>
        <v>4.0555555555555553E-3</v>
      </c>
    </row>
    <row r="140" spans="1:17" ht="15">
      <c r="B140" s="817">
        <v>5</v>
      </c>
      <c r="C140" s="818">
        <v>100</v>
      </c>
      <c r="D140" s="818"/>
      <c r="E140" s="819"/>
      <c r="F140" s="820">
        <v>102</v>
      </c>
      <c r="G140" s="818"/>
      <c r="H140" s="821"/>
      <c r="I140" s="1790" t="s">
        <v>1756</v>
      </c>
      <c r="J140" s="263">
        <f>ROUNDUP((J139-1)/2,0)</f>
        <v>10</v>
      </c>
      <c r="K140" s="822">
        <v>100</v>
      </c>
    </row>
    <row r="141" spans="1:17" ht="15">
      <c r="B141" s="817">
        <v>4</v>
      </c>
      <c r="C141" s="818">
        <v>102</v>
      </c>
      <c r="D141" s="818"/>
      <c r="E141" s="819"/>
      <c r="F141" s="820">
        <v>101.5</v>
      </c>
      <c r="G141" s="818"/>
      <c r="H141" s="821"/>
      <c r="I141" s="1790" t="s">
        <v>1757</v>
      </c>
      <c r="J141" s="263">
        <v>1</v>
      </c>
      <c r="K141" s="823">
        <f>ROUND(100+(J141-J140)*K139*100,1)</f>
        <v>96.4</v>
      </c>
    </row>
    <row r="142" spans="1:17" ht="15">
      <c r="B142" s="817">
        <v>3</v>
      </c>
      <c r="C142" s="818">
        <v>103</v>
      </c>
      <c r="D142" s="818"/>
      <c r="E142" s="819"/>
      <c r="F142" s="820">
        <v>101</v>
      </c>
      <c r="G142" s="818"/>
      <c r="H142" s="821"/>
      <c r="I142" s="1790" t="s">
        <v>1758</v>
      </c>
      <c r="J142" s="263">
        <f>J139</f>
        <v>20</v>
      </c>
      <c r="K142" s="824">
        <v>95</v>
      </c>
    </row>
    <row r="143" spans="1:17" ht="15">
      <c r="B143" s="817">
        <v>2</v>
      </c>
      <c r="C143" s="818">
        <v>100</v>
      </c>
      <c r="D143" s="818"/>
      <c r="E143" s="819"/>
      <c r="F143" s="820">
        <v>100.5</v>
      </c>
      <c r="G143" s="818"/>
      <c r="H143" s="821"/>
      <c r="I143" s="1790" t="s">
        <v>1759</v>
      </c>
      <c r="J143" s="818">
        <v>15</v>
      </c>
      <c r="K143" s="823">
        <f>ROUND(100+(J143-J140)*K139*100,1)</f>
        <v>102</v>
      </c>
    </row>
    <row r="144" spans="1:17" ht="15">
      <c r="B144" s="817">
        <v>1</v>
      </c>
      <c r="C144" s="818">
        <v>98</v>
      </c>
      <c r="D144" s="1791" t="s">
        <v>1760</v>
      </c>
      <c r="E144" s="819">
        <v>102</v>
      </c>
      <c r="F144" s="825">
        <v>100</v>
      </c>
      <c r="G144" s="1791" t="s">
        <v>1760</v>
      </c>
      <c r="H144" s="821">
        <v>105</v>
      </c>
      <c r="I144" s="1790" t="s">
        <v>1759</v>
      </c>
      <c r="J144" s="818">
        <v>18</v>
      </c>
      <c r="K144" s="823">
        <f>ROUND(100+(J144-J140)*K139*100,1)</f>
        <v>103.2</v>
      </c>
    </row>
    <row r="145" spans="2:11" ht="15.75" thickBot="1">
      <c r="B145" s="1792" t="s">
        <v>1761</v>
      </c>
      <c r="C145" s="826">
        <f>ROUND(MAX(C139:C144)/MIN(C139:C144)-1,3)</f>
        <v>7.2999999999999995E-2</v>
      </c>
      <c r="D145" s="827"/>
      <c r="E145" s="827"/>
      <c r="F145" s="1793" t="s">
        <v>1762</v>
      </c>
      <c r="G145" s="1794"/>
      <c r="H145" s="1795"/>
      <c r="I145" s="1796" t="s">
        <v>1759</v>
      </c>
      <c r="J145" s="828">
        <v>8</v>
      </c>
      <c r="K145" s="829">
        <f>ROUND(100+(J145-J140)*K139*100,1)</f>
        <v>99.2</v>
      </c>
    </row>
    <row r="147" spans="2:11">
      <c r="B147" s="1777" t="s">
        <v>1763</v>
      </c>
    </row>
    <row r="148" spans="2:11">
      <c r="B148" s="177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1765</v>
      </c>
      <c r="C1" s="1151" t="s">
        <v>1661</v>
      </c>
      <c r="D1" s="1138"/>
      <c r="E1" s="3087"/>
      <c r="F1" s="1731"/>
      <c r="G1" s="1148" t="s">
        <v>1766</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1461</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1463</v>
      </c>
      <c r="B3" s="536">
        <f>IF(C2="——",C49,ROUND(B2*10000/D3,0))</f>
        <v>0</v>
      </c>
      <c r="C3" s="344" t="s">
        <v>1767</v>
      </c>
      <c r="D3" s="343">
        <f>IF(D1="",'数据-汇总表'!E3,SUMIF('数据-汇总表'!$C19:$C33,D1,'数据-汇总表'!$E19:$E33))</f>
        <v>108765.47999999998</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5">
      <c r="A4" s="345" t="s">
        <v>1768</v>
      </c>
      <c r="B4" s="346"/>
      <c r="C4" s="3396" t="s">
        <v>1769</v>
      </c>
      <c r="D4" s="3397"/>
      <c r="E4" s="3398" t="s">
        <v>1770</v>
      </c>
      <c r="F4" s="3399"/>
      <c r="G4" s="3396" t="s">
        <v>1771</v>
      </c>
      <c r="H4" s="3397"/>
      <c r="I4" s="3396" t="s">
        <v>1772</v>
      </c>
      <c r="J4" s="3397"/>
      <c r="K4" s="537" t="s">
        <v>1773</v>
      </c>
      <c r="L4" s="2478"/>
      <c r="M4" s="2479"/>
      <c r="N4" s="2479"/>
      <c r="O4" s="2479"/>
      <c r="P4" s="3430" t="s">
        <v>1774</v>
      </c>
      <c r="Q4" s="3431"/>
      <c r="R4" s="3427" t="s">
        <v>1770</v>
      </c>
      <c r="S4" s="3428"/>
      <c r="T4" s="3427" t="s">
        <v>1771</v>
      </c>
      <c r="U4" s="3428"/>
      <c r="V4" s="3409" t="s">
        <v>1772</v>
      </c>
      <c r="W4" s="3409"/>
      <c r="X4" s="1261"/>
      <c r="Y4" s="3427" t="s">
        <v>1774</v>
      </c>
      <c r="Z4" s="3428"/>
      <c r="AA4" s="3426" t="s">
        <v>1770</v>
      </c>
      <c r="AB4" s="3409" t="s">
        <v>1771</v>
      </c>
      <c r="AC4" s="3426" t="s">
        <v>1772</v>
      </c>
    </row>
    <row r="5" spans="1:29" ht="15">
      <c r="A5" s="348"/>
      <c r="B5" s="349"/>
      <c r="C5" s="3385" t="s">
        <v>1672</v>
      </c>
      <c r="D5" s="3386"/>
      <c r="E5" s="3429" t="s">
        <v>1673</v>
      </c>
      <c r="F5" s="3384"/>
      <c r="G5" s="3385" t="s">
        <v>1674</v>
      </c>
      <c r="H5" s="3386"/>
      <c r="I5" s="3385" t="s">
        <v>1675</v>
      </c>
      <c r="J5" s="3386"/>
      <c r="K5" s="537"/>
      <c r="L5" s="2478"/>
      <c r="M5" s="2479"/>
      <c r="N5" s="2479"/>
      <c r="O5" s="2479"/>
      <c r="P5" s="3432"/>
      <c r="Q5" s="3403"/>
      <c r="R5" s="3381"/>
      <c r="S5" s="3382"/>
      <c r="T5" s="3381"/>
      <c r="U5" s="3382"/>
      <c r="V5" s="3409"/>
      <c r="W5" s="3409"/>
      <c r="X5" s="1261"/>
      <c r="Y5" s="3381"/>
      <c r="Z5" s="3382"/>
      <c r="AA5" s="3375"/>
      <c r="AB5" s="3409"/>
      <c r="AC5" s="3375"/>
    </row>
    <row r="6" spans="1:29" ht="15.75" thickBot="1">
      <c r="A6" s="350"/>
      <c r="B6" s="351"/>
      <c r="C6" s="3387" t="s">
        <v>1676</v>
      </c>
      <c r="D6" s="3388"/>
      <c r="E6" s="3390" t="s">
        <v>1676</v>
      </c>
      <c r="F6" s="3391"/>
      <c r="G6" s="3387" t="s">
        <v>1676</v>
      </c>
      <c r="H6" s="3388"/>
      <c r="I6" s="3387" t="s">
        <v>1676</v>
      </c>
      <c r="J6" s="3388"/>
      <c r="K6" s="537" t="s">
        <v>1677</v>
      </c>
      <c r="L6" s="2478"/>
      <c r="M6" s="2479"/>
      <c r="N6" s="2479"/>
      <c r="O6" s="2479"/>
      <c r="P6" s="3433"/>
      <c r="Q6" s="3405"/>
      <c r="R6" s="3381"/>
      <c r="S6" s="3382"/>
      <c r="T6" s="3406"/>
      <c r="U6" s="3407"/>
      <c r="V6" s="3409"/>
      <c r="W6" s="3409"/>
      <c r="X6" s="1261"/>
      <c r="Y6" s="3406"/>
      <c r="Z6" s="3407"/>
      <c r="AA6" s="3376"/>
      <c r="AB6" s="3409"/>
      <c r="AC6" s="3376"/>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38"/>
      <c r="L7" s="2480"/>
      <c r="M7" s="2432"/>
      <c r="N7" s="2432"/>
      <c r="O7" s="2432"/>
      <c r="P7" s="3377" t="s">
        <v>1679</v>
      </c>
      <c r="Q7" s="3412"/>
      <c r="R7" s="664" t="s">
        <v>14</v>
      </c>
      <c r="S7" s="665">
        <f t="shared" ref="S7:S15" si="0">F7</f>
        <v>0</v>
      </c>
      <c r="T7" s="664" t="s">
        <v>14</v>
      </c>
      <c r="U7" s="665">
        <f t="shared" ref="U7:U15" si="1">H7</f>
        <v>0</v>
      </c>
      <c r="V7" s="664" t="s">
        <v>14</v>
      </c>
      <c r="W7" s="665">
        <f t="shared" ref="W7:W15" si="2">J7</f>
        <v>0</v>
      </c>
      <c r="X7" s="666"/>
      <c r="Y7" s="3377" t="s">
        <v>1679</v>
      </c>
      <c r="Z7" s="3378"/>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0"/>
      <c r="M8" s="2432"/>
      <c r="N8" s="2432"/>
      <c r="O8" s="2432"/>
      <c r="P8" s="3377" t="s">
        <v>1682</v>
      </c>
      <c r="Q8" s="3378"/>
      <c r="R8" s="664" t="s">
        <v>14</v>
      </c>
      <c r="S8" s="665">
        <f t="shared" si="0"/>
        <v>100</v>
      </c>
      <c r="T8" s="664" t="s">
        <v>14</v>
      </c>
      <c r="U8" s="665">
        <f t="shared" si="1"/>
        <v>100</v>
      </c>
      <c r="V8" s="664" t="s">
        <v>14</v>
      </c>
      <c r="W8" s="665">
        <f t="shared" si="2"/>
        <v>100</v>
      </c>
      <c r="X8" s="666"/>
      <c r="Y8" s="3377" t="s">
        <v>1682</v>
      </c>
      <c r="Z8" s="3378"/>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0"/>
      <c r="M9" s="2432"/>
      <c r="N9" s="2432"/>
      <c r="O9" s="2432"/>
      <c r="P9" s="3392"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38"/>
      <c r="L10" s="2481"/>
      <c r="M10" s="2482"/>
      <c r="N10" s="2482"/>
      <c r="O10" s="2482"/>
      <c r="P10" s="3392"/>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392"/>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2"/>
      <c r="N12" s="2432"/>
      <c r="O12" s="2432"/>
      <c r="P12" s="3392"/>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392"/>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392"/>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28.5">
      <c r="A15" s="379" t="s">
        <v>1689</v>
      </c>
      <c r="B15" s="58" t="s">
        <v>1776</v>
      </c>
      <c r="C15" s="1746" t="str">
        <f>估价对象房地状况!C4</f>
        <v>花乡奥莱村，万达广场，较好</v>
      </c>
      <c r="D15" s="380">
        <v>100</v>
      </c>
      <c r="E15" s="381"/>
      <c r="F15" s="382">
        <f>SUMIF(76:76,E16,77:77)-SUMIF(76:76,C16,77:77)+100</f>
        <v>100</v>
      </c>
      <c r="G15" s="383"/>
      <c r="H15" s="380">
        <f>SUMIF(76:76,G16,77:77)-SUMIF(76:76,C16,77:77)+100</f>
        <v>100</v>
      </c>
      <c r="I15" s="381"/>
      <c r="J15" s="380">
        <f>SUMIF(76:76,I16,77:77)-SUMIF(76:76,C16,77:77)+100</f>
        <v>100</v>
      </c>
      <c r="K15" s="540"/>
      <c r="L15" s="2484"/>
      <c r="M15" s="2479"/>
      <c r="N15" s="2479"/>
      <c r="O15" s="2479"/>
      <c r="P15" s="3413" t="s">
        <v>1690</v>
      </c>
      <c r="Q15" s="1259" t="str">
        <f t="shared" si="6"/>
        <v>商业繁华度</v>
      </c>
      <c r="R15" s="667" t="s">
        <v>14</v>
      </c>
      <c r="S15" s="668">
        <f t="shared" si="0"/>
        <v>100</v>
      </c>
      <c r="T15" s="667" t="s">
        <v>14</v>
      </c>
      <c r="U15" s="668">
        <f t="shared" si="1"/>
        <v>100</v>
      </c>
      <c r="V15" s="667" t="s">
        <v>14</v>
      </c>
      <c r="W15" s="668">
        <f t="shared" si="2"/>
        <v>100</v>
      </c>
      <c r="X15" s="1261"/>
      <c r="Y15" s="3415" t="s">
        <v>1690</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4"/>
      <c r="M16" s="2479"/>
      <c r="N16" s="2479"/>
      <c r="O16" s="2479"/>
      <c r="P16" s="3414"/>
      <c r="Q16" s="1259"/>
      <c r="R16" s="667"/>
      <c r="S16" s="668"/>
      <c r="T16" s="667"/>
      <c r="U16" s="668"/>
      <c r="V16" s="667"/>
      <c r="W16" s="668"/>
      <c r="X16" s="1261"/>
      <c r="Y16" s="3416"/>
      <c r="Z16" s="1260"/>
      <c r="AA16" s="1260">
        <v>1</v>
      </c>
      <c r="AB16" s="1260">
        <v>1</v>
      </c>
      <c r="AC16" s="1260">
        <v>1</v>
      </c>
    </row>
    <row r="17" spans="1:29" ht="28.5">
      <c r="A17" s="367"/>
      <c r="B17" s="390" t="s">
        <v>1258</v>
      </c>
      <c r="C17" s="1750" t="str">
        <f>估价对象房地状况!C6</f>
        <v>9号线、房山线，较好</v>
      </c>
      <c r="D17" s="389">
        <v>100</v>
      </c>
      <c r="E17" s="391"/>
      <c r="F17" s="392">
        <f>SUMIF(78:78,E18,79:79)-SUMIF(78:78,C18,79:79)+100</f>
        <v>100</v>
      </c>
      <c r="G17" s="393"/>
      <c r="H17" s="394">
        <f>SUMIF(78:78,G18,79:79)-SUMIF(78:78,C18,79:79)+100</f>
        <v>100</v>
      </c>
      <c r="I17" s="391"/>
      <c r="J17" s="394">
        <f>SUMIF(78:78,I18,79:79)-SUMIF(78:78,C18,79:79)+100</f>
        <v>100</v>
      </c>
      <c r="K17" s="540"/>
      <c r="L17" s="2484"/>
      <c r="M17" s="2479"/>
      <c r="N17" s="2479"/>
      <c r="O17" s="2479"/>
      <c r="P17" s="3414"/>
      <c r="Q17" s="1259" t="str">
        <f>B17</f>
        <v>交通便捷度</v>
      </c>
      <c r="R17" s="667" t="s">
        <v>14</v>
      </c>
      <c r="S17" s="668">
        <f>F17</f>
        <v>100</v>
      </c>
      <c r="T17" s="667" t="s">
        <v>14</v>
      </c>
      <c r="U17" s="668">
        <f>H17</f>
        <v>100</v>
      </c>
      <c r="V17" s="667" t="s">
        <v>14</v>
      </c>
      <c r="W17" s="668">
        <f>J17</f>
        <v>100</v>
      </c>
      <c r="X17" s="1261"/>
      <c r="Y17" s="3416"/>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4"/>
      <c r="M18" s="2479"/>
      <c r="N18" s="2479"/>
      <c r="O18" s="2479"/>
      <c r="P18" s="3414"/>
      <c r="Q18" s="1259"/>
      <c r="R18" s="667"/>
      <c r="S18" s="668"/>
      <c r="T18" s="667"/>
      <c r="U18" s="668"/>
      <c r="V18" s="667"/>
      <c r="W18" s="668"/>
      <c r="X18" s="1261"/>
      <c r="Y18" s="3416"/>
      <c r="Z18" s="1260"/>
      <c r="AA18" s="1260">
        <v>1</v>
      </c>
      <c r="AB18" s="1260">
        <v>1</v>
      </c>
      <c r="AC18" s="1260">
        <v>1</v>
      </c>
    </row>
    <row r="19" spans="1:29" ht="15">
      <c r="A19" s="367"/>
      <c r="B19" s="390" t="s">
        <v>1777</v>
      </c>
      <c r="C19" s="1750"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4"/>
      <c r="M19" s="2479"/>
      <c r="N19" s="2479"/>
      <c r="O19" s="2479"/>
      <c r="P19" s="3414"/>
      <c r="Q19" s="1259" t="str">
        <f>B19</f>
        <v>公共配套设施</v>
      </c>
      <c r="R19" s="667" t="s">
        <v>14</v>
      </c>
      <c r="S19" s="668">
        <f>F19</f>
        <v>100</v>
      </c>
      <c r="T19" s="667" t="s">
        <v>14</v>
      </c>
      <c r="U19" s="668">
        <f>H19</f>
        <v>100</v>
      </c>
      <c r="V19" s="667" t="s">
        <v>14</v>
      </c>
      <c r="W19" s="668">
        <f>J19</f>
        <v>100</v>
      </c>
      <c r="X19" s="1261"/>
      <c r="Y19" s="3416"/>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4"/>
      <c r="M20" s="2479"/>
      <c r="N20" s="2479"/>
      <c r="O20" s="2479"/>
      <c r="P20" s="3414"/>
      <c r="Q20" s="1259"/>
      <c r="R20" s="667"/>
      <c r="S20" s="668"/>
      <c r="T20" s="667"/>
      <c r="U20" s="668"/>
      <c r="V20" s="667"/>
      <c r="W20" s="668"/>
      <c r="X20" s="1261"/>
      <c r="Y20" s="3416"/>
      <c r="Z20" s="1260"/>
      <c r="AA20" s="1260">
        <v>1</v>
      </c>
      <c r="AB20" s="1260">
        <v>1</v>
      </c>
      <c r="AC20" s="1260">
        <v>1</v>
      </c>
    </row>
    <row r="21" spans="1:29" ht="15">
      <c r="A21" s="367"/>
      <c r="B21" s="586" t="s">
        <v>1778</v>
      </c>
      <c r="C21" s="1750"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4"/>
      <c r="M21" s="2479"/>
      <c r="N21" s="2479"/>
      <c r="O21" s="2479"/>
      <c r="P21" s="3414"/>
      <c r="Q21" s="1259" t="str">
        <f>B21</f>
        <v>基础设施水平</v>
      </c>
      <c r="R21" s="667" t="s">
        <v>14</v>
      </c>
      <c r="S21" s="668">
        <f>F21</f>
        <v>100</v>
      </c>
      <c r="T21" s="667" t="s">
        <v>14</v>
      </c>
      <c r="U21" s="668">
        <f>H21</f>
        <v>100</v>
      </c>
      <c r="V21" s="667" t="s">
        <v>14</v>
      </c>
      <c r="W21" s="668">
        <f>J21</f>
        <v>100</v>
      </c>
      <c r="X21" s="1261"/>
      <c r="Y21" s="3416"/>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2484"/>
      <c r="M22" s="2479"/>
      <c r="N22" s="2479"/>
      <c r="O22" s="2479"/>
      <c r="P22" s="3414"/>
      <c r="Q22" s="1259"/>
      <c r="R22" s="667"/>
      <c r="S22" s="668"/>
      <c r="T22" s="667"/>
      <c r="U22" s="668"/>
      <c r="V22" s="667"/>
      <c r="W22" s="668"/>
      <c r="X22" s="1261"/>
      <c r="Y22" s="3416"/>
      <c r="Z22" s="1260"/>
      <c r="AA22" s="1260">
        <v>1</v>
      </c>
      <c r="AB22" s="1260">
        <v>1</v>
      </c>
      <c r="AC22" s="1260">
        <v>1</v>
      </c>
    </row>
    <row r="23" spans="1:29" ht="42.75">
      <c r="A23" s="367"/>
      <c r="B23" s="390" t="s">
        <v>1260</v>
      </c>
      <c r="C23" s="1802" t="str">
        <f>估价对象房地状况!C9</f>
        <v>白盆窑公园、国际法官学院，一般</v>
      </c>
      <c r="D23" s="389">
        <v>100</v>
      </c>
      <c r="E23" s="391"/>
      <c r="F23" s="392">
        <f>SUMIF(84:84,E24,85:85)-SUMIF(84:84,C24,85:85)+100</f>
        <v>100</v>
      </c>
      <c r="G23" s="393"/>
      <c r="H23" s="389">
        <f>SUMIF(84:84,G24,85:85)-SUMIF(84:84,C24,85:85)+100</f>
        <v>100</v>
      </c>
      <c r="I23" s="391"/>
      <c r="J23" s="389">
        <f>SUMIF(84:84,I24,85:85)-SUMIF(84:84,C24,85:85)+100</f>
        <v>100</v>
      </c>
      <c r="K23" s="540"/>
      <c r="L23" s="2484"/>
      <c r="M23" s="2479"/>
      <c r="N23" s="2479"/>
      <c r="O23" s="2479"/>
      <c r="P23" s="3414"/>
      <c r="Q23" s="1259" t="str">
        <f>B23</f>
        <v>自然及人文环境</v>
      </c>
      <c r="R23" s="667" t="s">
        <v>14</v>
      </c>
      <c r="S23" s="668">
        <f>F23</f>
        <v>100</v>
      </c>
      <c r="T23" s="667" t="s">
        <v>14</v>
      </c>
      <c r="U23" s="668">
        <f>H23</f>
        <v>100</v>
      </c>
      <c r="V23" s="667" t="s">
        <v>14</v>
      </c>
      <c r="W23" s="668">
        <f>J23</f>
        <v>100</v>
      </c>
      <c r="X23" s="1261"/>
      <c r="Y23" s="3416"/>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4"/>
      <c r="M24" s="2479"/>
      <c r="N24" s="2479"/>
      <c r="O24" s="2479"/>
      <c r="P24" s="3414"/>
      <c r="Q24" s="1259"/>
      <c r="R24" s="667"/>
      <c r="S24" s="668"/>
      <c r="T24" s="667"/>
      <c r="U24" s="668"/>
      <c r="V24" s="667"/>
      <c r="W24" s="668"/>
      <c r="X24" s="1261"/>
      <c r="Y24" s="3416"/>
      <c r="Z24" s="1260"/>
      <c r="AA24" s="1260">
        <v>1</v>
      </c>
      <c r="AB24" s="1260">
        <v>1</v>
      </c>
      <c r="AC24" s="1260">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414"/>
      <c r="Q25" s="1259" t="str">
        <f t="shared" ref="Q25:Q46" si="8">B25</f>
        <v>临街状况</v>
      </c>
      <c r="R25" s="667" t="s">
        <v>14</v>
      </c>
      <c r="S25" s="668">
        <f>F25</f>
        <v>100</v>
      </c>
      <c r="T25" s="667" t="s">
        <v>14</v>
      </c>
      <c r="U25" s="668">
        <f>H25</f>
        <v>100</v>
      </c>
      <c r="V25" s="667" t="s">
        <v>14</v>
      </c>
      <c r="W25" s="668">
        <f>J25</f>
        <v>100</v>
      </c>
      <c r="X25" s="1261"/>
      <c r="Y25" s="3416"/>
      <c r="Z25" s="1260" t="str">
        <f>Q25</f>
        <v>临街状况</v>
      </c>
      <c r="AA25" s="1260">
        <f t="shared" si="3"/>
        <v>1</v>
      </c>
      <c r="AB25" s="1260">
        <f t="shared" si="4"/>
        <v>1</v>
      </c>
      <c r="AC25" s="1260">
        <f t="shared" si="5"/>
        <v>1</v>
      </c>
    </row>
    <row r="26" spans="1:29" ht="15">
      <c r="A26" s="367"/>
      <c r="B26" s="1063" t="s">
        <v>1780</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414"/>
      <c r="Q26" s="1259" t="str">
        <f t="shared" si="8"/>
        <v>平面位置/可视性</v>
      </c>
      <c r="R26" s="667" t="s">
        <v>14</v>
      </c>
      <c r="S26" s="668">
        <f>F26</f>
        <v>100</v>
      </c>
      <c r="T26" s="667" t="s">
        <v>14</v>
      </c>
      <c r="U26" s="668">
        <f>H26</f>
        <v>100</v>
      </c>
      <c r="V26" s="667" t="s">
        <v>14</v>
      </c>
      <c r="W26" s="668">
        <f>J26</f>
        <v>100</v>
      </c>
      <c r="X26" s="1261"/>
      <c r="Y26" s="3416"/>
      <c r="Z26" s="1260" t="str">
        <f>Q26</f>
        <v>平面位置/可视性</v>
      </c>
      <c r="AA26" s="1260">
        <f t="shared" si="3"/>
        <v>1</v>
      </c>
      <c r="AB26" s="1260">
        <f t="shared" si="4"/>
        <v>1</v>
      </c>
      <c r="AC26" s="1260">
        <f t="shared" si="5"/>
        <v>1</v>
      </c>
    </row>
    <row r="27" spans="1:29" s="102" customFormat="1" ht="15">
      <c r="A27" s="370"/>
      <c r="B27" s="390" t="s">
        <v>1781</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2"/>
      <c r="N27" s="2432"/>
      <c r="O27" s="2432"/>
      <c r="P27" s="3414"/>
      <c r="Q27" s="530" t="str">
        <f t="shared" si="8"/>
        <v>人流量</v>
      </c>
      <c r="R27" s="664" t="s">
        <v>14</v>
      </c>
      <c r="S27" s="665">
        <f>F27</f>
        <v>100</v>
      </c>
      <c r="T27" s="664" t="s">
        <v>14</v>
      </c>
      <c r="U27" s="665">
        <f>H27</f>
        <v>100</v>
      </c>
      <c r="V27" s="664" t="s">
        <v>14</v>
      </c>
      <c r="W27" s="665">
        <f>J27</f>
        <v>100</v>
      </c>
      <c r="X27" s="666"/>
      <c r="Y27" s="3416"/>
      <c r="Z27" s="50" t="str">
        <f>Q27</f>
        <v>人流量</v>
      </c>
      <c r="AA27" s="1260">
        <f>D27/F27</f>
        <v>1</v>
      </c>
      <c r="AB27" s="1260">
        <f>D27/H27</f>
        <v>1</v>
      </c>
      <c r="AC27" s="1260">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414"/>
      <c r="Q28" s="1259" t="str">
        <f t="shared" si="8"/>
        <v>楼层</v>
      </c>
      <c r="R28" s="667" t="s">
        <v>14</v>
      </c>
      <c r="S28" s="668">
        <f t="shared" ref="S28:S46" si="9">F28</f>
        <v>100</v>
      </c>
      <c r="T28" s="667" t="s">
        <v>14</v>
      </c>
      <c r="U28" s="668">
        <f t="shared" ref="U28:U46" si="10">H28</f>
        <v>100</v>
      </c>
      <c r="V28" s="667" t="s">
        <v>14</v>
      </c>
      <c r="W28" s="668">
        <f t="shared" ref="W28:W46" si="11">J28</f>
        <v>100</v>
      </c>
      <c r="X28" s="1261"/>
      <c r="Y28" s="3416"/>
      <c r="Z28" s="1260" t="str">
        <f t="shared" ref="Z28:Z46" si="12">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414"/>
      <c r="Q29" s="1259">
        <f t="shared" si="8"/>
        <v>111</v>
      </c>
      <c r="R29" s="667" t="s">
        <v>14</v>
      </c>
      <c r="S29" s="668">
        <f t="shared" si="9"/>
        <v>100</v>
      </c>
      <c r="T29" s="667" t="s">
        <v>14</v>
      </c>
      <c r="U29" s="668">
        <f t="shared" si="10"/>
        <v>100</v>
      </c>
      <c r="V29" s="667" t="s">
        <v>14</v>
      </c>
      <c r="W29" s="668">
        <f t="shared" si="11"/>
        <v>100</v>
      </c>
      <c r="X29" s="1261"/>
      <c r="Y29" s="3416"/>
      <c r="Z29" s="1260">
        <f t="shared" si="12"/>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414"/>
      <c r="Q30" s="1259">
        <f t="shared" si="8"/>
        <v>111</v>
      </c>
      <c r="R30" s="667" t="s">
        <v>14</v>
      </c>
      <c r="S30" s="668">
        <f t="shared" si="9"/>
        <v>100</v>
      </c>
      <c r="T30" s="667" t="s">
        <v>14</v>
      </c>
      <c r="U30" s="668">
        <f t="shared" si="10"/>
        <v>100</v>
      </c>
      <c r="V30" s="667" t="s">
        <v>14</v>
      </c>
      <c r="W30" s="668">
        <f t="shared" si="11"/>
        <v>100</v>
      </c>
      <c r="X30" s="1261"/>
      <c r="Y30" s="3416"/>
      <c r="Z30" s="1260">
        <f t="shared" si="12"/>
        <v>111</v>
      </c>
      <c r="AA30" s="1260">
        <f t="shared" si="3"/>
        <v>1</v>
      </c>
      <c r="AB30" s="1260">
        <f t="shared" si="4"/>
        <v>1</v>
      </c>
      <c r="AC30" s="1260">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414"/>
      <c r="Q31" s="1259">
        <f t="shared" si="8"/>
        <v>111</v>
      </c>
      <c r="R31" s="667" t="s">
        <v>14</v>
      </c>
      <c r="S31" s="668">
        <f t="shared" si="9"/>
        <v>100</v>
      </c>
      <c r="T31" s="667" t="s">
        <v>14</v>
      </c>
      <c r="U31" s="668">
        <f t="shared" si="10"/>
        <v>100</v>
      </c>
      <c r="V31" s="667" t="s">
        <v>14</v>
      </c>
      <c r="W31" s="668">
        <f t="shared" si="11"/>
        <v>100</v>
      </c>
      <c r="X31" s="1261"/>
      <c r="Y31" s="3416"/>
      <c r="Z31" s="1260">
        <f t="shared" si="12"/>
        <v>111</v>
      </c>
      <c r="AA31" s="1260">
        <f t="shared" si="3"/>
        <v>1</v>
      </c>
      <c r="AB31" s="1260">
        <f t="shared" si="4"/>
        <v>1</v>
      </c>
      <c r="AC31" s="1260">
        <f t="shared" si="5"/>
        <v>1</v>
      </c>
    </row>
    <row r="32" spans="1:29" ht="15">
      <c r="A32" s="379" t="s">
        <v>1693</v>
      </c>
      <c r="B32" s="60" t="s">
        <v>1783</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417" t="s">
        <v>1695</v>
      </c>
      <c r="Q32" s="1259" t="str">
        <f t="shared" si="8"/>
        <v>商业类型</v>
      </c>
      <c r="R32" s="667" t="s">
        <v>14</v>
      </c>
      <c r="S32" s="668">
        <f t="shared" si="9"/>
        <v>100</v>
      </c>
      <c r="T32" s="667" t="s">
        <v>14</v>
      </c>
      <c r="U32" s="668">
        <f t="shared" si="10"/>
        <v>100</v>
      </c>
      <c r="V32" s="667" t="s">
        <v>14</v>
      </c>
      <c r="W32" s="668">
        <f t="shared" si="11"/>
        <v>100</v>
      </c>
      <c r="X32" s="1261"/>
      <c r="Y32" s="3420" t="s">
        <v>1695</v>
      </c>
      <c r="Z32" s="1260" t="str">
        <f t="shared" si="12"/>
        <v>商业类型</v>
      </c>
      <c r="AA32" s="1260">
        <f t="shared" si="3"/>
        <v>1</v>
      </c>
      <c r="AB32" s="1260">
        <f t="shared" si="4"/>
        <v>1</v>
      </c>
      <c r="AC32" s="1260">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418"/>
      <c r="Q33" s="531" t="str">
        <f t="shared" si="8"/>
        <v>项目建筑规模</v>
      </c>
      <c r="R33" s="669" t="s">
        <v>14</v>
      </c>
      <c r="S33" s="670" t="e">
        <f t="shared" si="9"/>
        <v>#N/A</v>
      </c>
      <c r="T33" s="669" t="s">
        <v>14</v>
      </c>
      <c r="U33" s="670" t="e">
        <f t="shared" si="10"/>
        <v>#N/A</v>
      </c>
      <c r="V33" s="669" t="s">
        <v>14</v>
      </c>
      <c r="W33" s="670" t="e">
        <f t="shared" si="11"/>
        <v>#N/A</v>
      </c>
      <c r="X33" s="671"/>
      <c r="Y33" s="3420"/>
      <c r="Z33" s="672" t="str">
        <f t="shared" si="12"/>
        <v>项目建筑规模</v>
      </c>
      <c r="AA33" s="1260" t="e">
        <f t="shared" si="3"/>
        <v>#N/A</v>
      </c>
      <c r="AB33" s="1260" t="e">
        <f t="shared" si="4"/>
        <v>#N/A</v>
      </c>
      <c r="AC33" s="1260"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418"/>
      <c r="Q34" s="1259" t="str">
        <f t="shared" si="8"/>
        <v>建筑结构</v>
      </c>
      <c r="R34" s="667" t="s">
        <v>14</v>
      </c>
      <c r="S34" s="668">
        <f t="shared" si="9"/>
        <v>100</v>
      </c>
      <c r="T34" s="667" t="s">
        <v>14</v>
      </c>
      <c r="U34" s="668">
        <f t="shared" si="10"/>
        <v>100</v>
      </c>
      <c r="V34" s="667" t="s">
        <v>14</v>
      </c>
      <c r="W34" s="668">
        <f t="shared" si="11"/>
        <v>100</v>
      </c>
      <c r="X34" s="1261"/>
      <c r="Y34" s="3420"/>
      <c r="Z34" s="1260" t="str">
        <f t="shared" si="12"/>
        <v>建筑结构</v>
      </c>
      <c r="AA34" s="1260">
        <f t="shared" si="3"/>
        <v>1</v>
      </c>
      <c r="AB34" s="1260">
        <f t="shared" si="4"/>
        <v>1</v>
      </c>
      <c r="AC34" s="1260">
        <f t="shared" si="5"/>
        <v>1</v>
      </c>
    </row>
    <row r="35" spans="1:29" ht="15">
      <c r="A35" s="409"/>
      <c r="B35" s="364" t="s">
        <v>1784</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418"/>
      <c r="Q35" s="1259" t="str">
        <f t="shared" si="8"/>
        <v>公共部分装修</v>
      </c>
      <c r="R35" s="667" t="s">
        <v>14</v>
      </c>
      <c r="S35" s="668">
        <f t="shared" si="9"/>
        <v>100</v>
      </c>
      <c r="T35" s="667" t="s">
        <v>14</v>
      </c>
      <c r="U35" s="668">
        <f t="shared" si="10"/>
        <v>100</v>
      </c>
      <c r="V35" s="667" t="s">
        <v>14</v>
      </c>
      <c r="W35" s="668">
        <f t="shared" si="11"/>
        <v>100</v>
      </c>
      <c r="X35" s="1261"/>
      <c r="Y35" s="3420"/>
      <c r="Z35" s="1260" t="str">
        <f t="shared" si="12"/>
        <v>公共部分装修</v>
      </c>
      <c r="AA35" s="1260">
        <f t="shared" si="3"/>
        <v>1</v>
      </c>
      <c r="AB35" s="1260">
        <f t="shared" si="4"/>
        <v>1</v>
      </c>
      <c r="AC35" s="1260">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418"/>
      <c r="Q36" s="1259" t="str">
        <f t="shared" si="8"/>
        <v>成新度</v>
      </c>
      <c r="R36" s="667" t="s">
        <v>14</v>
      </c>
      <c r="S36" s="668" t="e">
        <f t="shared" si="9"/>
        <v>#N/A</v>
      </c>
      <c r="T36" s="667" t="s">
        <v>14</v>
      </c>
      <c r="U36" s="668" t="e">
        <f t="shared" si="10"/>
        <v>#N/A</v>
      </c>
      <c r="V36" s="667" t="s">
        <v>14</v>
      </c>
      <c r="W36" s="668" t="e">
        <f t="shared" si="11"/>
        <v>#N/A</v>
      </c>
      <c r="X36" s="1261"/>
      <c r="Y36" s="3420"/>
      <c r="Z36" s="1260" t="str">
        <f t="shared" si="12"/>
        <v>成新度</v>
      </c>
      <c r="AA36" s="1260" t="e">
        <f t="shared" si="3"/>
        <v>#N/A</v>
      </c>
      <c r="AB36" s="1260" t="e">
        <f t="shared" si="4"/>
        <v>#N/A</v>
      </c>
      <c r="AC36" s="1260" t="e">
        <f t="shared" si="5"/>
        <v>#N/A</v>
      </c>
    </row>
    <row r="37" spans="1:29" s="102" customFormat="1" ht="15">
      <c r="A37" s="410"/>
      <c r="B37" s="364" t="s">
        <v>1786</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2"/>
      <c r="N37" s="2432"/>
      <c r="O37" s="2432"/>
      <c r="P37" s="3418"/>
      <c r="Q37" s="530" t="str">
        <f t="shared" si="8"/>
        <v>市政基础设施</v>
      </c>
      <c r="R37" s="664" t="s">
        <v>14</v>
      </c>
      <c r="S37" s="665">
        <f t="shared" si="9"/>
        <v>100</v>
      </c>
      <c r="T37" s="664" t="s">
        <v>14</v>
      </c>
      <c r="U37" s="665">
        <f t="shared" si="10"/>
        <v>100</v>
      </c>
      <c r="V37" s="664" t="s">
        <v>14</v>
      </c>
      <c r="W37" s="665">
        <f t="shared" si="11"/>
        <v>100</v>
      </c>
      <c r="X37" s="666"/>
      <c r="Y37" s="3420"/>
      <c r="Z37" s="50" t="str">
        <f t="shared" si="12"/>
        <v>市政基础设施</v>
      </c>
      <c r="AA37" s="50">
        <f t="shared" si="3"/>
        <v>1</v>
      </c>
      <c r="AB37" s="50">
        <f t="shared" si="4"/>
        <v>1</v>
      </c>
      <c r="AC37" s="50">
        <f t="shared" si="5"/>
        <v>1</v>
      </c>
    </row>
    <row r="38" spans="1:29" ht="15">
      <c r="A38" s="409"/>
      <c r="B38" s="364" t="s">
        <v>1787</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418" t="s">
        <v>1695</v>
      </c>
      <c r="Q38" s="1259" t="str">
        <f t="shared" si="8"/>
        <v>业态</v>
      </c>
      <c r="R38" s="667" t="s">
        <v>14</v>
      </c>
      <c r="S38" s="668">
        <f t="shared" si="9"/>
        <v>100</v>
      </c>
      <c r="T38" s="667" t="s">
        <v>14</v>
      </c>
      <c r="U38" s="668">
        <f t="shared" si="10"/>
        <v>100</v>
      </c>
      <c r="V38" s="667" t="s">
        <v>14</v>
      </c>
      <c r="W38" s="668">
        <f t="shared" si="11"/>
        <v>100</v>
      </c>
      <c r="X38" s="1261"/>
      <c r="Y38" s="3420" t="s">
        <v>1695</v>
      </c>
      <c r="Z38" s="1260" t="str">
        <f t="shared" si="12"/>
        <v>业态</v>
      </c>
      <c r="AA38" s="1260">
        <f t="shared" si="3"/>
        <v>1</v>
      </c>
      <c r="AB38" s="1260">
        <f t="shared" si="4"/>
        <v>1</v>
      </c>
      <c r="AC38" s="1260">
        <f t="shared" si="5"/>
        <v>1</v>
      </c>
    </row>
    <row r="39" spans="1:29" ht="15">
      <c r="A39" s="409"/>
      <c r="B39" s="364" t="s">
        <v>1788</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418"/>
      <c r="Q39" s="1259" t="str">
        <f t="shared" si="8"/>
        <v>层高</v>
      </c>
      <c r="R39" s="667" t="s">
        <v>14</v>
      </c>
      <c r="S39" s="668">
        <f t="shared" si="9"/>
        <v>100</v>
      </c>
      <c r="T39" s="667" t="s">
        <v>14</v>
      </c>
      <c r="U39" s="668">
        <f t="shared" si="10"/>
        <v>100</v>
      </c>
      <c r="V39" s="667" t="s">
        <v>14</v>
      </c>
      <c r="W39" s="668">
        <f t="shared" si="11"/>
        <v>100</v>
      </c>
      <c r="X39" s="1261"/>
      <c r="Y39" s="3420"/>
      <c r="Z39" s="1260" t="str">
        <f t="shared" si="12"/>
        <v>层高</v>
      </c>
      <c r="AA39" s="1260">
        <f t="shared" si="3"/>
        <v>1</v>
      </c>
      <c r="AB39" s="1260">
        <f t="shared" si="4"/>
        <v>1</v>
      </c>
      <c r="AC39" s="1260">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418"/>
      <c r="Q40" s="1259" t="str">
        <f t="shared" si="8"/>
        <v>单套建筑面积</v>
      </c>
      <c r="R40" s="667" t="s">
        <v>14</v>
      </c>
      <c r="S40" s="668">
        <f t="shared" si="9"/>
        <v>100</v>
      </c>
      <c r="T40" s="667" t="s">
        <v>14</v>
      </c>
      <c r="U40" s="668">
        <f t="shared" si="10"/>
        <v>100</v>
      </c>
      <c r="V40" s="667" t="s">
        <v>14</v>
      </c>
      <c r="W40" s="668">
        <f t="shared" si="11"/>
        <v>100</v>
      </c>
      <c r="X40" s="1261"/>
      <c r="Y40" s="3420"/>
      <c r="Z40" s="1260" t="str">
        <f t="shared" si="12"/>
        <v>单套建筑面积</v>
      </c>
      <c r="AA40" s="1260">
        <f t="shared" si="3"/>
        <v>1</v>
      </c>
      <c r="AB40" s="1260">
        <f t="shared" si="4"/>
        <v>1</v>
      </c>
      <c r="AC40" s="1260">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418"/>
      <c r="Q41" s="531" t="str">
        <f t="shared" si="8"/>
        <v>进深比</v>
      </c>
      <c r="R41" s="669" t="s">
        <v>14</v>
      </c>
      <c r="S41" s="670">
        <f t="shared" si="9"/>
        <v>100</v>
      </c>
      <c r="T41" s="669" t="s">
        <v>14</v>
      </c>
      <c r="U41" s="670">
        <f t="shared" si="10"/>
        <v>100</v>
      </c>
      <c r="V41" s="669" t="s">
        <v>14</v>
      </c>
      <c r="W41" s="670">
        <f t="shared" si="11"/>
        <v>100</v>
      </c>
      <c r="X41" s="671"/>
      <c r="Y41" s="3420"/>
      <c r="Z41" s="672" t="str">
        <f t="shared" si="12"/>
        <v>进深比</v>
      </c>
      <c r="AA41" s="1260">
        <f t="shared" si="3"/>
        <v>1</v>
      </c>
      <c r="AB41" s="1260">
        <f t="shared" si="4"/>
        <v>1</v>
      </c>
      <c r="AC41" s="1260">
        <f t="shared" si="5"/>
        <v>1</v>
      </c>
    </row>
    <row r="42" spans="1:29" ht="15">
      <c r="A42" s="409"/>
      <c r="B42" s="364" t="s">
        <v>1791</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418"/>
      <c r="Q42" s="1259" t="str">
        <f t="shared" si="8"/>
        <v>内部装修</v>
      </c>
      <c r="R42" s="667" t="s">
        <v>14</v>
      </c>
      <c r="S42" s="668">
        <f t="shared" si="9"/>
        <v>100</v>
      </c>
      <c r="T42" s="667" t="s">
        <v>14</v>
      </c>
      <c r="U42" s="668">
        <f t="shared" si="10"/>
        <v>100</v>
      </c>
      <c r="V42" s="667" t="s">
        <v>14</v>
      </c>
      <c r="W42" s="668">
        <f t="shared" si="11"/>
        <v>100</v>
      </c>
      <c r="X42" s="1261"/>
      <c r="Y42" s="3420"/>
      <c r="Z42" s="1260" t="str">
        <f t="shared" si="12"/>
        <v>内部装修</v>
      </c>
      <c r="AA42" s="1260">
        <f t="shared" si="3"/>
        <v>1</v>
      </c>
      <c r="AB42" s="1260">
        <f t="shared" si="4"/>
        <v>1</v>
      </c>
      <c r="AC42" s="1260">
        <f t="shared" si="5"/>
        <v>1</v>
      </c>
    </row>
    <row r="43" spans="1:29" ht="15">
      <c r="A43" s="409"/>
      <c r="B43" s="364" t="s">
        <v>1706</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418"/>
      <c r="Q43" s="1259" t="str">
        <f t="shared" si="8"/>
        <v>内部装修维护情况</v>
      </c>
      <c r="R43" s="667" t="s">
        <v>14</v>
      </c>
      <c r="S43" s="668">
        <f t="shared" si="9"/>
        <v>100</v>
      </c>
      <c r="T43" s="667" t="s">
        <v>14</v>
      </c>
      <c r="U43" s="668">
        <f t="shared" si="10"/>
        <v>100</v>
      </c>
      <c r="V43" s="667" t="s">
        <v>14</v>
      </c>
      <c r="W43" s="668">
        <f t="shared" si="11"/>
        <v>100</v>
      </c>
      <c r="X43" s="1261"/>
      <c r="Y43" s="3420"/>
      <c r="Z43" s="1260" t="str">
        <f t="shared" si="12"/>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2"/>
      <c r="N44" s="2432"/>
      <c r="O44" s="2432"/>
      <c r="P44" s="3418"/>
      <c r="Q44" s="530">
        <f t="shared" si="8"/>
        <v>111</v>
      </c>
      <c r="R44" s="664" t="s">
        <v>14</v>
      </c>
      <c r="S44" s="665">
        <f t="shared" si="9"/>
        <v>100</v>
      </c>
      <c r="T44" s="664" t="s">
        <v>14</v>
      </c>
      <c r="U44" s="665">
        <f t="shared" si="10"/>
        <v>100</v>
      </c>
      <c r="V44" s="664" t="s">
        <v>14</v>
      </c>
      <c r="W44" s="665">
        <f t="shared" si="11"/>
        <v>100</v>
      </c>
      <c r="X44" s="666"/>
      <c r="Y44" s="3420"/>
      <c r="Z44" s="50">
        <f t="shared" si="12"/>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418"/>
      <c r="Q45" s="1259">
        <f t="shared" si="8"/>
        <v>111</v>
      </c>
      <c r="R45" s="667" t="s">
        <v>14</v>
      </c>
      <c r="S45" s="668">
        <f t="shared" si="9"/>
        <v>100</v>
      </c>
      <c r="T45" s="667" t="s">
        <v>14</v>
      </c>
      <c r="U45" s="668">
        <f t="shared" si="10"/>
        <v>100</v>
      </c>
      <c r="V45" s="667" t="s">
        <v>14</v>
      </c>
      <c r="W45" s="668">
        <f t="shared" si="11"/>
        <v>100</v>
      </c>
      <c r="X45" s="1261"/>
      <c r="Y45" s="3420"/>
      <c r="Z45" s="1260">
        <f t="shared" si="12"/>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419"/>
      <c r="Q46" s="1259">
        <f t="shared" si="8"/>
        <v>111</v>
      </c>
      <c r="R46" s="667" t="s">
        <v>14</v>
      </c>
      <c r="S46" s="668">
        <f t="shared" si="9"/>
        <v>100</v>
      </c>
      <c r="T46" s="667" t="s">
        <v>14</v>
      </c>
      <c r="U46" s="668">
        <f t="shared" si="10"/>
        <v>100</v>
      </c>
      <c r="V46" s="667" t="s">
        <v>14</v>
      </c>
      <c r="W46" s="668">
        <f t="shared" si="11"/>
        <v>100</v>
      </c>
      <c r="X46" s="1261"/>
      <c r="Y46" s="3421"/>
      <c r="Z46" s="1260">
        <f t="shared" si="12"/>
        <v>111</v>
      </c>
      <c r="AA46" s="1260">
        <f t="shared" si="3"/>
        <v>1</v>
      </c>
      <c r="AB46" s="1260">
        <f t="shared" si="4"/>
        <v>1</v>
      </c>
      <c r="AC46" s="1260">
        <f t="shared" si="5"/>
        <v>1</v>
      </c>
    </row>
    <row r="47" spans="1:29" ht="15">
      <c r="A47" s="416" t="s">
        <v>1707</v>
      </c>
      <c r="B47" s="417"/>
      <c r="C47" s="1078" t="s">
        <v>0</v>
      </c>
      <c r="D47" s="418"/>
      <c r="E47" s="419"/>
      <c r="F47" s="420"/>
      <c r="G47" s="421"/>
      <c r="H47" s="422"/>
      <c r="I47" s="419"/>
      <c r="J47" s="422"/>
      <c r="K47" s="674"/>
      <c r="L47" s="2486"/>
      <c r="M47" s="2479"/>
      <c r="N47" s="2479"/>
      <c r="O47" s="2479"/>
      <c r="P47" s="3422" t="str">
        <f>A47</f>
        <v>成交单价（元/平方米）</v>
      </c>
      <c r="Q47" s="3422"/>
      <c r="R47" s="3409">
        <f>E47</f>
        <v>0</v>
      </c>
      <c r="S47" s="3409"/>
      <c r="T47" s="3409">
        <f>G47</f>
        <v>0</v>
      </c>
      <c r="U47" s="3409"/>
      <c r="V47" s="3409">
        <f>I47</f>
        <v>0</v>
      </c>
      <c r="W47" s="3409"/>
      <c r="X47" s="385"/>
      <c r="Y47" s="673"/>
      <c r="Z47" s="385"/>
      <c r="AA47" s="385"/>
      <c r="AB47" s="385"/>
      <c r="AC47" s="385"/>
    </row>
    <row r="48" spans="1:29" ht="15.75" thickBot="1">
      <c r="A48" s="423" t="s">
        <v>1792</v>
      </c>
      <c r="B48" s="424"/>
      <c r="C48" s="1079" t="e">
        <f>R49</f>
        <v>#DIV/0!</v>
      </c>
      <c r="D48" s="2136" t="s">
        <v>2136</v>
      </c>
      <c r="E48" s="1080" t="e">
        <f>R48</f>
        <v>#DIV/0!</v>
      </c>
      <c r="F48" s="2137"/>
      <c r="G48" s="1079" t="e">
        <f>T48</f>
        <v>#DIV/0!</v>
      </c>
      <c r="H48" s="2137"/>
      <c r="I48" s="1080" t="e">
        <f>V48</f>
        <v>#DIV/0!</v>
      </c>
      <c r="J48" s="2137"/>
      <c r="K48" s="2139">
        <f>F48+H48+J48</f>
        <v>0</v>
      </c>
      <c r="L48" s="2486"/>
      <c r="M48" s="2479"/>
      <c r="N48" s="2479"/>
      <c r="O48" s="2479"/>
      <c r="P48" s="3422" t="str">
        <f>A48</f>
        <v>比较价值（元/平方米）</v>
      </c>
      <c r="Q48" s="3422"/>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86"/>
      <c r="M49" s="2479"/>
      <c r="N49" s="2479"/>
      <c r="O49" s="2479"/>
      <c r="P49" s="3436" t="str">
        <f>A49</f>
        <v>估价对象XX用房的比较价值（楼面单价，元/平方米）</v>
      </c>
      <c r="Q49" s="3437"/>
      <c r="R49" s="3487" t="e">
        <f>IF(F1="售价",ROUND(IF(D48="简单平均",AVERAGE(R48:V48),R48*F48+T48*H48+V48*J48),0),ROUND(IF(D48="简单平均",AVERAGE(R48:V48),R48*F48+T48*H48+V48*J48),1))</f>
        <v>#DIV/0!</v>
      </c>
      <c r="S49" s="3487"/>
      <c r="T49" s="3487"/>
      <c r="U49" s="3487"/>
      <c r="V49" s="3487"/>
      <c r="W49" s="3487"/>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1.75" thickBot="1">
      <c r="A57" s="658" t="s">
        <v>1797</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5">
      <c r="A58" s="440" t="s">
        <v>1678</v>
      </c>
      <c r="B58" s="441"/>
      <c r="C58" s="1099" t="str">
        <f>YEAR(C7)&amp;"-"&amp;MONTH(C7)</f>
        <v>2024-12</v>
      </c>
      <c r="D58" s="1100">
        <f>EDATE(C58,-1)</f>
        <v>45597</v>
      </c>
      <c r="E58" s="1100">
        <f t="shared" ref="E58:N58" si="13">EDATE(D58,-1)</f>
        <v>45566</v>
      </c>
      <c r="F58" s="1100">
        <f t="shared" si="13"/>
        <v>45536</v>
      </c>
      <c r="G58" s="1100">
        <f t="shared" si="13"/>
        <v>45505</v>
      </c>
      <c r="H58" s="1100">
        <f t="shared" si="13"/>
        <v>45474</v>
      </c>
      <c r="I58" s="1100">
        <f t="shared" si="13"/>
        <v>45444</v>
      </c>
      <c r="J58" s="1100">
        <f t="shared" si="13"/>
        <v>45413</v>
      </c>
      <c r="K58" s="1100">
        <f t="shared" si="13"/>
        <v>45383</v>
      </c>
      <c r="L58" s="1100">
        <f t="shared" si="13"/>
        <v>45352</v>
      </c>
      <c r="M58" s="1100">
        <f t="shared" si="13"/>
        <v>45323</v>
      </c>
      <c r="N58" s="1100">
        <f t="shared" si="13"/>
        <v>45292</v>
      </c>
      <c r="O58" s="1100">
        <f>EDATE(N58,-1)</f>
        <v>45261</v>
      </c>
      <c r="P58" s="2501"/>
      <c r="Q58" s="2502"/>
      <c r="R58" s="2502"/>
      <c r="S58" s="2502"/>
      <c r="T58" s="2502"/>
      <c r="U58" s="2502"/>
      <c r="V58" s="2502"/>
      <c r="W58" s="2502"/>
      <c r="X58" s="2502"/>
      <c r="Y58" s="2502"/>
      <c r="Z58" s="2502"/>
      <c r="AA58" s="2502"/>
      <c r="AB58" s="2502"/>
      <c r="AC58" s="2502"/>
    </row>
    <row r="59" spans="1:29" s="102" customFormat="1" ht="15">
      <c r="A59" s="443"/>
      <c r="B59" s="444"/>
      <c r="C59" s="1098">
        <v>100</v>
      </c>
      <c r="D59" s="446"/>
      <c r="E59" s="446"/>
      <c r="F59" s="446"/>
      <c r="G59" s="446"/>
      <c r="H59" s="446"/>
      <c r="I59" s="446"/>
      <c r="J59" s="446"/>
      <c r="K59" s="446"/>
      <c r="L59" s="446"/>
      <c r="M59" s="447"/>
      <c r="N59" s="446"/>
      <c r="O59" s="447"/>
      <c r="P59" s="2503"/>
      <c r="Q59" s="2432"/>
      <c r="R59" s="2432"/>
      <c r="S59" s="2432"/>
      <c r="T59" s="2432"/>
      <c r="U59" s="2432"/>
      <c r="V59" s="2432"/>
      <c r="W59" s="2432"/>
      <c r="X59" s="2432"/>
      <c r="Y59" s="2432"/>
      <c r="Z59" s="2432"/>
      <c r="AA59" s="2432"/>
      <c r="AB59" s="2432"/>
      <c r="AC59" s="2432"/>
    </row>
    <row r="60" spans="1:29" s="102" customFormat="1" ht="15.75" thickBot="1">
      <c r="A60" s="449" t="s">
        <v>1715</v>
      </c>
      <c r="B60" s="450"/>
      <c r="C60" s="451"/>
      <c r="D60" s="452"/>
      <c r="E60" s="452"/>
      <c r="F60" s="452"/>
      <c r="G60" s="452"/>
      <c r="H60" s="452"/>
      <c r="I60" s="452"/>
      <c r="J60" s="452"/>
      <c r="K60" s="452"/>
      <c r="L60" s="452"/>
      <c r="M60" s="453"/>
      <c r="N60" s="452"/>
      <c r="O60" s="453"/>
      <c r="P60" s="2503"/>
      <c r="Q60" s="2500"/>
      <c r="R60" s="2432"/>
      <c r="S60" s="2432"/>
      <c r="T60" s="2432"/>
      <c r="U60" s="2432"/>
      <c r="V60" s="2432"/>
      <c r="W60" s="2432"/>
      <c r="X60" s="2432"/>
      <c r="Y60" s="2432"/>
      <c r="Z60" s="2432"/>
      <c r="AA60" s="2432"/>
      <c r="AB60" s="2432"/>
      <c r="AC60" s="2432"/>
    </row>
    <row r="61" spans="1:29" s="102" customFormat="1" ht="15">
      <c r="A61" s="455" t="s">
        <v>1680</v>
      </c>
      <c r="B61" s="444"/>
      <c r="C61" s="456" t="s">
        <v>1775</v>
      </c>
      <c r="D61" s="31"/>
      <c r="E61" s="31"/>
      <c r="F61" s="31"/>
      <c r="G61" s="31"/>
      <c r="H61" s="31"/>
      <c r="I61" s="31"/>
      <c r="J61" s="31"/>
      <c r="K61" s="31"/>
      <c r="L61" s="457"/>
      <c r="M61" s="458"/>
      <c r="N61" s="2512"/>
      <c r="O61" s="2512"/>
      <c r="P61" s="2504"/>
      <c r="Q61" s="2500"/>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2"/>
      <c r="O62" s="2512"/>
      <c r="P62" s="2503"/>
      <c r="Q62" s="2500"/>
      <c r="R62" s="2432"/>
      <c r="S62" s="2432"/>
      <c r="T62" s="2432"/>
      <c r="U62" s="2432"/>
      <c r="V62" s="2432"/>
      <c r="W62" s="2432"/>
      <c r="X62" s="2432"/>
      <c r="Y62" s="2432"/>
      <c r="Z62" s="2432"/>
      <c r="AA62" s="2432"/>
      <c r="AB62" s="2432"/>
      <c r="AC62" s="2432"/>
    </row>
    <row r="63" spans="1:29">
      <c r="A63" s="379" t="s">
        <v>1718</v>
      </c>
      <c r="B63" s="460" t="s">
        <v>1684</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5.75"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7.75" thickTop="1">
      <c r="A65" s="367"/>
      <c r="B65" s="469" t="s">
        <v>1687</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5.75"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75" thickTop="1">
      <c r="A67" s="367"/>
      <c r="B67" s="477" t="s">
        <v>1688</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ht="15">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4"/>
      <c r="O69" s="2514"/>
      <c r="P69" s="2505"/>
      <c r="Q69" s="2500"/>
      <c r="R69" s="2479"/>
      <c r="S69" s="2479"/>
      <c r="T69" s="2479"/>
      <c r="U69" s="2479"/>
      <c r="V69" s="2479"/>
      <c r="W69" s="2479"/>
      <c r="X69" s="2479"/>
      <c r="Y69" s="2479"/>
      <c r="Z69" s="2479"/>
      <c r="AA69" s="2479"/>
      <c r="AB69" s="2479"/>
      <c r="AC69" s="2479"/>
    </row>
    <row r="70" spans="1:29" s="408" customFormat="1" ht="15.75"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5.75"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5.75"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5.75"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5.75"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5.75"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c r="A76" s="379" t="s">
        <v>1689</v>
      </c>
      <c r="B76" s="460" t="s">
        <v>1719</v>
      </c>
      <c r="C76" s="504" t="s">
        <v>1720</v>
      </c>
      <c r="D76" s="504" t="s">
        <v>1721</v>
      </c>
      <c r="E76" s="504" t="s">
        <v>1722</v>
      </c>
      <c r="F76" s="504" t="s">
        <v>1723</v>
      </c>
      <c r="G76" s="504" t="s">
        <v>1724</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75" thickTop="1">
      <c r="A78" s="367"/>
      <c r="B78" s="469" t="s">
        <v>1725</v>
      </c>
      <c r="C78" s="509" t="s">
        <v>1720</v>
      </c>
      <c r="D78" s="509" t="s">
        <v>1721</v>
      </c>
      <c r="E78" s="509" t="s">
        <v>1722</v>
      </c>
      <c r="F78" s="509" t="s">
        <v>1723</v>
      </c>
      <c r="G78" s="509" t="s">
        <v>1724</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75" thickTop="1">
      <c r="A80" s="367"/>
      <c r="B80" s="469" t="s">
        <v>1726</v>
      </c>
      <c r="C80" s="509" t="s">
        <v>1720</v>
      </c>
      <c r="D80" s="509" t="s">
        <v>1721</v>
      </c>
      <c r="E80" s="509" t="s">
        <v>1722</v>
      </c>
      <c r="F80" s="509" t="s">
        <v>1723</v>
      </c>
      <c r="G80" s="509" t="s">
        <v>1724</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75" thickTop="1">
      <c r="A82" s="367"/>
      <c r="B82" s="477" t="s">
        <v>1778</v>
      </c>
      <c r="C82" s="581" t="s">
        <v>1798</v>
      </c>
      <c r="D82" s="581" t="s">
        <v>1799</v>
      </c>
      <c r="E82" s="581" t="s">
        <v>1800</v>
      </c>
      <c r="F82" s="581" t="s">
        <v>1801</v>
      </c>
      <c r="G82" s="581" t="s">
        <v>1802</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75" thickTop="1">
      <c r="A84" s="367"/>
      <c r="B84" s="469" t="s">
        <v>1732</v>
      </c>
      <c r="C84" s="509" t="s">
        <v>1720</v>
      </c>
      <c r="D84" s="509" t="s">
        <v>1721</v>
      </c>
      <c r="E84" s="509" t="s">
        <v>1722</v>
      </c>
      <c r="F84" s="509" t="s">
        <v>1723</v>
      </c>
      <c r="G84" s="509" t="s">
        <v>1724</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75" thickTop="1">
      <c r="A86" s="370"/>
      <c r="B86" s="469" t="s">
        <v>1803</v>
      </c>
      <c r="C86" s="485"/>
      <c r="D86" s="485"/>
      <c r="E86" s="485"/>
      <c r="F86" s="485"/>
      <c r="G86" s="485"/>
      <c r="H86" s="485"/>
      <c r="I86" s="485"/>
      <c r="J86" s="485"/>
      <c r="K86" s="485"/>
      <c r="L86" s="510"/>
      <c r="M86" s="511"/>
      <c r="N86" s="2512"/>
      <c r="O86" s="2512"/>
      <c r="P86" s="2505"/>
      <c r="Q86" s="2500"/>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05"/>
      <c r="Q87" s="2500"/>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6"/>
      <c r="G88" s="485"/>
      <c r="H88" s="485"/>
      <c r="I88" s="485"/>
      <c r="J88" s="485"/>
      <c r="K88" s="485"/>
      <c r="L88" s="485"/>
      <c r="M88" s="511"/>
      <c r="N88" s="2512"/>
      <c r="O88" s="2512"/>
      <c r="P88" s="2505"/>
      <c r="Q88" s="2500"/>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4"/>
      <c r="O89" s="2514"/>
      <c r="P89" s="2505"/>
      <c r="Q89" s="2500"/>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5"/>
      <c r="O91" s="2515"/>
      <c r="P91" s="2506"/>
      <c r="Q91" s="2507"/>
      <c r="R91" s="2485"/>
      <c r="S91" s="2485"/>
      <c r="T91" s="2485"/>
      <c r="U91" s="2485"/>
      <c r="V91" s="2485"/>
      <c r="W91" s="2485"/>
      <c r="X91" s="2485"/>
      <c r="Y91" s="2485"/>
      <c r="Z91" s="2485"/>
      <c r="AA91" s="2485"/>
      <c r="AB91" s="2485"/>
      <c r="AC91" s="2485"/>
    </row>
    <row r="92" spans="1:29" ht="15.75"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5.75"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5.75"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5.75"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5.75"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5.75"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5.75"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5.75"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c r="A100" s="379" t="s">
        <v>1693</v>
      </c>
      <c r="B100" s="460" t="s">
        <v>1804</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4"/>
      <c r="O101" s="2514"/>
      <c r="P101" s="2505"/>
      <c r="Q101" s="2500"/>
      <c r="R101" s="2479"/>
      <c r="S101" s="2479"/>
      <c r="T101" s="2479"/>
      <c r="U101" s="2479"/>
      <c r="V101" s="2479"/>
      <c r="W101" s="2479"/>
      <c r="X101" s="2479"/>
      <c r="Y101" s="2479"/>
      <c r="Z101" s="2479"/>
      <c r="AA101" s="2479"/>
      <c r="AB101" s="2479"/>
      <c r="AC101" s="2479"/>
    </row>
    <row r="102" spans="1:29" ht="15.75" thickTop="1">
      <c r="A102" s="367"/>
      <c r="B102" s="469" t="s">
        <v>1736</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5.75"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1737</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1739</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1741</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1805</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1806</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1807</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5.75"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1808</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1743</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4"/>
      <c r="O123" s="2514"/>
      <c r="P123" s="2505"/>
      <c r="Q123" s="2500"/>
      <c r="R123" s="2479"/>
      <c r="S123" s="2479"/>
      <c r="T123" s="2479"/>
      <c r="U123" s="2479"/>
      <c r="V123" s="2479"/>
      <c r="W123" s="2479"/>
      <c r="X123" s="2479"/>
      <c r="Y123" s="2479"/>
      <c r="Z123" s="2479"/>
      <c r="AA123" s="2479"/>
      <c r="AB123" s="2479"/>
      <c r="AC123" s="2479"/>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5"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5.75"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5"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5.75"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5"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5.75"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82" priority="16" stopIfTrue="1">
      <formula>$F$52="超过30%"</formula>
    </cfRule>
  </conditionalFormatting>
  <conditionalFormatting sqref="E53">
    <cfRule type="expression" dxfId="81" priority="15" stopIfTrue="1">
      <formula>$F$53="超过20%"</formula>
    </cfRule>
  </conditionalFormatting>
  <conditionalFormatting sqref="E54">
    <cfRule type="expression" dxfId="80" priority="14" stopIfTrue="1">
      <formula>$F$54="超过30%"</formula>
    </cfRule>
  </conditionalFormatting>
  <conditionalFormatting sqref="F7:F46 H7:H46 J7:J46">
    <cfRule type="cellIs" dxfId="79" priority="1" operator="notEqual">
      <formula>100</formula>
    </cfRule>
  </conditionalFormatting>
  <conditionalFormatting sqref="F48">
    <cfRule type="expression" dxfId="78" priority="4">
      <formula>$D$48="简单平均"</formula>
    </cfRule>
  </conditionalFormatting>
  <conditionalFormatting sqref="F52:F54 H52:H54">
    <cfRule type="containsText" dxfId="77" priority="17" stopIfTrue="1" operator="containsText" text="超过">
      <formula>NOT(ISERROR(SEARCH("超过",F52)))</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G54">
    <cfRule type="expression" dxfId="74" priority="13" stopIfTrue="1">
      <formula>$H$54="超过30%"</formula>
    </cfRule>
  </conditionalFormatting>
  <conditionalFormatting sqref="H48">
    <cfRule type="expression" dxfId="73" priority="3">
      <formula>$D$48="简单平均"</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J48">
    <cfRule type="expression" dxfId="69" priority="2">
      <formula>$D$48="简单平均"</formula>
    </cfRule>
  </conditionalFormatting>
  <conditionalFormatting sqref="J52:J54">
    <cfRule type="containsText" dxfId="68"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AK83"/>
  <sheetViews>
    <sheetView view="pageBreakPreview" topLeftCell="A12" zoomScale="85" zoomScaleNormal="70" zoomScaleSheetLayoutView="85"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21</v>
      </c>
      <c r="D1" s="1267" t="s">
        <v>43</v>
      </c>
      <c r="E1" s="1268" t="s">
        <v>678</v>
      </c>
      <c r="F1" s="996">
        <f ca="1">J53</f>
        <v>39.4</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101224</v>
      </c>
      <c r="C2" s="1285" t="s">
        <v>805</v>
      </c>
      <c r="D2" s="1285"/>
      <c r="E2" s="1291"/>
      <c r="F2" s="1292"/>
      <c r="G2" s="2470"/>
      <c r="H2" s="2460"/>
      <c r="I2" s="2460"/>
      <c r="J2" s="2460"/>
      <c r="K2" s="2461"/>
      <c r="L2" s="2460"/>
      <c r="M2" s="2460"/>
    </row>
    <row r="3" spans="1:37" ht="18" customHeight="1" thickBot="1">
      <c r="A3" s="1293" t="s">
        <v>806</v>
      </c>
      <c r="B3" s="1294">
        <f ca="1">IF(ISERROR(B2*10000/F43),0,ROUND(B2*10000/F43,0))</f>
        <v>21782</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6114</v>
      </c>
      <c r="D5" s="1269" t="s">
        <v>693</v>
      </c>
      <c r="E5" s="1005"/>
      <c r="F5" s="1006"/>
      <c r="G5" s="1288"/>
      <c r="H5" s="291">
        <v>1</v>
      </c>
      <c r="I5" s="292" t="s">
        <v>692</v>
      </c>
      <c r="J5" s="1004">
        <f ca="1">J6+J10+J12</f>
        <v>0</v>
      </c>
      <c r="K5" s="1269" t="s">
        <v>693</v>
      </c>
      <c r="L5" s="1005"/>
      <c r="M5" s="1006"/>
    </row>
    <row r="6" spans="1:37" ht="18" customHeight="1">
      <c r="A6" s="1003" t="s">
        <v>398</v>
      </c>
      <c r="B6" s="3465" t="s">
        <v>694</v>
      </c>
      <c r="C6" s="1008">
        <f ca="1">ROUND(F6*F8*F7*(1-F9)/10000,0)</f>
        <v>6106</v>
      </c>
      <c r="D6" s="147" t="s">
        <v>2107</v>
      </c>
      <c r="E6" s="294" t="s">
        <v>696</v>
      </c>
      <c r="F6" s="295">
        <f ca="1">INDIRECT("'数据-取费表'!u"&amp;$G$1)</f>
        <v>4</v>
      </c>
      <c r="G6" s="1288"/>
      <c r="H6" s="1003" t="s">
        <v>398</v>
      </c>
      <c r="I6" s="3465" t="s">
        <v>694</v>
      </c>
      <c r="J6" s="293">
        <f ca="1">ROUND(M6*M8*M7*(1-M9)/10000,0)</f>
        <v>0</v>
      </c>
      <c r="K6" s="147" t="s">
        <v>2106</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46471.11</v>
      </c>
      <c r="G7" s="1288"/>
      <c r="H7" s="296"/>
      <c r="I7" s="3466"/>
      <c r="J7" s="298"/>
      <c r="K7" s="299"/>
      <c r="L7" s="294" t="s">
        <v>697</v>
      </c>
      <c r="M7" s="295">
        <f ca="1">F7</f>
        <v>46471.11</v>
      </c>
    </row>
    <row r="8" spans="1:37" ht="18" customHeight="1">
      <c r="A8" s="296"/>
      <c r="B8" s="3466"/>
      <c r="C8" s="298"/>
      <c r="D8" s="299"/>
      <c r="E8" s="294" t="s">
        <v>698</v>
      </c>
      <c r="F8" s="295">
        <f ca="1">INDIRECT("'数据-取费表'!ai"&amp;$G$1)</f>
        <v>365</v>
      </c>
      <c r="G8" s="1288"/>
      <c r="H8" s="296"/>
      <c r="I8" s="3466"/>
      <c r="J8" s="298"/>
      <c r="K8" s="299"/>
      <c r="L8" s="294" t="s">
        <v>698</v>
      </c>
      <c r="M8" s="295">
        <f ca="1">INDIRECT("'数据-取费表'!ai"&amp;$G$1)</f>
        <v>365</v>
      </c>
    </row>
    <row r="9" spans="1:37" ht="18" customHeight="1">
      <c r="A9" s="296"/>
      <c r="B9" s="3467"/>
      <c r="C9" s="298"/>
      <c r="D9" s="299"/>
      <c r="E9" s="294" t="s">
        <v>699</v>
      </c>
      <c r="F9" s="304">
        <f ca="1">INDIRECT("'数据-取费表'!w"&amp;$G$1)</f>
        <v>0.1</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2114</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38353</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25559</v>
      </c>
      <c r="D14" s="1253" t="s">
        <v>708</v>
      </c>
      <c r="E14" s="1251"/>
      <c r="F14" s="311"/>
      <c r="G14" s="1288"/>
      <c r="H14" s="925" t="s">
        <v>398</v>
      </c>
      <c r="I14" s="294" t="s">
        <v>709</v>
      </c>
      <c r="J14" s="21">
        <f ca="1">C29</f>
        <v>38353</v>
      </c>
      <c r="K14" s="12"/>
      <c r="L14" s="756"/>
      <c r="M14" s="757"/>
    </row>
    <row r="15" spans="1:37" s="1300" customFormat="1" ht="18" customHeight="1" thickBot="1">
      <c r="A15" s="925" t="s">
        <v>399</v>
      </c>
      <c r="B15" s="294" t="s">
        <v>710</v>
      </c>
      <c r="C15" s="21">
        <f ca="1">ROUND(C14*F15,0)</f>
        <v>1278</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204</v>
      </c>
      <c r="K16" s="1021" t="s">
        <v>715</v>
      </c>
      <c r="L16" s="1022"/>
      <c r="M16" s="1006"/>
    </row>
    <row r="17" spans="1:37" s="1300" customFormat="1" ht="18" customHeight="1">
      <c r="A17" s="925" t="s">
        <v>681</v>
      </c>
      <c r="B17" s="294" t="s">
        <v>716</v>
      </c>
      <c r="C17" s="21">
        <f ca="1">ROUND(F17*(F43+INDIRECT("'数据-取费表'!S"&amp;$G$1))/10000,0)</f>
        <v>929</v>
      </c>
      <c r="D17" s="294" t="s">
        <v>717</v>
      </c>
      <c r="E17" s="294" t="s">
        <v>718</v>
      </c>
      <c r="F17" s="23">
        <f>'数据-取费表'!B35</f>
        <v>200</v>
      </c>
      <c r="G17" s="1299"/>
      <c r="H17" s="925" t="s">
        <v>398</v>
      </c>
      <c r="I17" s="294" t="s">
        <v>719</v>
      </c>
      <c r="J17" s="2135">
        <f ca="1">ROUND(IF(AND(项目基本情况!B11="自然人",项目基本情况!B10="北京市"),J6*M17/(1+'数据-取费表'!C42),J18+J19+J20),2)</f>
        <v>12.05</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767</v>
      </c>
      <c r="D18" s="294" t="s">
        <v>711</v>
      </c>
      <c r="E18" s="294" t="s">
        <v>712</v>
      </c>
      <c r="F18" s="314">
        <f>'数据-取费表'!B36</f>
        <v>0.03</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28533</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856</v>
      </c>
      <c r="D20" s="315" t="s">
        <v>729</v>
      </c>
      <c r="E20" s="294" t="s">
        <v>712</v>
      </c>
      <c r="F20" s="314">
        <f>'数据-取费表'!B37</f>
        <v>0.03</v>
      </c>
      <c r="G20" s="1299"/>
      <c r="H20" s="925" t="s">
        <v>680</v>
      </c>
      <c r="I20" s="147" t="s">
        <v>730</v>
      </c>
      <c r="J20" s="22">
        <f ca="1">ROUND(M20*M21/10000,2)</f>
        <v>12.05</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0.03</v>
      </c>
      <c r="G21" s="1299"/>
      <c r="H21" s="318"/>
      <c r="I21" s="303"/>
      <c r="J21" s="26"/>
      <c r="K21" s="319"/>
      <c r="L21" s="294" t="s">
        <v>736</v>
      </c>
      <c r="M21" s="295">
        <f ca="1">INDIRECT("'数据-取费表'!r"&amp;$G$1)</f>
        <v>10037.620000000001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191.77</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1143</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-204</v>
      </c>
      <c r="K25" s="1029" t="s">
        <v>753</v>
      </c>
      <c r="L25" s="1030"/>
      <c r="M25" s="1031"/>
    </row>
    <row r="26" spans="1:37">
      <c r="A26" s="925" t="s">
        <v>397</v>
      </c>
      <c r="B26" s="294" t="s">
        <v>754</v>
      </c>
      <c r="C26" s="21">
        <f ca="1">ROUND((C19+C20)*F26,0)</f>
        <v>4408</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4.4999999999999997E-3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38353</v>
      </c>
      <c r="D29" s="1026"/>
      <c r="E29" s="1024"/>
      <c r="F29" s="1027"/>
      <c r="G29" s="1299"/>
      <c r="H29" s="325" t="s">
        <v>396</v>
      </c>
      <c r="I29" s="326" t="s">
        <v>768</v>
      </c>
      <c r="J29" s="327">
        <f ca="1">ROUND(J26/(1+F40)^F41,0)</f>
        <v>0</v>
      </c>
      <c r="K29" s="328" t="s">
        <v>769</v>
      </c>
      <c r="L29" s="329"/>
      <c r="M29" s="330">
        <f ca="1">INDIRECT("'数据-取费表'!k"&amp;$G$1)</f>
        <v>46471.11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1296</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1035.53</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325.64999999999998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697.83</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12.05</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10037.620000000001</v>
      </c>
      <c r="G35" s="1288"/>
      <c r="H35" s="2462"/>
      <c r="I35" s="1301"/>
      <c r="J35" s="1302"/>
      <c r="K35" s="2466"/>
      <c r="L35" s="2465"/>
      <c r="M35" s="2465"/>
    </row>
    <row r="36" spans="1:18" ht="18" customHeight="1">
      <c r="A36" s="1036" t="s">
        <v>402</v>
      </c>
      <c r="B36" s="294" t="s">
        <v>738</v>
      </c>
      <c r="C36" s="21">
        <f ca="1">ROUND(C29*F36,2)</f>
        <v>191.77</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38.35</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30.57</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4818</v>
      </c>
      <c r="D39" s="1029" t="s">
        <v>753</v>
      </c>
      <c r="E39" s="1030"/>
      <c r="F39" s="1031"/>
      <c r="G39" s="1288"/>
      <c r="H39" s="2465">
        <f ca="1">C39/C6</f>
        <v>0.78905994104159838</v>
      </c>
      <c r="J39" s="1302"/>
      <c r="K39" s="2463"/>
      <c r="L39" s="2465"/>
      <c r="M39" s="2465"/>
    </row>
    <row r="40" spans="1:18" ht="18" customHeight="1">
      <c r="A40" s="291" t="s">
        <v>395</v>
      </c>
      <c r="B40" s="292" t="s">
        <v>774</v>
      </c>
      <c r="C40" s="293">
        <f ca="1">ROUND(C39*(1-((1+F42)/(1+F40))^F41)/(F40-F42),0)</f>
        <v>101224</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21782</v>
      </c>
      <c r="D43" s="328" t="s">
        <v>777</v>
      </c>
      <c r="E43" s="329" t="s">
        <v>778</v>
      </c>
      <c r="F43" s="330">
        <f ca="1">INDIRECT("'数据-取费表'!k"&amp;$G$1)</f>
        <v>46471.11</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-105090</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101224</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38353</v>
      </c>
      <c r="R49" s="1323" t="s">
        <v>818</v>
      </c>
    </row>
    <row r="50" spans="1:18" s="1288" customFormat="1" ht="13.5" thickBot="1">
      <c r="A50" s="919"/>
      <c r="B50" s="922"/>
      <c r="C50" s="1052"/>
      <c r="D50" s="896"/>
      <c r="E50" s="990" t="s">
        <v>697</v>
      </c>
      <c r="F50" s="991">
        <f ca="1">F7</f>
        <v>46471.11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40382</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63" t="s">
        <v>837</v>
      </c>
      <c r="L53" s="3464"/>
      <c r="O53" s="1321" t="s">
        <v>409</v>
      </c>
      <c r="P53" s="1322" t="s">
        <v>838</v>
      </c>
      <c r="Q53" s="1323">
        <f ca="1">Q47+Q48</f>
        <v>101224</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38353</v>
      </c>
      <c r="D56" s="1348"/>
      <c r="E56" s="1349"/>
      <c r="F56" s="1341"/>
      <c r="I56" s="1350" t="s">
        <v>842</v>
      </c>
      <c r="J56" s="1351" t="s">
        <v>3391</v>
      </c>
      <c r="K56" s="1324" t="s">
        <v>843</v>
      </c>
      <c r="L56" s="1327" t="str">
        <f ca="1">IF(L48&lt;J51,"——",L48-J53)</f>
        <v>——</v>
      </c>
      <c r="O56" s="1321" t="s">
        <v>403</v>
      </c>
      <c r="P56" s="1322" t="s">
        <v>817</v>
      </c>
      <c r="Q56" s="1323">
        <f ca="1">C40+J29</f>
        <v>101224</v>
      </c>
      <c r="R56" s="1323" t="s">
        <v>818</v>
      </c>
    </row>
    <row r="57" spans="1:18" s="1288" customFormat="1" ht="24.75" thickBot="1">
      <c r="A57" s="1352"/>
      <c r="B57" s="893" t="s">
        <v>767</v>
      </c>
      <c r="C57" s="230">
        <f ca="1">C29</f>
        <v>38353</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242</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12</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12.05</v>
      </c>
      <c r="D62" s="908" t="s">
        <v>731</v>
      </c>
      <c r="E62" s="893" t="s">
        <v>732</v>
      </c>
      <c r="F62" s="317">
        <f t="shared" si="0"/>
        <v>12</v>
      </c>
      <c r="I62" s="1363" t="s">
        <v>858</v>
      </c>
      <c r="J62" s="610" t="s">
        <v>859</v>
      </c>
      <c r="K62" s="610" t="s">
        <v>860</v>
      </c>
      <c r="L62" s="610" t="s">
        <v>861</v>
      </c>
      <c r="M62" s="1364" t="s">
        <v>862</v>
      </c>
      <c r="O62" s="1321" t="s">
        <v>409</v>
      </c>
      <c r="P62" s="1322" t="s">
        <v>838</v>
      </c>
      <c r="Q62" s="1323">
        <f ca="1">Q56+Q57</f>
        <v>101224</v>
      </c>
      <c r="R62" s="1323" t="s">
        <v>410</v>
      </c>
    </row>
    <row r="63" spans="1:18" s="1288" customFormat="1" ht="13.5" thickBot="1">
      <c r="A63" s="318"/>
      <c r="B63" s="899"/>
      <c r="C63" s="26"/>
      <c r="D63" s="909"/>
      <c r="E63" s="893" t="s">
        <v>736</v>
      </c>
      <c r="F63" s="295">
        <f t="shared" ca="1" si="0"/>
        <v>10037.620000000001</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191.77</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38.35</v>
      </c>
      <c r="D65" s="907" t="s">
        <v>743</v>
      </c>
      <c r="E65" s="893" t="s">
        <v>712</v>
      </c>
      <c r="F65" s="321">
        <f t="shared" ca="1" si="0"/>
        <v>1E-3</v>
      </c>
      <c r="I65" s="1363" t="s">
        <v>867</v>
      </c>
      <c r="J65" s="610">
        <v>40</v>
      </c>
      <c r="K65" s="610">
        <v>30</v>
      </c>
      <c r="L65" s="610">
        <v>50</v>
      </c>
      <c r="M65" s="1365">
        <v>0.02</v>
      </c>
      <c r="O65" s="1321" t="s">
        <v>403</v>
      </c>
      <c r="P65" s="1322" t="s">
        <v>817</v>
      </c>
      <c r="Q65" s="1323">
        <f ca="1">C40+J29</f>
        <v>101224</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-242</v>
      </c>
      <c r="D67" s="906" t="s">
        <v>753</v>
      </c>
      <c r="E67" s="911"/>
      <c r="F67" s="912"/>
      <c r="O67" s="1330" t="s">
        <v>405</v>
      </c>
      <c r="P67" s="1322" t="s">
        <v>850</v>
      </c>
      <c r="Q67" s="1366">
        <f ca="1">L51</f>
        <v>40382</v>
      </c>
      <c r="R67" s="1323" t="s">
        <v>870</v>
      </c>
    </row>
    <row r="68" spans="1:18" s="1288" customFormat="1" ht="16.5" thickBot="1">
      <c r="A68" s="890" t="s">
        <v>395</v>
      </c>
      <c r="B68" s="891" t="s">
        <v>774</v>
      </c>
      <c r="C68" s="293">
        <f ca="1">ROUND(C67*(1-((1+F70)/(1+F68))^F69)/(F68-F70),0)</f>
        <v>-3866</v>
      </c>
      <c r="D68" s="908" t="s">
        <v>758</v>
      </c>
      <c r="E68" s="893" t="s">
        <v>759</v>
      </c>
      <c r="F68" s="304">
        <f ca="1">F40</f>
        <v>5.5E-2</v>
      </c>
      <c r="O68" s="1330" t="s">
        <v>406</v>
      </c>
      <c r="P68" s="1367" t="s">
        <v>871</v>
      </c>
      <c r="Q68" s="1323">
        <f ca="1">ROUND(Q69-Q70*Q71,0)</f>
        <v>2133</v>
      </c>
      <c r="R68" s="1323" t="s">
        <v>414</v>
      </c>
    </row>
    <row r="69" spans="1:18" s="1288" customFormat="1" ht="13.5" thickBot="1">
      <c r="A69" s="894"/>
      <c r="B69" s="895"/>
      <c r="C69" s="298"/>
      <c r="D69" s="913" t="s">
        <v>762</v>
      </c>
      <c r="E69" s="893" t="s">
        <v>763</v>
      </c>
      <c r="F69" s="324">
        <f ca="1">F41</f>
        <v>39.4</v>
      </c>
      <c r="O69" s="1330" t="s">
        <v>411</v>
      </c>
      <c r="P69" s="1367" t="s">
        <v>872</v>
      </c>
      <c r="Q69" s="1323">
        <f ca="1">C39</f>
        <v>4818</v>
      </c>
      <c r="R69" s="1323" t="s">
        <v>818</v>
      </c>
    </row>
    <row r="70" spans="1:18" s="1288" customFormat="1" ht="13.5" thickBot="1">
      <c r="A70" s="897"/>
      <c r="B70" s="898"/>
      <c r="C70" s="302"/>
      <c r="D70" s="909"/>
      <c r="E70" s="893" t="s">
        <v>766</v>
      </c>
      <c r="F70" s="988"/>
      <c r="O70" s="1330" t="s">
        <v>412</v>
      </c>
      <c r="P70" s="1367" t="s">
        <v>873</v>
      </c>
      <c r="Q70" s="1323">
        <f ca="1">C13</f>
        <v>38353</v>
      </c>
      <c r="R70" s="1323" t="s">
        <v>818</v>
      </c>
    </row>
    <row r="71" spans="1:18" s="1288" customFormat="1" ht="13.5" thickBot="1">
      <c r="A71" s="914" t="s">
        <v>396</v>
      </c>
      <c r="B71" s="915" t="s">
        <v>776</v>
      </c>
      <c r="C71" s="327">
        <f ca="1">ROUND(C68*10000/F71,0)</f>
        <v>-832</v>
      </c>
      <c r="D71" s="916" t="s">
        <v>777</v>
      </c>
      <c r="E71" s="917" t="s">
        <v>778</v>
      </c>
      <c r="F71" s="330">
        <f ca="1">F43</f>
        <v>46471.11</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2685</v>
      </c>
      <c r="D75" s="1288"/>
      <c r="E75" s="1288"/>
      <c r="F75" s="1288"/>
      <c r="K75" s="1305"/>
      <c r="L75" s="1288"/>
      <c r="O75" s="1321" t="s">
        <v>409</v>
      </c>
      <c r="P75" s="1322" t="s">
        <v>838</v>
      </c>
      <c r="Q75" s="1323">
        <f ca="1">Q65+Q66</f>
        <v>101224</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0.44299999999999995</v>
      </c>
    </row>
    <row r="80" spans="1:18">
      <c r="B80" s="331" t="s">
        <v>800</v>
      </c>
      <c r="C80" s="266">
        <f ca="1">ROUND(C75/C39,3)</f>
        <v>0.55700000000000005</v>
      </c>
    </row>
    <row r="81" spans="2:3">
      <c r="B81" s="262" t="s">
        <v>801</v>
      </c>
      <c r="C81" s="230"/>
    </row>
    <row r="82" spans="2:3">
      <c r="B82" s="265" t="s">
        <v>802</v>
      </c>
      <c r="C82" s="267">
        <f ca="1">1-C83</f>
        <v>0.621</v>
      </c>
    </row>
    <row r="83" spans="2:3">
      <c r="B83" s="265" t="s">
        <v>803</v>
      </c>
      <c r="C83" s="266">
        <f ca="1">ROUND(C13/C40,3)</f>
        <v>0.379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7" priority="3">
      <formula>$F$10="自定义"</formula>
    </cfRule>
  </conditionalFormatting>
  <conditionalFormatting sqref="C54">
    <cfRule type="expression" dxfId="66" priority="1">
      <formula>$F$53="自定义"</formula>
    </cfRule>
  </conditionalFormatting>
  <conditionalFormatting sqref="I55 I60">
    <cfRule type="expression" dxfId="65" priority="5">
      <formula>$J$51&gt;$L$48</formula>
    </cfRule>
  </conditionalFormatting>
  <conditionalFormatting sqref="J11">
    <cfRule type="expression" dxfId="64" priority="2">
      <formula>$M$10="自定义"</formula>
    </cfRule>
  </conditionalFormatting>
  <conditionalFormatting sqref="K55 K60">
    <cfRule type="expression" dxfId="63" priority="4">
      <formula>$L$48&gt;$J$51</formula>
    </cfRule>
  </conditionalFormatting>
  <dataValidations count="9">
    <dataValidation type="list" allowBlank="1" showInputMessage="1" showErrorMessage="1" sqref="D1" xr:uid="{00000000-0002-0000-2200-000000000000}">
      <formula1>"在建（套用方法）,土地（套用方法）,——"</formula1>
    </dataValidation>
    <dataValidation type="list" allowBlank="1" showInputMessage="1" showErrorMessage="1" sqref="M10 F10 F53" xr:uid="{00000000-0002-0000-2200-000001000000}">
      <formula1>"押一,押二,押三,自定义"</formula1>
    </dataValidation>
    <dataValidation type="list" allowBlank="1" showInputMessage="1" showErrorMessage="1" sqref="L55" xr:uid="{00000000-0002-0000-2200-000002000000}">
      <formula1>"比较法,基准地价,收益还原"</formula1>
    </dataValidation>
    <dataValidation type="list" allowBlank="1" showInputMessage="1" showErrorMessage="1" sqref="J56" xr:uid="{00000000-0002-0000-2200-000003000000}">
      <formula1>估价范围判定</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47" xr:uid="{00000000-0002-0000-2200-000005000000}">
      <formula1>"钢,钢混,砖混"</formula1>
    </dataValidation>
    <dataValidation type="list" allowBlank="1" showInputMessage="1" showErrorMessage="1" sqref="C1" xr:uid="{00000000-0002-0000-2200-000006000000}">
      <formula1>项目类型</formula1>
    </dataValidation>
    <dataValidation type="list" allowBlank="1" showInputMessage="1" showErrorMessage="1" sqref="D33 D61" xr:uid="{00000000-0002-0000-2200-000007000000}">
      <formula1>"按租金收入计税,按房产原值计税,按票据"</formula1>
    </dataValidation>
    <dataValidation type="list" allowBlank="1" showInputMessage="1" showErrorMessage="1" sqref="K19" xr:uid="{00000000-0002-0000-2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K83"/>
  <sheetViews>
    <sheetView view="pageBreakPreview" topLeftCell="B1" zoomScale="85" zoomScaleNormal="70" zoomScaleSheetLayoutView="85" workbookViewId="0">
      <selection activeCell="K54" sqref="K5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3420</v>
      </c>
      <c r="D1" s="1267" t="s">
        <v>43</v>
      </c>
      <c r="E1" s="1268" t="s">
        <v>678</v>
      </c>
      <c r="F1" s="996">
        <f ca="1">J53</f>
        <v>39.4</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12165</v>
      </c>
      <c r="C2" s="1285" t="s">
        <v>805</v>
      </c>
      <c r="D2" s="1285"/>
      <c r="E2" s="1291"/>
      <c r="F2" s="1292"/>
      <c r="G2" s="2470"/>
      <c r="H2" s="2460"/>
      <c r="I2" s="2460"/>
      <c r="J2" s="2460"/>
      <c r="K2" s="2461"/>
      <c r="L2" s="2460"/>
      <c r="M2" s="2460"/>
    </row>
    <row r="3" spans="1:37" ht="18" customHeight="1" thickBot="1">
      <c r="A3" s="1293" t="s">
        <v>806</v>
      </c>
      <c r="B3" s="1294">
        <f ca="1">IF(ISERROR(B2*10000/F43),0,ROUND(B2*10000/F43,0))</f>
        <v>4275</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803</v>
      </c>
      <c r="D5" s="1269" t="s">
        <v>693</v>
      </c>
      <c r="E5" s="1005"/>
      <c r="F5" s="1006"/>
      <c r="G5" s="1288"/>
      <c r="H5" s="291">
        <v>1</v>
      </c>
      <c r="I5" s="292" t="s">
        <v>692</v>
      </c>
      <c r="J5" s="1004">
        <f ca="1">J6+J10+J12</f>
        <v>0</v>
      </c>
      <c r="K5" s="1269" t="s">
        <v>693</v>
      </c>
      <c r="L5" s="1005"/>
      <c r="M5" s="1006"/>
    </row>
    <row r="6" spans="1:37" ht="18" customHeight="1">
      <c r="A6" s="1003" t="s">
        <v>398</v>
      </c>
      <c r="B6" s="3465" t="s">
        <v>694</v>
      </c>
      <c r="C6" s="1008">
        <f ca="1">ROUND(F6*F8*F7*(1-F9)/10000,0)</f>
        <v>803</v>
      </c>
      <c r="D6" s="147" t="s">
        <v>2107</v>
      </c>
      <c r="E6" s="294" t="s">
        <v>696</v>
      </c>
      <c r="F6" s="295">
        <f ca="1">INDIRECT("'数据-取费表'!u"&amp;$G$1)</f>
        <v>900</v>
      </c>
      <c r="G6" s="1288"/>
      <c r="H6" s="1003" t="s">
        <v>398</v>
      </c>
      <c r="I6" s="3465" t="s">
        <v>694</v>
      </c>
      <c r="J6" s="293">
        <f ca="1">ROUND(M6*M8*M7*(1-M9)/10000,0)</f>
        <v>0</v>
      </c>
      <c r="K6" s="147" t="s">
        <v>2106</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826</v>
      </c>
      <c r="G7" s="1288"/>
      <c r="H7" s="296"/>
      <c r="I7" s="3466"/>
      <c r="J7" s="298"/>
      <c r="K7" s="299"/>
      <c r="L7" s="294" t="s">
        <v>697</v>
      </c>
      <c r="M7" s="295">
        <f ca="1">F7</f>
        <v>826</v>
      </c>
    </row>
    <row r="8" spans="1:37" ht="18" customHeight="1">
      <c r="A8" s="296"/>
      <c r="B8" s="3466"/>
      <c r="C8" s="298"/>
      <c r="D8" s="299"/>
      <c r="E8" s="294" t="s">
        <v>698</v>
      </c>
      <c r="F8" s="295">
        <f ca="1">INDIRECT("'数据-取费表'!ai"&amp;$G$1)</f>
        <v>12</v>
      </c>
      <c r="G8" s="1288"/>
      <c r="H8" s="296"/>
      <c r="I8" s="3466"/>
      <c r="J8" s="298"/>
      <c r="K8" s="299"/>
      <c r="L8" s="294" t="s">
        <v>698</v>
      </c>
      <c r="M8" s="295">
        <f ca="1">INDIRECT("'数据-取费表'!ai"&amp;$G$1)</f>
        <v>12</v>
      </c>
    </row>
    <row r="9" spans="1:37" ht="18" customHeight="1">
      <c r="A9" s="296"/>
      <c r="B9" s="3467"/>
      <c r="C9" s="298"/>
      <c r="D9" s="299"/>
      <c r="E9" s="294" t="s">
        <v>699</v>
      </c>
      <c r="F9" s="304">
        <f ca="1">INDIRECT("'数据-取费表'!w"&amp;$G$1)</f>
        <v>0.1</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t="s">
        <v>3458</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20114</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14229</v>
      </c>
      <c r="D14" s="1253" t="s">
        <v>708</v>
      </c>
      <c r="E14" s="1251"/>
      <c r="F14" s="311"/>
      <c r="G14" s="1288"/>
      <c r="H14" s="925" t="s">
        <v>398</v>
      </c>
      <c r="I14" s="294" t="s">
        <v>709</v>
      </c>
      <c r="J14" s="21">
        <f ca="1">C29</f>
        <v>20114</v>
      </c>
      <c r="K14" s="12"/>
      <c r="L14" s="756"/>
      <c r="M14" s="757"/>
    </row>
    <row r="15" spans="1:37" s="1300" customFormat="1" ht="18" customHeight="1" thickBot="1">
      <c r="A15" s="925" t="s">
        <v>399</v>
      </c>
      <c r="B15" s="294" t="s">
        <v>710</v>
      </c>
      <c r="C15" s="21">
        <f ca="1">ROUND(C14*F15,0)</f>
        <v>711</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108</v>
      </c>
      <c r="K16" s="1021" t="s">
        <v>715</v>
      </c>
      <c r="L16" s="1022"/>
      <c r="M16" s="1006"/>
    </row>
    <row r="17" spans="1:37" s="1300" customFormat="1" ht="18" customHeight="1">
      <c r="A17" s="925" t="s">
        <v>681</v>
      </c>
      <c r="B17" s="294" t="s">
        <v>716</v>
      </c>
      <c r="C17" s="21">
        <f ca="1">ROUND(F17*(F43+INDIRECT("'数据-取费表'!S"&amp;$G$1))/10000,0)</f>
        <v>569</v>
      </c>
      <c r="D17" s="294" t="s">
        <v>717</v>
      </c>
      <c r="E17" s="294" t="s">
        <v>718</v>
      </c>
      <c r="F17" s="23">
        <f>'数据-取费表'!B35</f>
        <v>200</v>
      </c>
      <c r="G17" s="1299"/>
      <c r="H17" s="925" t="s">
        <v>398</v>
      </c>
      <c r="I17" s="294" t="s">
        <v>719</v>
      </c>
      <c r="J17" s="2135">
        <f ca="1">ROUND(IF(AND(项目基本情况!B11="自然人",项目基本情况!B10="北京市"),J6*M17/(1+'数据-取费表'!C42),J18+J19+J20),2)</f>
        <v>7.38</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427</v>
      </c>
      <c r="D18" s="294" t="s">
        <v>711</v>
      </c>
      <c r="E18" s="294" t="s">
        <v>712</v>
      </c>
      <c r="F18" s="314">
        <f>'数据-取费表'!B36</f>
        <v>0.03</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15936</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478</v>
      </c>
      <c r="D20" s="315" t="s">
        <v>729</v>
      </c>
      <c r="E20" s="294" t="s">
        <v>712</v>
      </c>
      <c r="F20" s="314">
        <f>'数据-取费表'!B37</f>
        <v>0.03</v>
      </c>
      <c r="G20" s="1299"/>
      <c r="H20" s="925" t="s">
        <v>680</v>
      </c>
      <c r="I20" s="147" t="s">
        <v>730</v>
      </c>
      <c r="J20" s="22">
        <f ca="1">ROUND(M20*M21/10000,2)</f>
        <v>7.38</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0.03</v>
      </c>
      <c r="G21" s="1299"/>
      <c r="H21" s="318"/>
      <c r="I21" s="303"/>
      <c r="J21" s="26"/>
      <c r="K21" s="319"/>
      <c r="L21" s="294" t="s">
        <v>736</v>
      </c>
      <c r="M21" s="295">
        <f ca="1">INDIRECT("'数据-取费表'!r"&amp;$G$1)</f>
        <v>6146.99</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100.57</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639</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-108</v>
      </c>
      <c r="K25" s="1029" t="s">
        <v>753</v>
      </c>
      <c r="L25" s="1030"/>
      <c r="M25" s="1031"/>
    </row>
    <row r="26" spans="1:37">
      <c r="A26" s="925" t="s">
        <v>397</v>
      </c>
      <c r="B26" s="294" t="s">
        <v>754</v>
      </c>
      <c r="C26" s="21">
        <f ca="1">ROUND((C19+C20)*F26,0)</f>
        <v>1313</v>
      </c>
      <c r="D26" s="315" t="s">
        <v>755</v>
      </c>
      <c r="E26" s="305" t="s">
        <v>756</v>
      </c>
      <c r="F26" s="304">
        <f ca="1">INDIRECT("'数据-取费表'!q"&amp;$G$1)</f>
        <v>0.08</v>
      </c>
      <c r="G26" s="1288"/>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2.3999999999999998E-3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20114</v>
      </c>
      <c r="D29" s="1026"/>
      <c r="E29" s="1024"/>
      <c r="F29" s="1027"/>
      <c r="G29" s="1299"/>
      <c r="H29" s="325" t="s">
        <v>396</v>
      </c>
      <c r="I29" s="326" t="s">
        <v>768</v>
      </c>
      <c r="J29" s="327">
        <f ca="1">ROUND(J26/(1+F40)^F41,0)</f>
        <v>0</v>
      </c>
      <c r="K29" s="328" t="s">
        <v>769</v>
      </c>
      <c r="L29" s="329"/>
      <c r="M29" s="330">
        <f ca="1">INDIRECT("'数据-取费表'!k"&amp;$G$1)</f>
        <v>28458.699999999997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267</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141.97999999999999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42.83</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91.77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7.38</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6146.99</v>
      </c>
      <c r="G35" s="1288"/>
      <c r="H35" s="2462"/>
      <c r="I35" s="1301"/>
      <c r="J35" s="1302"/>
      <c r="K35" s="2466"/>
      <c r="L35" s="2465"/>
      <c r="M35" s="2465"/>
    </row>
    <row r="36" spans="1:18" ht="18" customHeight="1">
      <c r="A36" s="1036" t="s">
        <v>402</v>
      </c>
      <c r="B36" s="294" t="s">
        <v>738</v>
      </c>
      <c r="C36" s="21">
        <f ca="1">ROUND(C29*F36,2)</f>
        <v>100.57</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20.11</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4.0199999999999996</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536</v>
      </c>
      <c r="D39" s="1029" t="s">
        <v>753</v>
      </c>
      <c r="E39" s="1030"/>
      <c r="F39" s="1031"/>
      <c r="G39" s="1288"/>
      <c r="H39" s="2465"/>
      <c r="I39" s="1301"/>
      <c r="J39" s="1302"/>
      <c r="K39" s="2463"/>
      <c r="L39" s="2465"/>
      <c r="M39" s="2465"/>
    </row>
    <row r="40" spans="1:18" ht="18" customHeight="1">
      <c r="A40" s="291" t="s">
        <v>395</v>
      </c>
      <c r="B40" s="292" t="s">
        <v>774</v>
      </c>
      <c r="C40" s="293">
        <f ca="1">ROUND(C39*(1-((1+F42)/(1+F40))^F41)/(F40-F42),0)</f>
        <v>12165</v>
      </c>
      <c r="D40" s="316" t="s">
        <v>758</v>
      </c>
      <c r="E40" s="294" t="s">
        <v>759</v>
      </c>
      <c r="F40" s="304">
        <f ca="1">INDIRECT("'数据-取费表'!I"&amp;$G$1)</f>
        <v>0.05</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4275</v>
      </c>
      <c r="D43" s="328" t="s">
        <v>777</v>
      </c>
      <c r="E43" s="329" t="s">
        <v>778</v>
      </c>
      <c r="F43" s="330">
        <f ca="1">INDIRECT("'数据-取费表'!k"&amp;$G$1)</f>
        <v>28458.699999999997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-14351</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12165</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20114</v>
      </c>
      <c r="R49" s="1323" t="s">
        <v>818</v>
      </c>
    </row>
    <row r="50" spans="1:18" s="1288" customFormat="1" ht="13.5" thickBot="1">
      <c r="A50" s="919"/>
      <c r="B50" s="922"/>
      <c r="C50" s="1052"/>
      <c r="D50" s="896"/>
      <c r="E50" s="990" t="s">
        <v>697</v>
      </c>
      <c r="F50" s="991">
        <f ca="1">F7</f>
        <v>826</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12</v>
      </c>
      <c r="I51" s="1334" t="s">
        <v>829</v>
      </c>
      <c r="J51" s="1327">
        <f>IF(J49="",J50,J49+J50-YEAR('数据-取费表'!B2))</f>
        <v>60</v>
      </c>
      <c r="K51" s="1335" t="s">
        <v>830</v>
      </c>
      <c r="L51" s="1336">
        <f ca="1">ROUND(-PV(INDIRECT("'数据-取费表'!h"&amp;$G$1),J51,(C39-C13*C76),0),0)</f>
        <v>-17996</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63" t="s">
        <v>837</v>
      </c>
      <c r="L53" s="3464"/>
      <c r="O53" s="1321" t="s">
        <v>409</v>
      </c>
      <c r="P53" s="1322" t="s">
        <v>838</v>
      </c>
      <c r="Q53" s="1323">
        <f ca="1">Q47+Q48</f>
        <v>12165</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20114</v>
      </c>
      <c r="D56" s="1348"/>
      <c r="E56" s="1349"/>
      <c r="F56" s="1341"/>
      <c r="I56" s="1350" t="s">
        <v>842</v>
      </c>
      <c r="J56" s="1351" t="s">
        <v>3391</v>
      </c>
      <c r="K56" s="1324" t="s">
        <v>843</v>
      </c>
      <c r="L56" s="1327" t="str">
        <f ca="1">IF(L48&lt;J51,"——",L48-J53)</f>
        <v>——</v>
      </c>
      <c r="O56" s="1321" t="s">
        <v>403</v>
      </c>
      <c r="P56" s="1322" t="s">
        <v>817</v>
      </c>
      <c r="Q56" s="1323">
        <f ca="1">C40+J29</f>
        <v>12165</v>
      </c>
      <c r="R56" s="1323" t="s">
        <v>818</v>
      </c>
    </row>
    <row r="57" spans="1:18" s="1288" customFormat="1" ht="24.75" thickBot="1">
      <c r="A57" s="1352"/>
      <c r="B57" s="893" t="s">
        <v>767</v>
      </c>
      <c r="C57" s="230">
        <f ca="1">C29</f>
        <v>20114</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128</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7</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7.38</v>
      </c>
      <c r="D62" s="908" t="s">
        <v>731</v>
      </c>
      <c r="E62" s="893" t="s">
        <v>732</v>
      </c>
      <c r="F62" s="317">
        <f t="shared" si="0"/>
        <v>12</v>
      </c>
      <c r="I62" s="1363" t="s">
        <v>858</v>
      </c>
      <c r="J62" s="610" t="s">
        <v>859</v>
      </c>
      <c r="K62" s="610" t="s">
        <v>860</v>
      </c>
      <c r="L62" s="610" t="s">
        <v>861</v>
      </c>
      <c r="M62" s="1364" t="s">
        <v>862</v>
      </c>
      <c r="O62" s="1321" t="s">
        <v>409</v>
      </c>
      <c r="P62" s="1322" t="s">
        <v>838</v>
      </c>
      <c r="Q62" s="1323">
        <f ca="1">Q56+Q57</f>
        <v>12165</v>
      </c>
      <c r="R62" s="1323" t="s">
        <v>410</v>
      </c>
    </row>
    <row r="63" spans="1:18" s="1288" customFormat="1" ht="13.5" thickBot="1">
      <c r="A63" s="318"/>
      <c r="B63" s="899"/>
      <c r="C63" s="26"/>
      <c r="D63" s="909"/>
      <c r="E63" s="893" t="s">
        <v>736</v>
      </c>
      <c r="F63" s="295">
        <f t="shared" ca="1" si="0"/>
        <v>6146.99</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100.57</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20.11</v>
      </c>
      <c r="D65" s="907" t="s">
        <v>743</v>
      </c>
      <c r="E65" s="893" t="s">
        <v>712</v>
      </c>
      <c r="F65" s="321">
        <f t="shared" ca="1" si="0"/>
        <v>1E-3</v>
      </c>
      <c r="I65" s="1363" t="s">
        <v>867</v>
      </c>
      <c r="J65" s="610">
        <v>40</v>
      </c>
      <c r="K65" s="610">
        <v>30</v>
      </c>
      <c r="L65" s="610">
        <v>50</v>
      </c>
      <c r="M65" s="1365">
        <v>0.02</v>
      </c>
      <c r="O65" s="1321" t="s">
        <v>403</v>
      </c>
      <c r="P65" s="1322" t="s">
        <v>817</v>
      </c>
      <c r="Q65" s="1323">
        <f ca="1">C40+J29</f>
        <v>12165</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-128</v>
      </c>
      <c r="D67" s="906" t="s">
        <v>753</v>
      </c>
      <c r="E67" s="911"/>
      <c r="F67" s="912"/>
      <c r="O67" s="1330" t="s">
        <v>405</v>
      </c>
      <c r="P67" s="1322" t="s">
        <v>850</v>
      </c>
      <c r="Q67" s="1366">
        <f ca="1">L51</f>
        <v>-17996</v>
      </c>
      <c r="R67" s="1323" t="s">
        <v>870</v>
      </c>
    </row>
    <row r="68" spans="1:18" s="1288" customFormat="1" ht="16.5" thickBot="1">
      <c r="A68" s="890" t="s">
        <v>395</v>
      </c>
      <c r="B68" s="891" t="s">
        <v>774</v>
      </c>
      <c r="C68" s="293">
        <f ca="1">ROUND(C67*(1-((1+F70)/(1+F68))^F69)/(F68-F70),0)</f>
        <v>-2186</v>
      </c>
      <c r="D68" s="908" t="s">
        <v>758</v>
      </c>
      <c r="E68" s="893" t="s">
        <v>759</v>
      </c>
      <c r="F68" s="304">
        <f ca="1">F40</f>
        <v>0.05</v>
      </c>
      <c r="O68" s="1330" t="s">
        <v>406</v>
      </c>
      <c r="P68" s="1367" t="s">
        <v>871</v>
      </c>
      <c r="Q68" s="1323">
        <f ca="1">ROUND(Q69-Q70*Q71,0)</f>
        <v>-872</v>
      </c>
      <c r="R68" s="1323" t="s">
        <v>414</v>
      </c>
    </row>
    <row r="69" spans="1:18" s="1288" customFormat="1" ht="13.5" thickBot="1">
      <c r="A69" s="894"/>
      <c r="B69" s="895"/>
      <c r="C69" s="298"/>
      <c r="D69" s="913" t="s">
        <v>762</v>
      </c>
      <c r="E69" s="893" t="s">
        <v>763</v>
      </c>
      <c r="F69" s="324">
        <f ca="1">F41</f>
        <v>39.4</v>
      </c>
      <c r="O69" s="1330" t="s">
        <v>411</v>
      </c>
      <c r="P69" s="1367" t="s">
        <v>872</v>
      </c>
      <c r="Q69" s="1323">
        <f ca="1">C39</f>
        <v>536</v>
      </c>
      <c r="R69" s="1323" t="s">
        <v>818</v>
      </c>
    </row>
    <row r="70" spans="1:18" s="1288" customFormat="1" ht="13.5" thickBot="1">
      <c r="A70" s="897"/>
      <c r="B70" s="898"/>
      <c r="C70" s="302"/>
      <c r="D70" s="909"/>
      <c r="E70" s="893" t="s">
        <v>766</v>
      </c>
      <c r="F70" s="988"/>
      <c r="O70" s="1330" t="s">
        <v>412</v>
      </c>
      <c r="P70" s="1367" t="s">
        <v>873</v>
      </c>
      <c r="Q70" s="1323">
        <f ca="1">C13</f>
        <v>20114</v>
      </c>
      <c r="R70" s="1323" t="s">
        <v>818</v>
      </c>
    </row>
    <row r="71" spans="1:18" s="1288" customFormat="1" ht="13.5" thickBot="1">
      <c r="A71" s="914" t="s">
        <v>396</v>
      </c>
      <c r="B71" s="915" t="s">
        <v>776</v>
      </c>
      <c r="C71" s="327">
        <f ca="1">ROUND(C68*10000/F71,0)</f>
        <v>-768</v>
      </c>
      <c r="D71" s="916" t="s">
        <v>777</v>
      </c>
      <c r="E71" s="917" t="s">
        <v>778</v>
      </c>
      <c r="F71" s="330">
        <f ca="1">F43</f>
        <v>28458.699999999997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1408</v>
      </c>
      <c r="D75" s="1288"/>
      <c r="E75" s="1288"/>
      <c r="F75" s="1288"/>
      <c r="K75" s="1305"/>
      <c r="L75" s="1288"/>
      <c r="O75" s="1321" t="s">
        <v>409</v>
      </c>
      <c r="P75" s="1322" t="s">
        <v>838</v>
      </c>
      <c r="Q75" s="1323">
        <f ca="1">Q65+Q66</f>
        <v>12165</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-1.6269999999999998</v>
      </c>
    </row>
    <row r="80" spans="1:18">
      <c r="B80" s="331" t="s">
        <v>800</v>
      </c>
      <c r="C80" s="266">
        <f ca="1">ROUND(C75/C39,3)</f>
        <v>2.6269999999999998</v>
      </c>
    </row>
    <row r="81" spans="2:3">
      <c r="B81" s="262" t="s">
        <v>801</v>
      </c>
      <c r="C81" s="230"/>
    </row>
    <row r="82" spans="2:3">
      <c r="B82" s="265" t="s">
        <v>802</v>
      </c>
      <c r="C82" s="267">
        <f ca="1">1-C83</f>
        <v>-0.65300000000000002</v>
      </c>
    </row>
    <row r="83" spans="2:3">
      <c r="B83" s="265" t="s">
        <v>803</v>
      </c>
      <c r="C83" s="266">
        <f ca="1">ROUND(C13/C40,3)</f>
        <v>1.653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2" priority="3">
      <formula>$F$10="自定义"</formula>
    </cfRule>
  </conditionalFormatting>
  <conditionalFormatting sqref="C54">
    <cfRule type="expression" dxfId="61" priority="1">
      <formula>$F$53="自定义"</formula>
    </cfRule>
  </conditionalFormatting>
  <conditionalFormatting sqref="I55 I60">
    <cfRule type="expression" dxfId="60" priority="5">
      <formula>$J$51&gt;$L$48</formula>
    </cfRule>
  </conditionalFormatting>
  <conditionalFormatting sqref="J11">
    <cfRule type="expression" dxfId="59" priority="2">
      <formula>$M$10="自定义"</formula>
    </cfRule>
  </conditionalFormatting>
  <conditionalFormatting sqref="K55 K60">
    <cfRule type="expression" dxfId="58" priority="4">
      <formula>$L$48&gt;$J$51</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估价范围判定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1825</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108765.47999999998</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1768</v>
      </c>
      <c r="B4" s="346"/>
      <c r="C4" s="3396" t="s">
        <v>1769</v>
      </c>
      <c r="D4" s="3397"/>
      <c r="E4" s="3398" t="s">
        <v>1770</v>
      </c>
      <c r="F4" s="3399"/>
      <c r="G4" s="3396" t="s">
        <v>1771</v>
      </c>
      <c r="H4" s="3397"/>
      <c r="I4" s="3396" t="s">
        <v>1772</v>
      </c>
      <c r="J4" s="3397"/>
      <c r="K4" s="537" t="s">
        <v>1773</v>
      </c>
      <c r="L4" s="857"/>
      <c r="M4" s="858"/>
      <c r="N4" s="858"/>
      <c r="O4" s="858"/>
      <c r="P4" s="3430" t="s">
        <v>1774</v>
      </c>
      <c r="Q4" s="3431"/>
      <c r="R4" s="3427" t="s">
        <v>1770</v>
      </c>
      <c r="S4" s="3428"/>
      <c r="T4" s="3427" t="s">
        <v>1771</v>
      </c>
      <c r="U4" s="3428"/>
      <c r="V4" s="3409" t="s">
        <v>1772</v>
      </c>
      <c r="W4" s="3409"/>
      <c r="X4" s="1261"/>
      <c r="Y4" s="3427" t="s">
        <v>1774</v>
      </c>
      <c r="Z4" s="3428"/>
      <c r="AA4" s="3426" t="s">
        <v>1770</v>
      </c>
      <c r="AB4" s="3375" t="s">
        <v>1771</v>
      </c>
      <c r="AC4" s="3426" t="s">
        <v>1772</v>
      </c>
    </row>
    <row r="5" spans="1:29" ht="15">
      <c r="A5" s="348"/>
      <c r="B5" s="349"/>
      <c r="C5" s="3385" t="s">
        <v>1672</v>
      </c>
      <c r="D5" s="3386"/>
      <c r="E5" s="3429" t="s">
        <v>1673</v>
      </c>
      <c r="F5" s="3384"/>
      <c r="G5" s="3385" t="s">
        <v>1674</v>
      </c>
      <c r="H5" s="3386"/>
      <c r="I5" s="3385" t="s">
        <v>1675</v>
      </c>
      <c r="J5" s="3386"/>
      <c r="K5" s="537"/>
      <c r="L5" s="857"/>
      <c r="M5" s="858"/>
      <c r="N5" s="858"/>
      <c r="O5" s="858"/>
      <c r="P5" s="3432"/>
      <c r="Q5" s="3403"/>
      <c r="R5" s="3381"/>
      <c r="S5" s="3382"/>
      <c r="T5" s="3381"/>
      <c r="U5" s="3382"/>
      <c r="V5" s="3409"/>
      <c r="W5" s="3409"/>
      <c r="X5" s="1261"/>
      <c r="Y5" s="3381"/>
      <c r="Z5" s="3382"/>
      <c r="AA5" s="3375"/>
      <c r="AB5" s="3375"/>
      <c r="AC5" s="3375"/>
    </row>
    <row r="6" spans="1:29" ht="15.75" thickBot="1">
      <c r="A6" s="350"/>
      <c r="B6" s="351"/>
      <c r="C6" s="3387" t="s">
        <v>1676</v>
      </c>
      <c r="D6" s="3388"/>
      <c r="E6" s="3390" t="s">
        <v>1676</v>
      </c>
      <c r="F6" s="3391"/>
      <c r="G6" s="3387" t="s">
        <v>1676</v>
      </c>
      <c r="H6" s="3388"/>
      <c r="I6" s="3387" t="s">
        <v>1676</v>
      </c>
      <c r="J6" s="3388"/>
      <c r="K6" s="537" t="s">
        <v>1677</v>
      </c>
      <c r="L6" s="857"/>
      <c r="M6" s="858"/>
      <c r="N6" s="858"/>
      <c r="O6" s="858"/>
      <c r="P6" s="3433"/>
      <c r="Q6" s="3405"/>
      <c r="R6" s="3381"/>
      <c r="S6" s="3382"/>
      <c r="T6" s="3406"/>
      <c r="U6" s="3407"/>
      <c r="V6" s="3409"/>
      <c r="W6" s="3409"/>
      <c r="X6" s="1261"/>
      <c r="Y6" s="3406"/>
      <c r="Z6" s="3407"/>
      <c r="AA6" s="3376"/>
      <c r="AB6" s="3376"/>
      <c r="AC6" s="3376"/>
    </row>
    <row r="7" spans="1:29" s="102" customFormat="1" ht="15.75" thickBot="1">
      <c r="A7" s="352" t="s">
        <v>1678</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59"/>
      <c r="M7" s="860"/>
      <c r="N7" s="860"/>
      <c r="O7" s="860"/>
      <c r="P7" s="3377" t="s">
        <v>1679</v>
      </c>
      <c r="Q7" s="3412"/>
      <c r="R7" s="664" t="s">
        <v>14</v>
      </c>
      <c r="S7" s="665">
        <f t="shared" ref="S7:S15" si="0">F7</f>
        <v>0</v>
      </c>
      <c r="T7" s="664" t="s">
        <v>14</v>
      </c>
      <c r="U7" s="665">
        <f t="shared" ref="U7:U15" si="1">H7</f>
        <v>0</v>
      </c>
      <c r="V7" s="664" t="s">
        <v>14</v>
      </c>
      <c r="W7" s="665">
        <f t="shared" ref="W7:W15" si="2">J7</f>
        <v>0</v>
      </c>
      <c r="X7" s="666"/>
      <c r="Y7" s="3377" t="s">
        <v>1679</v>
      </c>
      <c r="Z7" s="3378"/>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77" t="s">
        <v>1682</v>
      </c>
      <c r="Q8" s="3378"/>
      <c r="R8" s="664" t="s">
        <v>14</v>
      </c>
      <c r="S8" s="665">
        <f t="shared" si="0"/>
        <v>100</v>
      </c>
      <c r="T8" s="664" t="s">
        <v>14</v>
      </c>
      <c r="U8" s="665">
        <f t="shared" si="1"/>
        <v>100</v>
      </c>
      <c r="V8" s="664" t="s">
        <v>14</v>
      </c>
      <c r="W8" s="665">
        <f t="shared" si="2"/>
        <v>100</v>
      </c>
      <c r="X8" s="666"/>
      <c r="Y8" s="3377" t="s">
        <v>1682</v>
      </c>
      <c r="Z8" s="3378"/>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2"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4"/>
      <c r="F10" s="119">
        <f>SUMIF(59:59,E10,60:60)-SUMIF(59:59,C10,60:60)+100</f>
        <v>100</v>
      </c>
      <c r="G10" s="3095"/>
      <c r="H10" s="119">
        <f>SUMIF(59:59,G10,60:60)-SUMIF(59:59,C10,60:60)+100</f>
        <v>100</v>
      </c>
      <c r="I10" s="3094"/>
      <c r="J10" s="119">
        <f>SUMIF(59:59,I10,60:60)-SUMIF(59:59,C10,60:60)+100</f>
        <v>100</v>
      </c>
      <c r="K10" s="38"/>
      <c r="L10" s="862"/>
      <c r="M10" s="863"/>
      <c r="N10" s="863"/>
      <c r="O10" s="864"/>
      <c r="P10" s="3422"/>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2"/>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422"/>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422"/>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422"/>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57">
      <c r="A15" s="379" t="s">
        <v>1689</v>
      </c>
      <c r="B15" s="58" t="s">
        <v>1826</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15" t="s">
        <v>1690</v>
      </c>
      <c r="Q15" s="1259" t="str">
        <f t="shared" si="6"/>
        <v>产业集聚程度</v>
      </c>
      <c r="R15" s="667" t="s">
        <v>14</v>
      </c>
      <c r="S15" s="668">
        <f t="shared" si="0"/>
        <v>100</v>
      </c>
      <c r="T15" s="667" t="s">
        <v>14</v>
      </c>
      <c r="U15" s="668">
        <f t="shared" si="1"/>
        <v>100</v>
      </c>
      <c r="V15" s="667" t="s">
        <v>14</v>
      </c>
      <c r="W15" s="668">
        <f t="shared" si="2"/>
        <v>100</v>
      </c>
      <c r="X15" s="1261"/>
      <c r="Y15" s="3415" t="s">
        <v>1690</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16"/>
      <c r="Q16" s="1259"/>
      <c r="R16" s="667"/>
      <c r="S16" s="668"/>
      <c r="T16" s="667"/>
      <c r="U16" s="668"/>
      <c r="V16" s="667"/>
      <c r="W16" s="668"/>
      <c r="X16" s="1261"/>
      <c r="Y16" s="3416"/>
      <c r="Z16" s="1260"/>
      <c r="AA16" s="1260">
        <v>1</v>
      </c>
      <c r="AB16" s="1260">
        <v>1</v>
      </c>
      <c r="AC16" s="1260">
        <v>1</v>
      </c>
    </row>
    <row r="17" spans="1:29" ht="85.5">
      <c r="A17" s="367"/>
      <c r="B17" s="390" t="s">
        <v>1258</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6"/>
      <c r="Q17" s="1259" t="str">
        <f>B17</f>
        <v>交通便捷度</v>
      </c>
      <c r="R17" s="667" t="s">
        <v>14</v>
      </c>
      <c r="S17" s="668">
        <f>F17</f>
        <v>100</v>
      </c>
      <c r="T17" s="667" t="s">
        <v>14</v>
      </c>
      <c r="U17" s="668">
        <f>H17</f>
        <v>100</v>
      </c>
      <c r="V17" s="667" t="s">
        <v>14</v>
      </c>
      <c r="W17" s="668">
        <f>J17</f>
        <v>100</v>
      </c>
      <c r="X17" s="1261"/>
      <c r="Y17" s="3416"/>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16"/>
      <c r="Q18" s="1259"/>
      <c r="R18" s="667"/>
      <c r="S18" s="668"/>
      <c r="T18" s="667"/>
      <c r="U18" s="668"/>
      <c r="V18" s="667"/>
      <c r="W18" s="668"/>
      <c r="X18" s="1261"/>
      <c r="Y18" s="3416"/>
      <c r="Z18" s="1260"/>
      <c r="AA18" s="1260">
        <v>1</v>
      </c>
      <c r="AB18" s="1260">
        <v>1</v>
      </c>
      <c r="AC18" s="1260">
        <v>1</v>
      </c>
    </row>
    <row r="19" spans="1:29" ht="42.75">
      <c r="A19" s="367"/>
      <c r="B19" s="390" t="s">
        <v>1811</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6"/>
      <c r="Q19" s="1259" t="str">
        <f>B19</f>
        <v>公共配套设施</v>
      </c>
      <c r="R19" s="667" t="s">
        <v>14</v>
      </c>
      <c r="S19" s="668">
        <f>F19</f>
        <v>100</v>
      </c>
      <c r="T19" s="667" t="s">
        <v>14</v>
      </c>
      <c r="U19" s="668">
        <f>H19</f>
        <v>100</v>
      </c>
      <c r="V19" s="667" t="s">
        <v>14</v>
      </c>
      <c r="W19" s="668">
        <f>J19</f>
        <v>100</v>
      </c>
      <c r="X19" s="1261"/>
      <c r="Y19" s="3416"/>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16"/>
      <c r="Q20" s="1259"/>
      <c r="R20" s="667"/>
      <c r="S20" s="668"/>
      <c r="T20" s="667"/>
      <c r="U20" s="668"/>
      <c r="V20" s="667"/>
      <c r="W20" s="668"/>
      <c r="X20" s="1261"/>
      <c r="Y20" s="3416"/>
      <c r="Z20" s="1260"/>
      <c r="AA20" s="1260">
        <v>1</v>
      </c>
      <c r="AB20" s="1260">
        <v>1</v>
      </c>
      <c r="AC20" s="1260">
        <v>1</v>
      </c>
    </row>
    <row r="21" spans="1:29" ht="28.5">
      <c r="A21" s="367"/>
      <c r="B21" s="586" t="s">
        <v>1812</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6"/>
      <c r="Q21" s="1259" t="str">
        <f>B21</f>
        <v>基础设施水平</v>
      </c>
      <c r="R21" s="667" t="s">
        <v>14</v>
      </c>
      <c r="S21" s="668">
        <f>F21</f>
        <v>100</v>
      </c>
      <c r="T21" s="667" t="s">
        <v>14</v>
      </c>
      <c r="U21" s="668">
        <f>H21</f>
        <v>100</v>
      </c>
      <c r="V21" s="667" t="s">
        <v>14</v>
      </c>
      <c r="W21" s="668">
        <f>J21</f>
        <v>100</v>
      </c>
      <c r="X21" s="1261"/>
      <c r="Y21" s="3416"/>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867"/>
      <c r="M22" s="858"/>
      <c r="N22" s="858"/>
      <c r="O22" s="866"/>
      <c r="P22" s="3416"/>
      <c r="Q22" s="1259"/>
      <c r="R22" s="667"/>
      <c r="S22" s="668"/>
      <c r="T22" s="667"/>
      <c r="U22" s="668"/>
      <c r="V22" s="667"/>
      <c r="W22" s="668"/>
      <c r="X22" s="1261"/>
      <c r="Y22" s="3416"/>
      <c r="Z22" s="1260"/>
      <c r="AA22" s="1260">
        <v>1</v>
      </c>
      <c r="AB22" s="1260">
        <v>1</v>
      </c>
      <c r="AC22" s="1260">
        <v>1</v>
      </c>
    </row>
    <row r="23" spans="1:29" ht="71.25">
      <c r="A23" s="367"/>
      <c r="B23" s="390" t="s">
        <v>1813</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6"/>
      <c r="Q23" s="1259" t="str">
        <f>B23</f>
        <v>环境质量</v>
      </c>
      <c r="R23" s="667" t="s">
        <v>14</v>
      </c>
      <c r="S23" s="668">
        <f>F23</f>
        <v>100</v>
      </c>
      <c r="T23" s="667" t="s">
        <v>14</v>
      </c>
      <c r="U23" s="668">
        <f>H23</f>
        <v>100</v>
      </c>
      <c r="V23" s="667" t="s">
        <v>14</v>
      </c>
      <c r="W23" s="668">
        <f>J23</f>
        <v>100</v>
      </c>
      <c r="X23" s="1261"/>
      <c r="Y23" s="3416"/>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416"/>
      <c r="Q24" s="1259"/>
      <c r="R24" s="667"/>
      <c r="S24" s="668"/>
      <c r="T24" s="667"/>
      <c r="U24" s="668"/>
      <c r="V24" s="667"/>
      <c r="W24" s="668"/>
      <c r="X24" s="1261"/>
      <c r="Y24" s="3416"/>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6"/>
      <c r="Q25" s="1259">
        <f>B25</f>
        <v>111</v>
      </c>
      <c r="R25" s="667" t="s">
        <v>14</v>
      </c>
      <c r="S25" s="668">
        <f>F25</f>
        <v>100</v>
      </c>
      <c r="T25" s="667" t="s">
        <v>14</v>
      </c>
      <c r="U25" s="668">
        <f>H25</f>
        <v>100</v>
      </c>
      <c r="V25" s="667" t="s">
        <v>14</v>
      </c>
      <c r="W25" s="668">
        <f>J25</f>
        <v>100</v>
      </c>
      <c r="X25" s="1261"/>
      <c r="Y25" s="3416"/>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6"/>
      <c r="Q26" s="1259">
        <f t="shared" ref="Q26:Q40" si="8">B26</f>
        <v>111</v>
      </c>
      <c r="R26" s="667" t="s">
        <v>14</v>
      </c>
      <c r="S26" s="668">
        <f>F26</f>
        <v>100</v>
      </c>
      <c r="T26" s="667" t="s">
        <v>14</v>
      </c>
      <c r="U26" s="668">
        <f>H26</f>
        <v>100</v>
      </c>
      <c r="V26" s="667" t="s">
        <v>14</v>
      </c>
      <c r="W26" s="668">
        <f>J26</f>
        <v>100</v>
      </c>
      <c r="X26" s="1261"/>
      <c r="Y26" s="3416"/>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6"/>
      <c r="Q27" s="530">
        <f t="shared" si="8"/>
        <v>111</v>
      </c>
      <c r="R27" s="664" t="s">
        <v>14</v>
      </c>
      <c r="S27" s="665">
        <f>F27</f>
        <v>100</v>
      </c>
      <c r="T27" s="664" t="s">
        <v>14</v>
      </c>
      <c r="U27" s="665">
        <f>H27</f>
        <v>100</v>
      </c>
      <c r="V27" s="664" t="s">
        <v>14</v>
      </c>
      <c r="W27" s="665">
        <f>J27</f>
        <v>100</v>
      </c>
      <c r="X27" s="666"/>
      <c r="Y27" s="3416"/>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6"/>
      <c r="Q28" s="1259">
        <f t="shared" si="8"/>
        <v>111</v>
      </c>
      <c r="R28" s="667" t="s">
        <v>14</v>
      </c>
      <c r="S28" s="668">
        <f t="shared" ref="S28:S40" si="9">F28</f>
        <v>100</v>
      </c>
      <c r="T28" s="667" t="s">
        <v>14</v>
      </c>
      <c r="U28" s="668">
        <f t="shared" ref="U28:U40" si="10">H28</f>
        <v>100</v>
      </c>
      <c r="V28" s="667" t="s">
        <v>14</v>
      </c>
      <c r="W28" s="668">
        <f t="shared" ref="W28:W40" si="11">J28</f>
        <v>100</v>
      </c>
      <c r="X28" s="1261"/>
      <c r="Y28" s="3416"/>
      <c r="Z28" s="1260">
        <f t="shared" ref="Z28:Z40" si="12">Q28</f>
        <v>111</v>
      </c>
      <c r="AA28" s="1260">
        <f t="shared" si="3"/>
        <v>1</v>
      </c>
      <c r="AB28" s="1260">
        <f t="shared" si="4"/>
        <v>1</v>
      </c>
      <c r="AC28" s="1260">
        <f t="shared" si="5"/>
        <v>1</v>
      </c>
    </row>
    <row r="29" spans="1:29" ht="28.5">
      <c r="A29" s="404" t="s">
        <v>1693</v>
      </c>
      <c r="B29" s="60" t="s">
        <v>1816</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34" t="s">
        <v>1695</v>
      </c>
      <c r="Q29" s="1259" t="str">
        <f t="shared" si="8"/>
        <v>建筑类型</v>
      </c>
      <c r="R29" s="667" t="s">
        <v>14</v>
      </c>
      <c r="S29" s="668">
        <f t="shared" si="9"/>
        <v>100</v>
      </c>
      <c r="T29" s="667" t="s">
        <v>14</v>
      </c>
      <c r="U29" s="668">
        <f t="shared" si="10"/>
        <v>100</v>
      </c>
      <c r="V29" s="667" t="s">
        <v>14</v>
      </c>
      <c r="W29" s="668">
        <f t="shared" si="11"/>
        <v>100</v>
      </c>
      <c r="X29" s="1261"/>
      <c r="Y29" s="3420" t="s">
        <v>1695</v>
      </c>
      <c r="Z29" s="1260" t="str">
        <f t="shared" si="12"/>
        <v>建筑类型</v>
      </c>
      <c r="AA29" s="1260">
        <f t="shared" si="3"/>
        <v>1</v>
      </c>
      <c r="AB29" s="1260">
        <f t="shared" si="4"/>
        <v>1</v>
      </c>
      <c r="AC29" s="1260">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20"/>
      <c r="Q30" s="531" t="str">
        <f t="shared" si="8"/>
        <v>项目建筑规模</v>
      </c>
      <c r="R30" s="669" t="s">
        <v>14</v>
      </c>
      <c r="S30" s="670" t="e">
        <f t="shared" si="9"/>
        <v>#N/A</v>
      </c>
      <c r="T30" s="669" t="s">
        <v>14</v>
      </c>
      <c r="U30" s="670" t="e">
        <f t="shared" si="10"/>
        <v>#N/A</v>
      </c>
      <c r="V30" s="669" t="s">
        <v>14</v>
      </c>
      <c r="W30" s="670" t="e">
        <f t="shared" si="11"/>
        <v>#N/A</v>
      </c>
      <c r="X30" s="671"/>
      <c r="Y30" s="3420"/>
      <c r="Z30" s="672" t="str">
        <f t="shared" si="12"/>
        <v>项目建筑规模</v>
      </c>
      <c r="AA30" s="1260" t="e">
        <f t="shared" si="3"/>
        <v>#N/A</v>
      </c>
      <c r="AB30" s="1260" t="e">
        <f t="shared" si="4"/>
        <v>#N/A</v>
      </c>
      <c r="AC30" s="1260"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20"/>
      <c r="Q31" s="1259" t="str">
        <f t="shared" si="8"/>
        <v>建筑结构</v>
      </c>
      <c r="R31" s="667" t="s">
        <v>14</v>
      </c>
      <c r="S31" s="668">
        <f t="shared" si="9"/>
        <v>100</v>
      </c>
      <c r="T31" s="667" t="s">
        <v>14</v>
      </c>
      <c r="U31" s="668">
        <f t="shared" si="10"/>
        <v>100</v>
      </c>
      <c r="V31" s="667" t="s">
        <v>14</v>
      </c>
      <c r="W31" s="668">
        <f t="shared" si="11"/>
        <v>100</v>
      </c>
      <c r="X31" s="1261"/>
      <c r="Y31" s="3420"/>
      <c r="Z31" s="1260" t="str">
        <f t="shared" si="12"/>
        <v>建筑结构</v>
      </c>
      <c r="AA31" s="1260">
        <f t="shared" si="3"/>
        <v>1</v>
      </c>
      <c r="AB31" s="1260">
        <f t="shared" si="4"/>
        <v>1</v>
      </c>
      <c r="AC31" s="1260">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20"/>
      <c r="Q32" s="1259" t="str">
        <f t="shared" si="8"/>
        <v>公共部分装修</v>
      </c>
      <c r="R32" s="667" t="s">
        <v>14</v>
      </c>
      <c r="S32" s="668">
        <f t="shared" si="9"/>
        <v>100</v>
      </c>
      <c r="T32" s="667" t="s">
        <v>14</v>
      </c>
      <c r="U32" s="668">
        <f t="shared" si="10"/>
        <v>100</v>
      </c>
      <c r="V32" s="667" t="s">
        <v>14</v>
      </c>
      <c r="W32" s="668">
        <f t="shared" si="11"/>
        <v>100</v>
      </c>
      <c r="X32" s="1261"/>
      <c r="Y32" s="3420"/>
      <c r="Z32" s="1260" t="str">
        <f t="shared" si="12"/>
        <v>公共部分装修</v>
      </c>
      <c r="AA32" s="1260">
        <f t="shared" si="3"/>
        <v>1</v>
      </c>
      <c r="AB32" s="1260">
        <f t="shared" si="4"/>
        <v>1</v>
      </c>
      <c r="AC32" s="1260">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20"/>
      <c r="Q33" s="1259" t="str">
        <f t="shared" si="8"/>
        <v>成新度</v>
      </c>
      <c r="R33" s="667" t="s">
        <v>14</v>
      </c>
      <c r="S33" s="668" t="e">
        <f t="shared" si="9"/>
        <v>#N/A</v>
      </c>
      <c r="T33" s="667" t="s">
        <v>14</v>
      </c>
      <c r="U33" s="668" t="e">
        <f t="shared" si="10"/>
        <v>#N/A</v>
      </c>
      <c r="V33" s="667" t="s">
        <v>14</v>
      </c>
      <c r="W33" s="668" t="e">
        <f t="shared" si="11"/>
        <v>#N/A</v>
      </c>
      <c r="X33" s="1261"/>
      <c r="Y33" s="3420"/>
      <c r="Z33" s="1260" t="str">
        <f t="shared" si="12"/>
        <v>成新度</v>
      </c>
      <c r="AA33" s="1260" t="e">
        <f t="shared" si="3"/>
        <v>#N/A</v>
      </c>
      <c r="AB33" s="1260" t="e">
        <f t="shared" si="4"/>
        <v>#N/A</v>
      </c>
      <c r="AC33" s="1260"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20"/>
      <c r="Q34" s="530" t="str">
        <f t="shared" si="8"/>
        <v>物业管理</v>
      </c>
      <c r="R34" s="664" t="s">
        <v>14</v>
      </c>
      <c r="S34" s="665">
        <f t="shared" si="9"/>
        <v>100</v>
      </c>
      <c r="T34" s="664" t="s">
        <v>14</v>
      </c>
      <c r="U34" s="665">
        <f t="shared" si="10"/>
        <v>100</v>
      </c>
      <c r="V34" s="664" t="s">
        <v>14</v>
      </c>
      <c r="W34" s="665">
        <f t="shared" si="11"/>
        <v>100</v>
      </c>
      <c r="X34" s="666"/>
      <c r="Y34" s="3420"/>
      <c r="Z34" s="50" t="str">
        <f t="shared" si="12"/>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20" t="s">
        <v>1695</v>
      </c>
      <c r="Q35" s="1259" t="str">
        <f t="shared" si="8"/>
        <v>市政基础设施</v>
      </c>
      <c r="R35" s="667" t="s">
        <v>14</v>
      </c>
      <c r="S35" s="668">
        <f t="shared" si="9"/>
        <v>100</v>
      </c>
      <c r="T35" s="667" t="s">
        <v>14</v>
      </c>
      <c r="U35" s="668">
        <f t="shared" si="10"/>
        <v>100</v>
      </c>
      <c r="V35" s="667" t="s">
        <v>14</v>
      </c>
      <c r="W35" s="668">
        <f t="shared" si="11"/>
        <v>100</v>
      </c>
      <c r="X35" s="1261"/>
      <c r="Y35" s="3420" t="s">
        <v>1695</v>
      </c>
      <c r="Z35" s="1260" t="str">
        <f t="shared" si="12"/>
        <v>市政基础设施</v>
      </c>
      <c r="AA35" s="1260">
        <f t="shared" si="3"/>
        <v>1</v>
      </c>
      <c r="AB35" s="1260">
        <f t="shared" si="4"/>
        <v>1</v>
      </c>
      <c r="AC35" s="1260">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20"/>
      <c r="Q36" s="1259" t="str">
        <f t="shared" si="8"/>
        <v>内部装修</v>
      </c>
      <c r="R36" s="667" t="s">
        <v>14</v>
      </c>
      <c r="S36" s="668">
        <f t="shared" si="9"/>
        <v>100</v>
      </c>
      <c r="T36" s="667" t="s">
        <v>14</v>
      </c>
      <c r="U36" s="668">
        <f t="shared" si="10"/>
        <v>100</v>
      </c>
      <c r="V36" s="667" t="s">
        <v>14</v>
      </c>
      <c r="W36" s="668">
        <f t="shared" si="11"/>
        <v>100</v>
      </c>
      <c r="X36" s="1261"/>
      <c r="Y36" s="3420"/>
      <c r="Z36" s="1260" t="str">
        <f t="shared" si="12"/>
        <v>内部装修</v>
      </c>
      <c r="AA36" s="1260">
        <f t="shared" si="3"/>
        <v>1</v>
      </c>
      <c r="AB36" s="1260">
        <f t="shared" si="4"/>
        <v>1</v>
      </c>
      <c r="AC36" s="1260">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20"/>
      <c r="Q37" s="1259" t="str">
        <f t="shared" si="8"/>
        <v>内部装修状况</v>
      </c>
      <c r="R37" s="667" t="s">
        <v>14</v>
      </c>
      <c r="S37" s="668">
        <f t="shared" si="9"/>
        <v>100</v>
      </c>
      <c r="T37" s="667" t="s">
        <v>14</v>
      </c>
      <c r="U37" s="668">
        <f t="shared" si="10"/>
        <v>100</v>
      </c>
      <c r="V37" s="667" t="s">
        <v>14</v>
      </c>
      <c r="W37" s="668">
        <f t="shared" si="11"/>
        <v>100</v>
      </c>
      <c r="X37" s="1261"/>
      <c r="Y37" s="3420"/>
      <c r="Z37" s="1260" t="str">
        <f t="shared" si="12"/>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20"/>
      <c r="Q38" s="531">
        <f t="shared" si="8"/>
        <v>111</v>
      </c>
      <c r="R38" s="669" t="s">
        <v>14</v>
      </c>
      <c r="S38" s="670">
        <f t="shared" si="9"/>
        <v>100</v>
      </c>
      <c r="T38" s="669" t="s">
        <v>14</v>
      </c>
      <c r="U38" s="670">
        <f t="shared" si="10"/>
        <v>100</v>
      </c>
      <c r="V38" s="669" t="s">
        <v>14</v>
      </c>
      <c r="W38" s="670">
        <f t="shared" si="11"/>
        <v>100</v>
      </c>
      <c r="X38" s="671"/>
      <c r="Y38" s="3420"/>
      <c r="Z38" s="672">
        <f t="shared" si="12"/>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20"/>
      <c r="Q39" s="1259">
        <f t="shared" si="8"/>
        <v>111</v>
      </c>
      <c r="R39" s="667" t="s">
        <v>14</v>
      </c>
      <c r="S39" s="668">
        <f t="shared" si="9"/>
        <v>100</v>
      </c>
      <c r="T39" s="667" t="s">
        <v>14</v>
      </c>
      <c r="U39" s="668">
        <f t="shared" si="10"/>
        <v>100</v>
      </c>
      <c r="V39" s="667" t="s">
        <v>14</v>
      </c>
      <c r="W39" s="668">
        <f t="shared" si="11"/>
        <v>100</v>
      </c>
      <c r="X39" s="1261"/>
      <c r="Y39" s="3420"/>
      <c r="Z39" s="1260">
        <f t="shared" si="12"/>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21"/>
      <c r="Q40" s="1259">
        <f t="shared" si="8"/>
        <v>111</v>
      </c>
      <c r="R40" s="667" t="s">
        <v>14</v>
      </c>
      <c r="S40" s="668">
        <f t="shared" si="9"/>
        <v>100</v>
      </c>
      <c r="T40" s="667" t="s">
        <v>14</v>
      </c>
      <c r="U40" s="668">
        <f t="shared" si="10"/>
        <v>100</v>
      </c>
      <c r="V40" s="667" t="s">
        <v>14</v>
      </c>
      <c r="W40" s="668">
        <f t="shared" si="11"/>
        <v>100</v>
      </c>
      <c r="X40" s="1261"/>
      <c r="Y40" s="3421"/>
      <c r="Z40" s="1260">
        <f t="shared" si="12"/>
        <v>111</v>
      </c>
      <c r="AA40" s="1260">
        <f t="shared" si="3"/>
        <v>1</v>
      </c>
      <c r="AB40" s="1260">
        <f t="shared" si="4"/>
        <v>1</v>
      </c>
      <c r="AC40" s="1260">
        <f t="shared" si="5"/>
        <v>1</v>
      </c>
    </row>
    <row r="41" spans="1:29" ht="15">
      <c r="A41" s="416" t="s">
        <v>1707</v>
      </c>
      <c r="B41" s="417"/>
      <c r="C41" s="1078" t="s">
        <v>0</v>
      </c>
      <c r="D41" s="418"/>
      <c r="E41" s="419"/>
      <c r="F41" s="420"/>
      <c r="G41" s="421"/>
      <c r="H41" s="422"/>
      <c r="I41" s="419"/>
      <c r="J41" s="422"/>
      <c r="K41" s="674"/>
      <c r="L41" s="870"/>
      <c r="M41" s="858"/>
      <c r="N41" s="858"/>
      <c r="O41" s="858"/>
      <c r="P41" s="3422" t="str">
        <f>A41</f>
        <v>成交单价（元/平方米）</v>
      </c>
      <c r="Q41" s="3422"/>
      <c r="R41" s="3409">
        <f>E41</f>
        <v>0</v>
      </c>
      <c r="S41" s="3409"/>
      <c r="T41" s="3409">
        <f>G41</f>
        <v>0</v>
      </c>
      <c r="U41" s="3409"/>
      <c r="V41" s="3409">
        <f>I41</f>
        <v>0</v>
      </c>
      <c r="W41" s="3409"/>
      <c r="X41" s="385"/>
      <c r="Y41" s="673"/>
      <c r="Z41" s="385"/>
      <c r="AA41" s="385"/>
      <c r="AB41" s="385"/>
      <c r="AC41" s="385"/>
    </row>
    <row r="42" spans="1:29" ht="15.75" thickBot="1">
      <c r="A42" s="423" t="s">
        <v>1792</v>
      </c>
      <c r="B42" s="424"/>
      <c r="C42" s="1079" t="e">
        <f>R43</f>
        <v>#DIV/0!</v>
      </c>
      <c r="D42" s="2136" t="s">
        <v>2136</v>
      </c>
      <c r="E42" s="1080" t="e">
        <f>R42</f>
        <v>#DIV/0!</v>
      </c>
      <c r="F42" s="2137"/>
      <c r="G42" s="1079" t="e">
        <f>T42</f>
        <v>#DIV/0!</v>
      </c>
      <c r="H42" s="2137"/>
      <c r="I42" s="1080" t="e">
        <f>V42</f>
        <v>#DIV/0!</v>
      </c>
      <c r="J42" s="2137"/>
      <c r="K42" s="2139">
        <f>F42+H42+J42</f>
        <v>0</v>
      </c>
      <c r="L42" s="870"/>
      <c r="M42" s="858"/>
      <c r="N42" s="858"/>
      <c r="O42" s="858"/>
      <c r="P42" s="3422" t="str">
        <f>A42</f>
        <v>比较价值（元/平方米）</v>
      </c>
      <c r="Q42" s="3422"/>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0"/>
      <c r="M43" s="858"/>
      <c r="N43" s="858"/>
      <c r="O43" s="858"/>
      <c r="P43" s="3436" t="str">
        <f>A43</f>
        <v>估价对象XX用房的比较价值（楼面单价，元/平方米）</v>
      </c>
      <c r="Q43" s="3437"/>
      <c r="R43" s="3487" t="e">
        <f>IF(F1="售价",ROUND(IF(D42="简单平均",AVERAGE(R42:V42),R42*F42+T42*H42+V42*J42),0),ROUND(IF(D42="简单平均",AVERAGE(R42:V42),R42*F42+T42*H42+V42*J42),1))</f>
        <v>#DIV/0!</v>
      </c>
      <c r="S43" s="3487"/>
      <c r="T43" s="3487"/>
      <c r="U43" s="3487"/>
      <c r="V43" s="3487"/>
      <c r="W43" s="3487"/>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1.75" thickBot="1">
      <c r="A51" s="658" t="s">
        <v>1797</v>
      </c>
      <c r="B51" s="385"/>
      <c r="C51" s="659"/>
      <c r="D51" s="659"/>
      <c r="E51" s="659"/>
      <c r="F51" s="660"/>
      <c r="G51" s="660"/>
      <c r="H51" s="659"/>
      <c r="I51" s="659"/>
      <c r="J51" s="659"/>
      <c r="K51" s="884"/>
      <c r="L51" s="885"/>
      <c r="M51" s="883"/>
      <c r="N51" s="883"/>
      <c r="O51" s="883"/>
      <c r="P51" s="438"/>
      <c r="Q51" s="439"/>
    </row>
    <row r="52" spans="1:17" s="442" customFormat="1" ht="15">
      <c r="A52" s="440" t="s">
        <v>1678</v>
      </c>
      <c r="B52" s="441"/>
      <c r="C52" s="1099" t="str">
        <f>YEAR(C7)&amp;"-"&amp;MONTH(C7)</f>
        <v>2024-12</v>
      </c>
      <c r="D52" s="1100">
        <f>EDATE(C52,-1)</f>
        <v>45597</v>
      </c>
      <c r="E52" s="1100">
        <f t="shared" ref="E52:O52" si="13">EDATE(D52,-1)</f>
        <v>45566</v>
      </c>
      <c r="F52" s="1100">
        <f t="shared" si="13"/>
        <v>45536</v>
      </c>
      <c r="G52" s="1100">
        <f t="shared" si="13"/>
        <v>45505</v>
      </c>
      <c r="H52" s="1100">
        <f t="shared" si="13"/>
        <v>45474</v>
      </c>
      <c r="I52" s="1100">
        <f t="shared" si="13"/>
        <v>45444</v>
      </c>
      <c r="J52" s="1100">
        <f t="shared" si="13"/>
        <v>45413</v>
      </c>
      <c r="K52" s="1100">
        <f t="shared" si="13"/>
        <v>45383</v>
      </c>
      <c r="L52" s="1100">
        <f t="shared" si="13"/>
        <v>45352</v>
      </c>
      <c r="M52" s="1100">
        <f t="shared" si="13"/>
        <v>45323</v>
      </c>
      <c r="N52" s="1100">
        <f t="shared" si="13"/>
        <v>45292</v>
      </c>
      <c r="O52" s="1100">
        <f t="shared" si="13"/>
        <v>45261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0"/>
      <c r="O54" s="2531"/>
      <c r="P54" s="439"/>
      <c r="Q54" s="439"/>
    </row>
    <row r="55" spans="1:17" s="102" customFormat="1" ht="15">
      <c r="A55" s="455" t="s">
        <v>1680</v>
      </c>
      <c r="B55" s="444"/>
      <c r="C55" s="456" t="s">
        <v>1775</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1718</v>
      </c>
      <c r="B57" s="460" t="s">
        <v>1684</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1687</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1688</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1693</v>
      </c>
      <c r="B88" s="460" t="s">
        <v>1735</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77"/>
      <c r="O89" s="877"/>
      <c r="P89" s="40"/>
      <c r="Q89" s="439"/>
    </row>
    <row r="90" spans="1:17" ht="15.75" thickTop="1">
      <c r="A90" s="367"/>
      <c r="B90" s="469" t="s">
        <v>1736</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1737</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77"/>
      <c r="O94" s="877"/>
      <c r="P94" s="40"/>
      <c r="Q94" s="439"/>
    </row>
    <row r="95" spans="1:17" ht="15" thickTop="1">
      <c r="A95" s="409"/>
      <c r="B95" s="469" t="s">
        <v>1739</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77"/>
      <c r="O96" s="877"/>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77"/>
      <c r="O99" s="877"/>
      <c r="P99" s="40"/>
      <c r="Q99" s="439"/>
    </row>
    <row r="100" spans="1:17" s="408" customFormat="1" ht="15" thickTop="1">
      <c r="A100" s="406"/>
      <c r="B100" s="469" t="s">
        <v>1740</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8"/>
      <c r="O101" s="878"/>
      <c r="P101" s="489"/>
      <c r="Q101" s="490"/>
    </row>
    <row r="102" spans="1:17" ht="15" thickTop="1">
      <c r="A102" s="409"/>
      <c r="B102" s="469" t="s">
        <v>1741</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77"/>
      <c r="O103" s="877"/>
      <c r="P103" s="40"/>
      <c r="Q103" s="439"/>
    </row>
    <row r="104" spans="1:17" ht="15" thickTop="1">
      <c r="A104" s="409"/>
      <c r="B104" s="469" t="s">
        <v>1743</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7"/>
      <c r="O106" s="877"/>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3329</v>
      </c>
      <c r="C1" s="1137" t="s">
        <v>1661</v>
      </c>
      <c r="D1" s="1138"/>
      <c r="E1" s="3093"/>
      <c r="F1" s="1731"/>
      <c r="G1" s="1140" t="s">
        <v>1766</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1083"/>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3"/>
      <c r="Q3" s="341"/>
      <c r="R3" s="341"/>
      <c r="S3" s="341"/>
      <c r="T3" s="341"/>
      <c r="U3" s="341"/>
      <c r="V3" s="341"/>
      <c r="W3" s="341"/>
      <c r="X3" s="341"/>
      <c r="Y3" s="341"/>
      <c r="Z3" s="341"/>
      <c r="AA3" s="341"/>
      <c r="AB3" s="676"/>
      <c r="AC3" s="663"/>
    </row>
    <row r="4" spans="1:29" ht="15">
      <c r="A4" s="345" t="s">
        <v>1768</v>
      </c>
      <c r="B4" s="346"/>
      <c r="C4" s="3396" t="s">
        <v>1769</v>
      </c>
      <c r="D4" s="3397"/>
      <c r="E4" s="3398" t="s">
        <v>1770</v>
      </c>
      <c r="F4" s="3399"/>
      <c r="G4" s="3396" t="s">
        <v>1771</v>
      </c>
      <c r="H4" s="3397"/>
      <c r="I4" s="3396" t="s">
        <v>1772</v>
      </c>
      <c r="J4" s="3397"/>
      <c r="K4" s="537" t="s">
        <v>1773</v>
      </c>
      <c r="L4" s="2478"/>
      <c r="M4" s="2479"/>
      <c r="N4" s="2479"/>
      <c r="O4" s="2479"/>
      <c r="P4" s="3430" t="s">
        <v>1774</v>
      </c>
      <c r="Q4" s="3431"/>
      <c r="R4" s="3427" t="s">
        <v>1770</v>
      </c>
      <c r="S4" s="3428"/>
      <c r="T4" s="3427" t="s">
        <v>1771</v>
      </c>
      <c r="U4" s="3428"/>
      <c r="V4" s="3409" t="s">
        <v>1772</v>
      </c>
      <c r="W4" s="3409"/>
      <c r="X4" s="1261"/>
      <c r="Y4" s="3427" t="s">
        <v>1774</v>
      </c>
      <c r="Z4" s="3428"/>
      <c r="AA4" s="3426" t="s">
        <v>1770</v>
      </c>
      <c r="AB4" s="3375" t="s">
        <v>1771</v>
      </c>
      <c r="AC4" s="3426" t="s">
        <v>1772</v>
      </c>
    </row>
    <row r="5" spans="1:29" ht="15">
      <c r="A5" s="348"/>
      <c r="B5" s="349"/>
      <c r="C5" s="3385" t="s">
        <v>1672</v>
      </c>
      <c r="D5" s="3386"/>
      <c r="E5" s="3429" t="s">
        <v>1673</v>
      </c>
      <c r="F5" s="3384"/>
      <c r="G5" s="3385" t="s">
        <v>1674</v>
      </c>
      <c r="H5" s="3386"/>
      <c r="I5" s="3385" t="s">
        <v>1675</v>
      </c>
      <c r="J5" s="3386"/>
      <c r="K5" s="537"/>
      <c r="L5" s="2478"/>
      <c r="M5" s="2479"/>
      <c r="N5" s="2479"/>
      <c r="O5" s="2479"/>
      <c r="P5" s="3432"/>
      <c r="Q5" s="3403"/>
      <c r="R5" s="3381"/>
      <c r="S5" s="3382"/>
      <c r="T5" s="3381"/>
      <c r="U5" s="3382"/>
      <c r="V5" s="3409"/>
      <c r="W5" s="3409"/>
      <c r="X5" s="1261"/>
      <c r="Y5" s="3381"/>
      <c r="Z5" s="3382"/>
      <c r="AA5" s="3375"/>
      <c r="AB5" s="3375"/>
      <c r="AC5" s="3375"/>
    </row>
    <row r="6" spans="1:29" ht="15.75" thickBot="1">
      <c r="A6" s="350"/>
      <c r="B6" s="351"/>
      <c r="C6" s="3387" t="s">
        <v>1676</v>
      </c>
      <c r="D6" s="3388"/>
      <c r="E6" s="3390" t="s">
        <v>1676</v>
      </c>
      <c r="F6" s="3391"/>
      <c r="G6" s="3387" t="s">
        <v>1676</v>
      </c>
      <c r="H6" s="3388"/>
      <c r="I6" s="3387" t="s">
        <v>1676</v>
      </c>
      <c r="J6" s="3388"/>
      <c r="K6" s="537" t="s">
        <v>1677</v>
      </c>
      <c r="L6" s="2478"/>
      <c r="M6" s="2479"/>
      <c r="N6" s="2479"/>
      <c r="O6" s="2479"/>
      <c r="P6" s="3433"/>
      <c r="Q6" s="3405"/>
      <c r="R6" s="3381"/>
      <c r="S6" s="3382"/>
      <c r="T6" s="3406"/>
      <c r="U6" s="3407"/>
      <c r="V6" s="3409"/>
      <c r="W6" s="3409"/>
      <c r="X6" s="1261"/>
      <c r="Y6" s="3406"/>
      <c r="Z6" s="3407"/>
      <c r="AA6" s="3376"/>
      <c r="AB6" s="3376"/>
      <c r="AC6" s="3376"/>
    </row>
    <row r="7" spans="1:29" s="102" customFormat="1" ht="15.75" thickBot="1">
      <c r="A7" s="352" t="s">
        <v>1678</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0"/>
      <c r="M7" s="2432"/>
      <c r="N7" s="2432"/>
      <c r="O7" s="2432"/>
      <c r="P7" s="3377" t="s">
        <v>1679</v>
      </c>
      <c r="Q7" s="3412"/>
      <c r="R7" s="664" t="s">
        <v>14</v>
      </c>
      <c r="S7" s="665">
        <f t="shared" ref="S7:S14" si="0">F7</f>
        <v>0</v>
      </c>
      <c r="T7" s="664" t="s">
        <v>14</v>
      </c>
      <c r="U7" s="665">
        <f t="shared" ref="U7:U14" si="1">H7</f>
        <v>0</v>
      </c>
      <c r="V7" s="664" t="s">
        <v>14</v>
      </c>
      <c r="W7" s="665">
        <f t="shared" ref="W7:W14" si="2">J7</f>
        <v>0</v>
      </c>
      <c r="X7" s="666"/>
      <c r="Y7" s="3377" t="s">
        <v>1679</v>
      </c>
      <c r="Z7" s="3378"/>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0"/>
      <c r="M8" s="2432"/>
      <c r="N8" s="2432"/>
      <c r="O8" s="2432"/>
      <c r="P8" s="3377" t="s">
        <v>1682</v>
      </c>
      <c r="Q8" s="3378"/>
      <c r="R8" s="664" t="s">
        <v>14</v>
      </c>
      <c r="S8" s="665">
        <f t="shared" si="0"/>
        <v>100</v>
      </c>
      <c r="T8" s="664" t="s">
        <v>14</v>
      </c>
      <c r="U8" s="665">
        <f t="shared" si="1"/>
        <v>100</v>
      </c>
      <c r="V8" s="664" t="s">
        <v>14</v>
      </c>
      <c r="W8" s="665">
        <f t="shared" si="2"/>
        <v>100</v>
      </c>
      <c r="X8" s="666"/>
      <c r="Y8" s="3377" t="s">
        <v>1682</v>
      </c>
      <c r="Z8" s="3378"/>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0"/>
      <c r="M9" s="2432"/>
      <c r="N9" s="2432"/>
      <c r="O9" s="2432"/>
      <c r="P9" s="3422" t="s">
        <v>1685</v>
      </c>
      <c r="Q9" s="530" t="str">
        <f t="shared" ref="Q9:Q14" si="6">B9</f>
        <v>用途</v>
      </c>
      <c r="R9" s="664" t="s">
        <v>14</v>
      </c>
      <c r="S9" s="665">
        <f t="shared" si="0"/>
        <v>100</v>
      </c>
      <c r="T9" s="664" t="s">
        <v>14</v>
      </c>
      <c r="U9" s="665">
        <f t="shared" si="1"/>
        <v>100</v>
      </c>
      <c r="V9" s="664" t="s">
        <v>14</v>
      </c>
      <c r="W9" s="665">
        <f t="shared" si="2"/>
        <v>100</v>
      </c>
      <c r="X9" s="666"/>
      <c r="Y9" s="3346" t="s">
        <v>1686</v>
      </c>
      <c r="Z9" s="50" t="str">
        <f t="shared" ref="Z9:Z14" si="7">Q9</f>
        <v>用途</v>
      </c>
      <c r="AA9" s="50">
        <f t="shared" si="3"/>
        <v>1</v>
      </c>
      <c r="AB9" s="50">
        <f t="shared" si="4"/>
        <v>1</v>
      </c>
      <c r="AC9" s="50">
        <f t="shared" si="5"/>
        <v>1</v>
      </c>
    </row>
    <row r="10" spans="1:29" s="366" customFormat="1" ht="27">
      <c r="A10" s="565"/>
      <c r="B10" s="566" t="s">
        <v>1687</v>
      </c>
      <c r="C10" s="3094"/>
      <c r="D10" s="119">
        <v>100</v>
      </c>
      <c r="E10" s="3094"/>
      <c r="F10" s="119">
        <f>SUMIF(55:55,E10,56:56)-SUMIF(55:55,C10,56:56)+100</f>
        <v>100</v>
      </c>
      <c r="G10" s="3095"/>
      <c r="H10" s="119">
        <f>SUMIF(55:55,G10,56:56)-SUMIF(55:55,C10,56:56)+100</f>
        <v>100</v>
      </c>
      <c r="I10" s="3094"/>
      <c r="J10" s="119">
        <f>SUMIF(55:55,I10,56:56)-SUMIF(55:55,C10,56:56)+100</f>
        <v>100</v>
      </c>
      <c r="K10" s="38"/>
      <c r="L10" s="2481"/>
      <c r="M10" s="2482"/>
      <c r="N10" s="2482"/>
      <c r="O10" s="2482"/>
      <c r="P10" s="3422"/>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422"/>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2"/>
      <c r="N12" s="2432"/>
      <c r="O12" s="2432"/>
      <c r="P12" s="3422"/>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422"/>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28.5">
      <c r="A14" s="345" t="s">
        <v>1689</v>
      </c>
      <c r="B14" s="554" t="s">
        <v>1832</v>
      </c>
      <c r="C14" s="1815" t="str">
        <f>IF(B1="工业",估价对象房地状况!G4,估价对象房地状况!C6)</f>
        <v>9号线、房山线，较好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415" t="s">
        <v>1690</v>
      </c>
      <c r="Q14" s="1259" t="str">
        <f t="shared" si="6"/>
        <v>交通便捷度</v>
      </c>
      <c r="R14" s="667" t="s">
        <v>14</v>
      </c>
      <c r="S14" s="668">
        <f t="shared" si="0"/>
        <v>100</v>
      </c>
      <c r="T14" s="667" t="s">
        <v>14</v>
      </c>
      <c r="U14" s="668">
        <f t="shared" si="1"/>
        <v>100</v>
      </c>
      <c r="V14" s="667" t="s">
        <v>14</v>
      </c>
      <c r="W14" s="668">
        <f t="shared" si="2"/>
        <v>100</v>
      </c>
      <c r="X14" s="1261"/>
      <c r="Y14" s="3415" t="s">
        <v>1690</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416"/>
      <c r="Q15" s="1259"/>
      <c r="R15" s="667"/>
      <c r="S15" s="668"/>
      <c r="T15" s="667"/>
      <c r="U15" s="668"/>
      <c r="V15" s="667"/>
      <c r="W15" s="668"/>
      <c r="X15" s="1261"/>
      <c r="Y15" s="3416"/>
      <c r="Z15" s="1260"/>
      <c r="AA15" s="1260">
        <v>1</v>
      </c>
      <c r="AB15" s="1260">
        <v>1</v>
      </c>
      <c r="AC15" s="1260">
        <v>1</v>
      </c>
    </row>
    <row r="16" spans="1:29" ht="15">
      <c r="A16" s="348"/>
      <c r="B16" s="556" t="s">
        <v>1811</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416"/>
      <c r="Q16" s="1259" t="str">
        <f>B16</f>
        <v>公共配套设施</v>
      </c>
      <c r="R16" s="667" t="s">
        <v>14</v>
      </c>
      <c r="S16" s="668">
        <f>F16</f>
        <v>100</v>
      </c>
      <c r="T16" s="667" t="s">
        <v>14</v>
      </c>
      <c r="U16" s="668">
        <f>H16</f>
        <v>100</v>
      </c>
      <c r="V16" s="667" t="s">
        <v>14</v>
      </c>
      <c r="W16" s="668">
        <f>J16</f>
        <v>100</v>
      </c>
      <c r="X16" s="1261"/>
      <c r="Y16" s="3416"/>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416"/>
      <c r="Q17" s="1259"/>
      <c r="R17" s="667"/>
      <c r="S17" s="668"/>
      <c r="T17" s="667"/>
      <c r="U17" s="668"/>
      <c r="V17" s="667"/>
      <c r="W17" s="668"/>
      <c r="X17" s="1261"/>
      <c r="Y17" s="3416"/>
      <c r="Z17" s="1260"/>
      <c r="AA17" s="1260">
        <v>1</v>
      </c>
      <c r="AB17" s="1260">
        <v>1</v>
      </c>
      <c r="AC17" s="1260">
        <v>1</v>
      </c>
    </row>
    <row r="18" spans="1:29" ht="15">
      <c r="A18" s="348"/>
      <c r="B18" s="557" t="s">
        <v>1812</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416"/>
      <c r="Q18" s="1259" t="str">
        <f>B18</f>
        <v>基础设施水平</v>
      </c>
      <c r="R18" s="667" t="s">
        <v>14</v>
      </c>
      <c r="S18" s="668">
        <f>F18</f>
        <v>100</v>
      </c>
      <c r="T18" s="667" t="s">
        <v>14</v>
      </c>
      <c r="U18" s="668">
        <f>H18</f>
        <v>100</v>
      </c>
      <c r="V18" s="667" t="s">
        <v>14</v>
      </c>
      <c r="W18" s="668">
        <f>J18</f>
        <v>100</v>
      </c>
      <c r="X18" s="1261"/>
      <c r="Y18" s="3416"/>
      <c r="Z18" s="1260" t="str">
        <f>Q18</f>
        <v>基础设施水平</v>
      </c>
      <c r="AA18" s="1260">
        <f>D18/F18</f>
        <v>1</v>
      </c>
      <c r="AB18" s="1260">
        <f>D18/H18</f>
        <v>1</v>
      </c>
      <c r="AC18" s="1260">
        <f>D18/J18</f>
        <v>1</v>
      </c>
    </row>
    <row r="19" spans="1:29" ht="15">
      <c r="A19" s="348"/>
      <c r="B19" s="557"/>
      <c r="C19" s="1751"/>
      <c r="D19" s="389"/>
      <c r="E19" s="1751"/>
      <c r="F19" s="392"/>
      <c r="G19" s="1751"/>
      <c r="H19" s="387"/>
      <c r="I19" s="386"/>
      <c r="J19" s="387"/>
      <c r="K19" s="1061"/>
      <c r="L19" s="2484"/>
      <c r="M19" s="2479"/>
      <c r="N19" s="2479"/>
      <c r="O19" s="2479"/>
      <c r="P19" s="3416"/>
      <c r="Q19" s="1259"/>
      <c r="R19" s="667"/>
      <c r="S19" s="668"/>
      <c r="T19" s="667"/>
      <c r="U19" s="668"/>
      <c r="V19" s="667"/>
      <c r="W19" s="668"/>
      <c r="X19" s="1261"/>
      <c r="Y19" s="3416"/>
      <c r="Z19" s="1260"/>
      <c r="AA19" s="1260">
        <v>1</v>
      </c>
      <c r="AB19" s="1260">
        <v>1</v>
      </c>
      <c r="AC19" s="1260">
        <v>1</v>
      </c>
    </row>
    <row r="20" spans="1:29" ht="42.75">
      <c r="A20" s="348"/>
      <c r="B20" s="556" t="s">
        <v>1833</v>
      </c>
      <c r="C20" s="1750" t="str">
        <f>IF(B1="工业",估价对象房地状况!G7,估价对象房地状况!C9)</f>
        <v>白盆窑公园、国际法官学院，一般</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416"/>
      <c r="Q20" s="1259" t="str">
        <f>B20</f>
        <v>自然及人文环境</v>
      </c>
      <c r="R20" s="667" t="s">
        <v>14</v>
      </c>
      <c r="S20" s="668">
        <f>F20</f>
        <v>100</v>
      </c>
      <c r="T20" s="667" t="s">
        <v>14</v>
      </c>
      <c r="U20" s="668">
        <f>H20</f>
        <v>100</v>
      </c>
      <c r="V20" s="667" t="s">
        <v>14</v>
      </c>
      <c r="W20" s="668">
        <f>J20</f>
        <v>100</v>
      </c>
      <c r="X20" s="1261"/>
      <c r="Y20" s="3416"/>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416"/>
      <c r="Q21" s="1259"/>
      <c r="R21" s="667"/>
      <c r="S21" s="668"/>
      <c r="T21" s="667"/>
      <c r="U21" s="668"/>
      <c r="V21" s="667"/>
      <c r="W21" s="668"/>
      <c r="X21" s="1261"/>
      <c r="Y21" s="3416"/>
      <c r="Z21" s="1260"/>
      <c r="AA21" s="1260">
        <v>1</v>
      </c>
      <c r="AB21" s="1260">
        <v>1</v>
      </c>
      <c r="AC21" s="1260">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416"/>
      <c r="Q22" s="1259" t="str">
        <f>B22</f>
        <v>楼层</v>
      </c>
      <c r="R22" s="667" t="s">
        <v>14</v>
      </c>
      <c r="S22" s="668">
        <f>F22</f>
        <v>100</v>
      </c>
      <c r="T22" s="667" t="s">
        <v>14</v>
      </c>
      <c r="U22" s="668">
        <f>H22</f>
        <v>100</v>
      </c>
      <c r="V22" s="667" t="s">
        <v>14</v>
      </c>
      <c r="W22" s="668">
        <f>J22</f>
        <v>100</v>
      </c>
      <c r="X22" s="1261"/>
      <c r="Y22" s="3416"/>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416"/>
      <c r="Q23" s="1259">
        <f>B23</f>
        <v>111</v>
      </c>
      <c r="R23" s="667" t="s">
        <v>14</v>
      </c>
      <c r="S23" s="668">
        <f>F23</f>
        <v>100</v>
      </c>
      <c r="T23" s="667" t="s">
        <v>14</v>
      </c>
      <c r="U23" s="668">
        <f>H23</f>
        <v>100</v>
      </c>
      <c r="V23" s="667" t="s">
        <v>14</v>
      </c>
      <c r="W23" s="668">
        <f>J23</f>
        <v>100</v>
      </c>
      <c r="X23" s="1261"/>
      <c r="Y23" s="3416"/>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416"/>
      <c r="Q24" s="1259">
        <f t="shared" ref="Q24:Q36" si="8">B24</f>
        <v>111</v>
      </c>
      <c r="R24" s="667" t="s">
        <v>14</v>
      </c>
      <c r="S24" s="668">
        <f>F24</f>
        <v>100</v>
      </c>
      <c r="T24" s="667" t="s">
        <v>14</v>
      </c>
      <c r="U24" s="668">
        <f>H24</f>
        <v>100</v>
      </c>
      <c r="V24" s="667" t="s">
        <v>14</v>
      </c>
      <c r="W24" s="668">
        <f>J24</f>
        <v>100</v>
      </c>
      <c r="X24" s="1261"/>
      <c r="Y24" s="3416"/>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2"/>
      <c r="N25" s="2432"/>
      <c r="O25" s="2432"/>
      <c r="P25" s="3416"/>
      <c r="Q25" s="530">
        <f t="shared" si="8"/>
        <v>111</v>
      </c>
      <c r="R25" s="664" t="s">
        <v>14</v>
      </c>
      <c r="S25" s="665">
        <f>F25</f>
        <v>100</v>
      </c>
      <c r="T25" s="664" t="s">
        <v>14</v>
      </c>
      <c r="U25" s="665">
        <f>H25</f>
        <v>100</v>
      </c>
      <c r="V25" s="664" t="s">
        <v>14</v>
      </c>
      <c r="W25" s="665">
        <f>J25</f>
        <v>100</v>
      </c>
      <c r="X25" s="666"/>
      <c r="Y25" s="3416"/>
      <c r="Z25" s="50">
        <f>Q25</f>
        <v>111</v>
      </c>
      <c r="AA25" s="1260">
        <f>D25/F25</f>
        <v>1</v>
      </c>
      <c r="AB25" s="1260">
        <f>D25/H25</f>
        <v>1</v>
      </c>
      <c r="AC25" s="1260">
        <f>D25/J25</f>
        <v>1</v>
      </c>
    </row>
    <row r="26" spans="1:29" ht="28.5">
      <c r="A26" s="574" t="s">
        <v>1693</v>
      </c>
      <c r="B26" s="59" t="s">
        <v>1835</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434" t="s">
        <v>1695</v>
      </c>
      <c r="Q26" s="1259" t="str">
        <f t="shared" si="8"/>
        <v>配套类型</v>
      </c>
      <c r="R26" s="667" t="s">
        <v>14</v>
      </c>
      <c r="S26" s="668">
        <f t="shared" ref="S26:S36" si="9">F26</f>
        <v>0</v>
      </c>
      <c r="T26" s="667" t="s">
        <v>14</v>
      </c>
      <c r="U26" s="668">
        <f t="shared" ref="U26:U36" si="10">H26</f>
        <v>0</v>
      </c>
      <c r="V26" s="667" t="s">
        <v>14</v>
      </c>
      <c r="W26" s="668">
        <f t="shared" ref="W26:W36" si="11">J26</f>
        <v>0</v>
      </c>
      <c r="X26" s="1261"/>
      <c r="Y26" s="3420" t="s">
        <v>1695</v>
      </c>
      <c r="Z26" s="1260" t="str">
        <f t="shared" ref="Z26:Z36" si="12">Q26</f>
        <v>配套类型</v>
      </c>
      <c r="AA26" s="1260" t="e">
        <f t="shared" si="3"/>
        <v>#DIV/0!</v>
      </c>
      <c r="AB26" s="1260" t="e">
        <f t="shared" si="4"/>
        <v>#DIV/0!</v>
      </c>
      <c r="AC26" s="1260"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420"/>
      <c r="Q27" s="531" t="str">
        <f t="shared" si="8"/>
        <v>项目停车位配比</v>
      </c>
      <c r="R27" s="669" t="s">
        <v>14</v>
      </c>
      <c r="S27" s="670">
        <f t="shared" si="9"/>
        <v>100</v>
      </c>
      <c r="T27" s="669" t="s">
        <v>14</v>
      </c>
      <c r="U27" s="670">
        <f t="shared" si="10"/>
        <v>100</v>
      </c>
      <c r="V27" s="669" t="s">
        <v>14</v>
      </c>
      <c r="W27" s="670">
        <f t="shared" si="11"/>
        <v>100</v>
      </c>
      <c r="X27" s="671"/>
      <c r="Y27" s="3420"/>
      <c r="Z27" s="672" t="str">
        <f t="shared" si="12"/>
        <v>项目停车位配比</v>
      </c>
      <c r="AA27" s="1260">
        <f t="shared" si="3"/>
        <v>1</v>
      </c>
      <c r="AB27" s="1260">
        <f t="shared" si="4"/>
        <v>1</v>
      </c>
      <c r="AC27" s="1260">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420"/>
      <c r="Q28" s="1259" t="str">
        <f t="shared" si="8"/>
        <v>公共部分装修</v>
      </c>
      <c r="R28" s="667" t="s">
        <v>14</v>
      </c>
      <c r="S28" s="668">
        <f t="shared" si="9"/>
        <v>100</v>
      </c>
      <c r="T28" s="667" t="s">
        <v>14</v>
      </c>
      <c r="U28" s="668">
        <f t="shared" si="10"/>
        <v>100</v>
      </c>
      <c r="V28" s="667" t="s">
        <v>14</v>
      </c>
      <c r="W28" s="668">
        <f t="shared" si="11"/>
        <v>100</v>
      </c>
      <c r="X28" s="1261"/>
      <c r="Y28" s="3420"/>
      <c r="Z28" s="1260" t="str">
        <f t="shared" si="12"/>
        <v>公共部分装修</v>
      </c>
      <c r="AA28" s="1260">
        <f t="shared" si="3"/>
        <v>1</v>
      </c>
      <c r="AB28" s="1260">
        <f t="shared" si="4"/>
        <v>1</v>
      </c>
      <c r="AC28" s="1260">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420"/>
      <c r="Q29" s="1259" t="str">
        <f t="shared" si="8"/>
        <v>成新率</v>
      </c>
      <c r="R29" s="667" t="s">
        <v>14</v>
      </c>
      <c r="S29" s="668" t="e">
        <f t="shared" si="9"/>
        <v>#N/A</v>
      </c>
      <c r="T29" s="667" t="s">
        <v>14</v>
      </c>
      <c r="U29" s="668" t="e">
        <f t="shared" si="10"/>
        <v>#N/A</v>
      </c>
      <c r="V29" s="667" t="s">
        <v>14</v>
      </c>
      <c r="W29" s="668" t="e">
        <f t="shared" si="11"/>
        <v>#N/A</v>
      </c>
      <c r="X29" s="1261"/>
      <c r="Y29" s="3420"/>
      <c r="Z29" s="1260" t="str">
        <f t="shared" si="12"/>
        <v>成新率</v>
      </c>
      <c r="AA29" s="1260" t="e">
        <f t="shared" si="3"/>
        <v>#N/A</v>
      </c>
      <c r="AB29" s="1260" t="e">
        <f t="shared" si="4"/>
        <v>#N/A</v>
      </c>
      <c r="AC29" s="1260"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420"/>
      <c r="Q30" s="1259" t="str">
        <f t="shared" si="8"/>
        <v>物业等级</v>
      </c>
      <c r="R30" s="667" t="s">
        <v>14</v>
      </c>
      <c r="S30" s="668">
        <f t="shared" si="9"/>
        <v>100</v>
      </c>
      <c r="T30" s="667" t="s">
        <v>14</v>
      </c>
      <c r="U30" s="668">
        <f t="shared" si="10"/>
        <v>100</v>
      </c>
      <c r="V30" s="667" t="s">
        <v>14</v>
      </c>
      <c r="W30" s="668">
        <f t="shared" si="11"/>
        <v>100</v>
      </c>
      <c r="X30" s="1261"/>
      <c r="Y30" s="3420"/>
      <c r="Z30" s="1260" t="str">
        <f t="shared" si="12"/>
        <v>物业等级</v>
      </c>
      <c r="AA30" s="1260">
        <f t="shared" si="3"/>
        <v>1</v>
      </c>
      <c r="AB30" s="1260">
        <f t="shared" si="4"/>
        <v>1</v>
      </c>
      <c r="AC30" s="1260">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2"/>
      <c r="N31" s="2432"/>
      <c r="O31" s="2432"/>
      <c r="P31" s="3420"/>
      <c r="Q31" s="530" t="str">
        <f t="shared" si="8"/>
        <v>停车位面积</v>
      </c>
      <c r="R31" s="664" t="s">
        <v>14</v>
      </c>
      <c r="S31" s="665" t="e">
        <f t="shared" si="9"/>
        <v>#N/A</v>
      </c>
      <c r="T31" s="664" t="s">
        <v>14</v>
      </c>
      <c r="U31" s="665" t="e">
        <f t="shared" si="10"/>
        <v>#N/A</v>
      </c>
      <c r="V31" s="664" t="s">
        <v>14</v>
      </c>
      <c r="W31" s="665" t="e">
        <f t="shared" si="11"/>
        <v>#N/A</v>
      </c>
      <c r="X31" s="666"/>
      <c r="Y31" s="3420"/>
      <c r="Z31" s="50" t="str">
        <f t="shared" si="12"/>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420" t="s">
        <v>1695</v>
      </c>
      <c r="Q32" s="1259" t="str">
        <f t="shared" si="8"/>
        <v>车位类型</v>
      </c>
      <c r="R32" s="667" t="s">
        <v>14</v>
      </c>
      <c r="S32" s="668">
        <f t="shared" si="9"/>
        <v>100</v>
      </c>
      <c r="T32" s="667" t="s">
        <v>14</v>
      </c>
      <c r="U32" s="668">
        <f t="shared" si="10"/>
        <v>100</v>
      </c>
      <c r="V32" s="667" t="s">
        <v>14</v>
      </c>
      <c r="W32" s="668">
        <f t="shared" si="11"/>
        <v>100</v>
      </c>
      <c r="X32" s="1261"/>
      <c r="Y32" s="3420" t="s">
        <v>1695</v>
      </c>
      <c r="Z32" s="1260" t="str">
        <f t="shared" si="12"/>
        <v>车位类型</v>
      </c>
      <c r="AA32" s="1260">
        <f t="shared" si="3"/>
        <v>1</v>
      </c>
      <c r="AB32" s="1260">
        <f t="shared" si="4"/>
        <v>1</v>
      </c>
      <c r="AC32" s="1260">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420"/>
      <c r="Q33" s="1259" t="str">
        <f t="shared" si="8"/>
        <v>是否直接入户</v>
      </c>
      <c r="R33" s="667" t="s">
        <v>14</v>
      </c>
      <c r="S33" s="668">
        <f t="shared" si="9"/>
        <v>100</v>
      </c>
      <c r="T33" s="667" t="s">
        <v>14</v>
      </c>
      <c r="U33" s="668">
        <f t="shared" si="10"/>
        <v>100</v>
      </c>
      <c r="V33" s="667" t="s">
        <v>14</v>
      </c>
      <c r="W33" s="668">
        <f t="shared" si="11"/>
        <v>100</v>
      </c>
      <c r="X33" s="1261"/>
      <c r="Y33" s="3420"/>
      <c r="Z33" s="1260" t="str">
        <f t="shared" si="12"/>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420"/>
      <c r="Q34" s="1259">
        <f t="shared" si="8"/>
        <v>111</v>
      </c>
      <c r="R34" s="667" t="s">
        <v>14</v>
      </c>
      <c r="S34" s="668">
        <f t="shared" si="9"/>
        <v>100</v>
      </c>
      <c r="T34" s="667" t="s">
        <v>14</v>
      </c>
      <c r="U34" s="668">
        <f t="shared" si="10"/>
        <v>100</v>
      </c>
      <c r="V34" s="667" t="s">
        <v>14</v>
      </c>
      <c r="W34" s="668">
        <f t="shared" si="11"/>
        <v>100</v>
      </c>
      <c r="X34" s="1261"/>
      <c r="Y34" s="3420"/>
      <c r="Z34" s="1260">
        <f t="shared" si="12"/>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420"/>
      <c r="Q35" s="531">
        <f t="shared" si="8"/>
        <v>111</v>
      </c>
      <c r="R35" s="669" t="s">
        <v>14</v>
      </c>
      <c r="S35" s="670">
        <f t="shared" si="9"/>
        <v>100</v>
      </c>
      <c r="T35" s="669" t="s">
        <v>14</v>
      </c>
      <c r="U35" s="670">
        <f t="shared" si="10"/>
        <v>100</v>
      </c>
      <c r="V35" s="669" t="s">
        <v>14</v>
      </c>
      <c r="W35" s="670">
        <f t="shared" si="11"/>
        <v>100</v>
      </c>
      <c r="X35" s="671"/>
      <c r="Y35" s="3420"/>
      <c r="Z35" s="672">
        <f t="shared" si="12"/>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420"/>
      <c r="Q36" s="1259">
        <f t="shared" si="8"/>
        <v>111</v>
      </c>
      <c r="R36" s="667" t="s">
        <v>14</v>
      </c>
      <c r="S36" s="668">
        <f t="shared" si="9"/>
        <v>100</v>
      </c>
      <c r="T36" s="667" t="s">
        <v>14</v>
      </c>
      <c r="U36" s="668">
        <f t="shared" si="10"/>
        <v>100</v>
      </c>
      <c r="V36" s="667" t="s">
        <v>14</v>
      </c>
      <c r="W36" s="668">
        <f t="shared" si="11"/>
        <v>100</v>
      </c>
      <c r="X36" s="1261"/>
      <c r="Y36" s="3420"/>
      <c r="Z36" s="1260">
        <f t="shared" si="12"/>
        <v>111</v>
      </c>
      <c r="AA36" s="1260">
        <f t="shared" si="3"/>
        <v>1</v>
      </c>
      <c r="AB36" s="1260">
        <f t="shared" si="4"/>
        <v>1</v>
      </c>
      <c r="AC36" s="1260">
        <f t="shared" si="5"/>
        <v>1</v>
      </c>
    </row>
    <row r="37" spans="1:29" ht="15">
      <c r="A37" s="416" t="s">
        <v>1843</v>
      </c>
      <c r="B37" s="1817" t="s">
        <v>3350</v>
      </c>
      <c r="C37" s="1078" t="s">
        <v>0</v>
      </c>
      <c r="D37" s="418"/>
      <c r="E37" s="419"/>
      <c r="F37" s="420"/>
      <c r="G37" s="421"/>
      <c r="H37" s="422"/>
      <c r="I37" s="419"/>
      <c r="J37" s="422"/>
      <c r="K37" s="545"/>
      <c r="L37" s="2486"/>
      <c r="M37" s="2479"/>
      <c r="N37" s="2479"/>
      <c r="O37" s="2479"/>
      <c r="P37" s="3422" t="str">
        <f>A37</f>
        <v>成交单价</v>
      </c>
      <c r="Q37" s="3422"/>
      <c r="R37" s="3409">
        <f>E37</f>
        <v>0</v>
      </c>
      <c r="S37" s="3409"/>
      <c r="T37" s="3409">
        <f>G37</f>
        <v>0</v>
      </c>
      <c r="U37" s="3409"/>
      <c r="V37" s="3409">
        <f>I37</f>
        <v>0</v>
      </c>
      <c r="W37" s="3409"/>
      <c r="X37" s="385"/>
      <c r="Y37" s="673"/>
      <c r="Z37" s="385"/>
      <c r="AA37" s="385"/>
      <c r="AB37" s="385"/>
      <c r="AC37" s="385"/>
    </row>
    <row r="38" spans="1:29" ht="15.75" thickBot="1">
      <c r="A38" s="423" t="s">
        <v>1844</v>
      </c>
      <c r="B38" s="424" t="str">
        <f>B37</f>
        <v>元/平方米</v>
      </c>
      <c r="C38" s="1079" t="e">
        <f>R39</f>
        <v>#DIV/0!</v>
      </c>
      <c r="D38" s="2136" t="s">
        <v>2136</v>
      </c>
      <c r="E38" s="1080" t="e">
        <f>R38</f>
        <v>#DIV/0!</v>
      </c>
      <c r="F38" s="2137"/>
      <c r="G38" s="1079" t="e">
        <f>T38</f>
        <v>#DIV/0!</v>
      </c>
      <c r="H38" s="2137"/>
      <c r="I38" s="1080" t="e">
        <f>V38</f>
        <v>#DIV/0!</v>
      </c>
      <c r="J38" s="2137"/>
      <c r="K38" s="2139">
        <f>F38+H38+J38</f>
        <v>0</v>
      </c>
      <c r="L38" s="2486"/>
      <c r="M38" s="2479"/>
      <c r="N38" s="2479"/>
      <c r="O38" s="2479"/>
      <c r="P38" s="3422" t="str">
        <f>A38</f>
        <v>比较价值（元/平方米）</v>
      </c>
      <c r="Q38" s="3422"/>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86"/>
      <c r="M39" s="2479"/>
      <c r="N39" s="2479"/>
      <c r="O39" s="2479"/>
      <c r="P39" s="3436" t="str">
        <f>A39</f>
        <v>估价对象XX用房的比较价值（楼面单价，元/平方米）</v>
      </c>
      <c r="Q39" s="3437"/>
      <c r="R39" s="3488" t="e">
        <f>IF(F1="售价",ROUND(IF(D38="简单平均",AVERAGE(R38:W38),R38*F38+T38*H38+V38*J38),0),ROUND(IF(D38="简单平均",AVERAGE(R38:V38),R38*F38+T38*H38+V38*J38),1))</f>
        <v>#DIV/0!</v>
      </c>
      <c r="S39" s="3488"/>
      <c r="T39" s="3488"/>
      <c r="U39" s="3488"/>
      <c r="V39" s="3488"/>
      <c r="W39" s="3488"/>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1.75" thickBot="1">
      <c r="A47" s="1084" t="s">
        <v>1849</v>
      </c>
      <c r="B47" s="858"/>
      <c r="C47" s="883"/>
      <c r="D47" s="883"/>
      <c r="E47" s="883"/>
      <c r="F47" s="1085"/>
      <c r="G47" s="1085"/>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5">
      <c r="A48" s="440" t="s">
        <v>1850</v>
      </c>
      <c r="B48" s="441"/>
      <c r="C48" s="1099" t="str">
        <f>YEAR(C7)&amp;"-"&amp;MONTH(C7)</f>
        <v>2024-12</v>
      </c>
      <c r="D48" s="1100">
        <f>EDATE(C48,-1)</f>
        <v>45597</v>
      </c>
      <c r="E48" s="1100">
        <f t="shared" ref="E48:O48" si="13">EDATE(D48,-1)</f>
        <v>45566</v>
      </c>
      <c r="F48" s="1100">
        <f t="shared" si="13"/>
        <v>45536</v>
      </c>
      <c r="G48" s="1100">
        <f t="shared" si="13"/>
        <v>45505</v>
      </c>
      <c r="H48" s="1100">
        <f t="shared" si="13"/>
        <v>45474</v>
      </c>
      <c r="I48" s="1100">
        <f t="shared" si="13"/>
        <v>45444</v>
      </c>
      <c r="J48" s="1100">
        <f t="shared" si="13"/>
        <v>45413</v>
      </c>
      <c r="K48" s="1100">
        <f t="shared" si="13"/>
        <v>45383</v>
      </c>
      <c r="L48" s="1100">
        <f t="shared" si="13"/>
        <v>45352</v>
      </c>
      <c r="M48" s="1100">
        <f t="shared" si="13"/>
        <v>45323</v>
      </c>
      <c r="N48" s="1100">
        <f t="shared" si="13"/>
        <v>45292</v>
      </c>
      <c r="O48" s="1100">
        <f t="shared" si="13"/>
        <v>45261</v>
      </c>
      <c r="P48" s="2519"/>
      <c r="Q48" s="2502"/>
      <c r="R48" s="2502"/>
      <c r="S48" s="2502"/>
      <c r="T48" s="2502"/>
      <c r="U48" s="2502"/>
      <c r="V48" s="2502"/>
      <c r="W48" s="2502"/>
      <c r="X48" s="2502"/>
      <c r="Y48" s="2502"/>
      <c r="Z48" s="2502"/>
      <c r="AA48" s="2502"/>
      <c r="AB48" s="2502"/>
      <c r="AC48" s="2502"/>
    </row>
    <row r="49" spans="1:29" s="102" customFormat="1" ht="15">
      <c r="A49" s="443"/>
      <c r="B49" s="444"/>
      <c r="C49" s="1094">
        <v>100</v>
      </c>
      <c r="D49" s="446"/>
      <c r="E49" s="446"/>
      <c r="F49" s="446"/>
      <c r="G49" s="446"/>
      <c r="H49" s="446"/>
      <c r="I49" s="446"/>
      <c r="J49" s="446"/>
      <c r="K49" s="446"/>
      <c r="L49" s="446"/>
      <c r="M49" s="447"/>
      <c r="N49" s="446"/>
      <c r="O49" s="447"/>
      <c r="P49" s="2520"/>
      <c r="Q49" s="2432"/>
      <c r="R49" s="2432"/>
      <c r="S49" s="2432"/>
      <c r="T49" s="2432"/>
      <c r="U49" s="2432"/>
      <c r="V49" s="2432"/>
      <c r="W49" s="2432"/>
      <c r="X49" s="2432"/>
      <c r="Y49" s="2432"/>
      <c r="Z49" s="2432"/>
      <c r="AA49" s="2432"/>
      <c r="AB49" s="2432"/>
      <c r="AC49" s="2432"/>
    </row>
    <row r="50" spans="1:29" s="102" customFormat="1" ht="15.75" thickBot="1">
      <c r="A50" s="449" t="s">
        <v>1715</v>
      </c>
      <c r="B50" s="450"/>
      <c r="C50" s="451"/>
      <c r="D50" s="452"/>
      <c r="E50" s="452"/>
      <c r="F50" s="452"/>
      <c r="G50" s="452"/>
      <c r="H50" s="452"/>
      <c r="I50" s="452"/>
      <c r="J50" s="452"/>
      <c r="K50" s="452"/>
      <c r="L50" s="452"/>
      <c r="M50" s="453"/>
      <c r="N50" s="452"/>
      <c r="O50" s="453"/>
      <c r="P50" s="2520"/>
      <c r="Q50" s="2500"/>
      <c r="R50" s="2432"/>
      <c r="S50" s="2432"/>
      <c r="T50" s="2432"/>
      <c r="U50" s="2432"/>
      <c r="V50" s="2432"/>
      <c r="W50" s="2432"/>
      <c r="X50" s="2432"/>
      <c r="Y50" s="2432"/>
      <c r="Z50" s="2432"/>
      <c r="AA50" s="2432"/>
      <c r="AB50" s="2432"/>
      <c r="AC50" s="2432"/>
    </row>
    <row r="51" spans="1:29" s="102" customFormat="1" ht="15">
      <c r="A51" s="455" t="s">
        <v>1680</v>
      </c>
      <c r="B51" s="444"/>
      <c r="C51" s="456" t="s">
        <v>1775</v>
      </c>
      <c r="D51" s="31"/>
      <c r="E51" s="31"/>
      <c r="F51" s="31"/>
      <c r="G51" s="31"/>
      <c r="H51" s="31"/>
      <c r="I51" s="31"/>
      <c r="J51" s="31"/>
      <c r="K51" s="31"/>
      <c r="L51" s="457"/>
      <c r="M51" s="458"/>
      <c r="N51" s="2512"/>
      <c r="O51" s="2512"/>
      <c r="P51" s="2521"/>
      <c r="Q51" s="2500"/>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2"/>
      <c r="O52" s="2512"/>
      <c r="P52" s="2520"/>
      <c r="Q52" s="2500"/>
      <c r="R52" s="2432"/>
      <c r="S52" s="2432"/>
      <c r="T52" s="2432"/>
      <c r="U52" s="2432"/>
      <c r="V52" s="2432"/>
      <c r="W52" s="2432"/>
      <c r="X52" s="2432"/>
      <c r="Y52" s="2432"/>
      <c r="Z52" s="2432"/>
      <c r="AA52" s="2432"/>
      <c r="AB52" s="2432"/>
      <c r="AC52" s="2432"/>
    </row>
    <row r="53" spans="1:29">
      <c r="A53" s="379" t="s">
        <v>1718</v>
      </c>
      <c r="B53" s="460" t="s">
        <v>1684</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5.75"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7.75" thickTop="1">
      <c r="A55" s="367"/>
      <c r="B55" s="469" t="s">
        <v>1687</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5.75"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5.75"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5.75"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5.75"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5.75"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5.75"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5.75"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75" thickTop="1">
      <c r="A65" s="367"/>
      <c r="B65" s="469" t="s">
        <v>1726</v>
      </c>
      <c r="C65" s="509" t="s">
        <v>1720</v>
      </c>
      <c r="D65" s="509" t="s">
        <v>1721</v>
      </c>
      <c r="E65" s="509" t="s">
        <v>1722</v>
      </c>
      <c r="F65" s="509" t="s">
        <v>1723</v>
      </c>
      <c r="G65" s="509" t="s">
        <v>1724</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75" thickTop="1">
      <c r="A67" s="367"/>
      <c r="B67" s="477" t="s">
        <v>1812</v>
      </c>
      <c r="C67" s="581" t="s">
        <v>1798</v>
      </c>
      <c r="D67" s="581" t="s">
        <v>1799</v>
      </c>
      <c r="E67" s="581" t="s">
        <v>1800</v>
      </c>
      <c r="F67" s="581" t="s">
        <v>1801</v>
      </c>
      <c r="G67" s="581" t="s">
        <v>1802</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75" thickTop="1">
      <c r="A69" s="367"/>
      <c r="B69" s="469" t="s">
        <v>1732</v>
      </c>
      <c r="C69" s="509" t="s">
        <v>1720</v>
      </c>
      <c r="D69" s="509" t="s">
        <v>1721</v>
      </c>
      <c r="E69" s="509" t="s">
        <v>1722</v>
      </c>
      <c r="F69" s="509" t="s">
        <v>1723</v>
      </c>
      <c r="G69" s="509" t="s">
        <v>1724</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75" thickTop="1">
      <c r="A71" s="367"/>
      <c r="B71" s="469" t="s">
        <v>1851</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5.75" thickTop="1">
      <c r="A73" s="370"/>
      <c r="B73" s="469">
        <f>B23</f>
        <v>111</v>
      </c>
      <c r="C73" s="480"/>
      <c r="D73" s="480"/>
      <c r="E73" s="480"/>
      <c r="F73" s="480"/>
      <c r="G73" s="485"/>
      <c r="H73" s="485"/>
      <c r="I73" s="485"/>
      <c r="J73" s="485"/>
      <c r="K73" s="485"/>
      <c r="L73" s="510"/>
      <c r="M73" s="511"/>
      <c r="N73" s="2512"/>
      <c r="O73" s="2512"/>
      <c r="P73" s="2522"/>
      <c r="Q73" s="2500"/>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4"/>
      <c r="O74" s="2514"/>
      <c r="P74" s="2522"/>
      <c r="Q74" s="2500"/>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2"/>
      <c r="O75" s="2512"/>
      <c r="P75" s="2522"/>
      <c r="Q75" s="2500"/>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4"/>
      <c r="O76" s="2514"/>
      <c r="P76" s="2522"/>
      <c r="Q76" s="2500"/>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5.75"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7.75" thickTop="1">
      <c r="A79" s="379" t="s">
        <v>1693</v>
      </c>
      <c r="B79" s="460" t="s">
        <v>1852</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4"/>
      <c r="O80" s="2514"/>
      <c r="P80" s="2522"/>
      <c r="Q80" s="2500"/>
      <c r="R80" s="2479"/>
      <c r="S80" s="2479"/>
      <c r="T80" s="2479"/>
      <c r="U80" s="2479"/>
      <c r="V80" s="2479"/>
      <c r="W80" s="2479"/>
      <c r="X80" s="2479"/>
      <c r="Y80" s="2479"/>
      <c r="Z80" s="2479"/>
      <c r="AA80" s="2479"/>
      <c r="AB80" s="2479"/>
      <c r="AC80" s="2479"/>
    </row>
    <row r="81" spans="1:29" ht="15.75" thickTop="1">
      <c r="A81" s="367"/>
      <c r="B81" s="469" t="s">
        <v>1853</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5.75"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1739</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1855</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1856</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1857</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1858</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5"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5.75"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5"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5.75"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5"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5"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3330</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96" t="s">
        <v>1769</v>
      </c>
      <c r="D4" s="3397"/>
      <c r="E4" s="3398" t="s">
        <v>1770</v>
      </c>
      <c r="F4" s="3399"/>
      <c r="G4" s="3396" t="s">
        <v>1771</v>
      </c>
      <c r="H4" s="3397"/>
      <c r="I4" s="3396" t="s">
        <v>1772</v>
      </c>
      <c r="J4" s="3397"/>
      <c r="K4" s="537" t="s">
        <v>1773</v>
      </c>
      <c r="L4" s="2478"/>
      <c r="M4" s="2479"/>
      <c r="N4" s="2479"/>
      <c r="O4" s="2479"/>
      <c r="P4" s="3430" t="s">
        <v>1774</v>
      </c>
      <c r="Q4" s="3431"/>
      <c r="R4" s="3427" t="s">
        <v>1770</v>
      </c>
      <c r="S4" s="3428"/>
      <c r="T4" s="3427" t="s">
        <v>1771</v>
      </c>
      <c r="U4" s="3428"/>
      <c r="V4" s="3409" t="s">
        <v>1772</v>
      </c>
      <c r="W4" s="3409"/>
      <c r="X4" s="1261"/>
      <c r="Y4" s="3427" t="s">
        <v>1774</v>
      </c>
      <c r="Z4" s="3428"/>
      <c r="AA4" s="3426" t="s">
        <v>1770</v>
      </c>
      <c r="AB4" s="3375" t="s">
        <v>1771</v>
      </c>
      <c r="AC4" s="3426" t="s">
        <v>1772</v>
      </c>
    </row>
    <row r="5" spans="1:29" ht="15">
      <c r="A5" s="348"/>
      <c r="B5" s="349"/>
      <c r="C5" s="3385" t="s">
        <v>1672</v>
      </c>
      <c r="D5" s="3386"/>
      <c r="E5" s="3429" t="s">
        <v>1673</v>
      </c>
      <c r="F5" s="3384"/>
      <c r="G5" s="3385" t="s">
        <v>1674</v>
      </c>
      <c r="H5" s="3386"/>
      <c r="I5" s="3385" t="s">
        <v>1675</v>
      </c>
      <c r="J5" s="3386"/>
      <c r="K5" s="537"/>
      <c r="L5" s="2478"/>
      <c r="M5" s="2479"/>
      <c r="N5" s="2479"/>
      <c r="O5" s="2479"/>
      <c r="P5" s="3432"/>
      <c r="Q5" s="3403"/>
      <c r="R5" s="3381"/>
      <c r="S5" s="3382"/>
      <c r="T5" s="3381"/>
      <c r="U5" s="3382"/>
      <c r="V5" s="3409"/>
      <c r="W5" s="3409"/>
      <c r="X5" s="1261"/>
      <c r="Y5" s="3381"/>
      <c r="Z5" s="3382"/>
      <c r="AA5" s="3375"/>
      <c r="AB5" s="3375"/>
      <c r="AC5" s="3375"/>
    </row>
    <row r="6" spans="1:29" ht="15.75" thickBot="1">
      <c r="A6" s="350"/>
      <c r="B6" s="351"/>
      <c r="C6" s="3387" t="s">
        <v>1676</v>
      </c>
      <c r="D6" s="3388"/>
      <c r="E6" s="3390" t="s">
        <v>1676</v>
      </c>
      <c r="F6" s="3391"/>
      <c r="G6" s="3387" t="s">
        <v>1676</v>
      </c>
      <c r="H6" s="3388"/>
      <c r="I6" s="3387" t="s">
        <v>1676</v>
      </c>
      <c r="J6" s="3388"/>
      <c r="K6" s="537" t="s">
        <v>1677</v>
      </c>
      <c r="L6" s="2478"/>
      <c r="M6" s="2479"/>
      <c r="N6" s="2479"/>
      <c r="O6" s="2479"/>
      <c r="P6" s="3433"/>
      <c r="Q6" s="3405"/>
      <c r="R6" s="3381"/>
      <c r="S6" s="3382"/>
      <c r="T6" s="3406"/>
      <c r="U6" s="3407"/>
      <c r="V6" s="3409"/>
      <c r="W6" s="3409"/>
      <c r="X6" s="1261"/>
      <c r="Y6" s="3406"/>
      <c r="Z6" s="3407"/>
      <c r="AA6" s="3376"/>
      <c r="AB6" s="3376"/>
      <c r="AC6" s="3376"/>
    </row>
    <row r="7" spans="1:29" s="102" customFormat="1" ht="15.75" thickBot="1">
      <c r="A7" s="352" t="s">
        <v>1678</v>
      </c>
      <c r="B7" s="353"/>
      <c r="C7" s="354">
        <f>'数据-取费表'!B2</f>
        <v>45635</v>
      </c>
      <c r="D7" s="355">
        <v>100</v>
      </c>
      <c r="E7" s="356"/>
      <c r="F7" s="357">
        <f>SUMIF(46:46,YEAR(E7)&amp;"-"&amp;MONTH(E7),47:47)</f>
        <v>0</v>
      </c>
      <c r="G7" s="1818"/>
      <c r="H7" s="355">
        <f>SUMIF(46:46,YEAR(G7)&amp;"-"&amp;MONTH(G7),47:47)</f>
        <v>0</v>
      </c>
      <c r="I7" s="356"/>
      <c r="J7" s="355">
        <f>SUMIF(46:46,YEAR(I7)&amp;"-"&amp;MONTH(I7),47:47)</f>
        <v>0</v>
      </c>
      <c r="K7" s="38"/>
      <c r="L7" s="2480"/>
      <c r="M7" s="2432"/>
      <c r="N7" s="2432"/>
      <c r="O7" s="2432"/>
      <c r="P7" s="3377" t="s">
        <v>1679</v>
      </c>
      <c r="Q7" s="3412"/>
      <c r="R7" s="664" t="s">
        <v>14</v>
      </c>
      <c r="S7" s="665">
        <f t="shared" ref="S7:S14" si="0">F7</f>
        <v>0</v>
      </c>
      <c r="T7" s="664" t="s">
        <v>14</v>
      </c>
      <c r="U7" s="665">
        <f t="shared" ref="U7:U14" si="1">H7</f>
        <v>0</v>
      </c>
      <c r="V7" s="664" t="s">
        <v>14</v>
      </c>
      <c r="W7" s="665">
        <f t="shared" ref="W7:W14" si="2">J7</f>
        <v>0</v>
      </c>
      <c r="X7" s="666"/>
      <c r="Y7" s="3377" t="s">
        <v>1679</v>
      </c>
      <c r="Z7" s="3378"/>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0"/>
      <c r="M8" s="2432"/>
      <c r="N8" s="2432"/>
      <c r="O8" s="2432"/>
      <c r="P8" s="3377" t="s">
        <v>1682</v>
      </c>
      <c r="Q8" s="3378"/>
      <c r="R8" s="664" t="s">
        <v>14</v>
      </c>
      <c r="S8" s="665">
        <f t="shared" si="0"/>
        <v>100</v>
      </c>
      <c r="T8" s="664" t="s">
        <v>14</v>
      </c>
      <c r="U8" s="665">
        <f t="shared" si="1"/>
        <v>100</v>
      </c>
      <c r="V8" s="664" t="s">
        <v>14</v>
      </c>
      <c r="W8" s="665">
        <f t="shared" si="2"/>
        <v>100</v>
      </c>
      <c r="X8" s="666"/>
      <c r="Y8" s="3377" t="s">
        <v>1682</v>
      </c>
      <c r="Z8" s="3378"/>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0"/>
      <c r="M9" s="2432"/>
      <c r="N9" s="2432"/>
      <c r="O9" s="2532"/>
      <c r="P9" s="3422" t="s">
        <v>1685</v>
      </c>
      <c r="Q9" s="530" t="str">
        <f t="shared" ref="Q9:Q14" si="6">B9</f>
        <v>用途</v>
      </c>
      <c r="R9" s="664" t="s">
        <v>14</v>
      </c>
      <c r="S9" s="665">
        <f t="shared" si="0"/>
        <v>100</v>
      </c>
      <c r="T9" s="664" t="s">
        <v>14</v>
      </c>
      <c r="U9" s="665">
        <f t="shared" si="1"/>
        <v>100</v>
      </c>
      <c r="V9" s="664" t="s">
        <v>14</v>
      </c>
      <c r="W9" s="665">
        <f t="shared" si="2"/>
        <v>100</v>
      </c>
      <c r="X9" s="666"/>
      <c r="Y9" s="3346" t="s">
        <v>1686</v>
      </c>
      <c r="Z9" s="50" t="str">
        <f t="shared" ref="Z9:Z14" si="7">Q9</f>
        <v>用途</v>
      </c>
      <c r="AA9" s="50">
        <f t="shared" si="3"/>
        <v>1</v>
      </c>
      <c r="AB9" s="50">
        <f t="shared" si="4"/>
        <v>1</v>
      </c>
      <c r="AC9" s="50">
        <f t="shared" si="5"/>
        <v>1</v>
      </c>
    </row>
    <row r="10" spans="1:29" s="366" customFormat="1" ht="27">
      <c r="A10" s="363"/>
      <c r="B10" s="364" t="s">
        <v>1687</v>
      </c>
      <c r="C10" s="3094"/>
      <c r="D10" s="119">
        <v>100</v>
      </c>
      <c r="E10" s="3094"/>
      <c r="F10" s="364">
        <f>SUMIF(53:53,E10,54:54)-SUMIF(53:53,C10,54:54)+100</f>
        <v>100</v>
      </c>
      <c r="G10" s="3094"/>
      <c r="H10" s="119">
        <f>SUMIF(53:53,G10,54:54)-SUMIF(53:53,C10,54:54)+100</f>
        <v>100</v>
      </c>
      <c r="I10" s="3094"/>
      <c r="J10" s="119">
        <f>SUMIF(53:53,I10,54:54)-SUMIF(53:53,C10,54:54)+100</f>
        <v>100</v>
      </c>
      <c r="K10" s="38"/>
      <c r="L10" s="2481"/>
      <c r="M10" s="2482"/>
      <c r="N10" s="2482"/>
      <c r="O10" s="2533"/>
      <c r="P10" s="3422"/>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422"/>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2"/>
      <c r="N12" s="2432"/>
      <c r="O12" s="2532"/>
      <c r="P12" s="3422"/>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422"/>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28.5">
      <c r="A14" s="379" t="s">
        <v>1689</v>
      </c>
      <c r="B14" s="58" t="s">
        <v>1832</v>
      </c>
      <c r="C14" s="1815" t="str">
        <f>IF(B1="工业",估价对象房地状况!G4,估价对象房地状况!C6)</f>
        <v>9号线、房山线，较好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415" t="s">
        <v>1690</v>
      </c>
      <c r="Q14" s="1259" t="str">
        <f t="shared" si="6"/>
        <v>交通便捷度</v>
      </c>
      <c r="R14" s="667" t="s">
        <v>14</v>
      </c>
      <c r="S14" s="668">
        <f t="shared" si="0"/>
        <v>100</v>
      </c>
      <c r="T14" s="667" t="s">
        <v>14</v>
      </c>
      <c r="U14" s="668">
        <f t="shared" si="1"/>
        <v>100</v>
      </c>
      <c r="V14" s="667" t="s">
        <v>14</v>
      </c>
      <c r="W14" s="668">
        <f t="shared" si="2"/>
        <v>100</v>
      </c>
      <c r="X14" s="1261"/>
      <c r="Y14" s="3415" t="s">
        <v>1690</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416"/>
      <c r="Q15" s="1259"/>
      <c r="R15" s="667"/>
      <c r="S15" s="668"/>
      <c r="T15" s="667"/>
      <c r="U15" s="668"/>
      <c r="V15" s="667"/>
      <c r="W15" s="668"/>
      <c r="X15" s="1261"/>
      <c r="Y15" s="3416"/>
      <c r="Z15" s="1260"/>
      <c r="AA15" s="1260">
        <v>1</v>
      </c>
      <c r="AB15" s="1260">
        <v>1</v>
      </c>
      <c r="AC15" s="1260">
        <v>1</v>
      </c>
    </row>
    <row r="16" spans="1:29" ht="15">
      <c r="A16" s="367"/>
      <c r="B16" s="390" t="s">
        <v>1811</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416"/>
      <c r="Q16" s="1259" t="str">
        <f>B16</f>
        <v>公共配套设施</v>
      </c>
      <c r="R16" s="667" t="s">
        <v>14</v>
      </c>
      <c r="S16" s="668">
        <f>F16</f>
        <v>100</v>
      </c>
      <c r="T16" s="667" t="s">
        <v>14</v>
      </c>
      <c r="U16" s="668">
        <f>H16</f>
        <v>100</v>
      </c>
      <c r="V16" s="667" t="s">
        <v>14</v>
      </c>
      <c r="W16" s="668">
        <f>J16</f>
        <v>100</v>
      </c>
      <c r="X16" s="1261"/>
      <c r="Y16" s="3416"/>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416"/>
      <c r="Q17" s="1259"/>
      <c r="R17" s="667"/>
      <c r="S17" s="668"/>
      <c r="T17" s="667"/>
      <c r="U17" s="668"/>
      <c r="V17" s="667"/>
      <c r="W17" s="668"/>
      <c r="X17" s="1261"/>
      <c r="Y17" s="3416"/>
      <c r="Z17" s="1260"/>
      <c r="AA17" s="1260">
        <v>1</v>
      </c>
      <c r="AB17" s="1260">
        <v>1</v>
      </c>
      <c r="AC17" s="1260">
        <v>1</v>
      </c>
    </row>
    <row r="18" spans="1:29" ht="15">
      <c r="A18" s="367"/>
      <c r="B18" s="586" t="s">
        <v>1812</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416"/>
      <c r="Q18" s="1259" t="str">
        <f>B18</f>
        <v>基础设施水平</v>
      </c>
      <c r="R18" s="667" t="s">
        <v>14</v>
      </c>
      <c r="S18" s="668">
        <f>F18</f>
        <v>100</v>
      </c>
      <c r="T18" s="667" t="s">
        <v>14</v>
      </c>
      <c r="U18" s="668">
        <f>H18</f>
        <v>100</v>
      </c>
      <c r="V18" s="667" t="s">
        <v>14</v>
      </c>
      <c r="W18" s="668">
        <f>J18</f>
        <v>100</v>
      </c>
      <c r="X18" s="1261"/>
      <c r="Y18" s="3416"/>
      <c r="Z18" s="1260" t="str">
        <f>Q18</f>
        <v>基础设施水平</v>
      </c>
      <c r="AA18" s="1260">
        <f>D18/F18</f>
        <v>1</v>
      </c>
      <c r="AB18" s="1260">
        <f>D18/H18</f>
        <v>1</v>
      </c>
      <c r="AC18" s="1260">
        <f>D18/J18</f>
        <v>1</v>
      </c>
    </row>
    <row r="19" spans="1:29" ht="15">
      <c r="A19" s="367"/>
      <c r="B19" s="586"/>
      <c r="C19" s="1751"/>
      <c r="D19" s="389"/>
      <c r="E19" s="1751"/>
      <c r="F19" s="392"/>
      <c r="G19" s="1751"/>
      <c r="H19" s="387"/>
      <c r="I19" s="386"/>
      <c r="J19" s="387"/>
      <c r="K19" s="1061"/>
      <c r="L19" s="2484"/>
      <c r="M19" s="2479"/>
      <c r="N19" s="2479"/>
      <c r="O19" s="2534"/>
      <c r="P19" s="3416"/>
      <c r="Q19" s="1259"/>
      <c r="R19" s="667"/>
      <c r="S19" s="668"/>
      <c r="T19" s="667"/>
      <c r="U19" s="668"/>
      <c r="V19" s="667"/>
      <c r="W19" s="668"/>
      <c r="X19" s="1261"/>
      <c r="Y19" s="3416"/>
      <c r="Z19" s="1260"/>
      <c r="AA19" s="1260">
        <v>1</v>
      </c>
      <c r="AB19" s="1260">
        <v>1</v>
      </c>
      <c r="AC19" s="1260">
        <v>1</v>
      </c>
    </row>
    <row r="20" spans="1:29" ht="42.75">
      <c r="A20" s="367"/>
      <c r="B20" s="390" t="s">
        <v>1833</v>
      </c>
      <c r="C20" s="1750" t="str">
        <f>IF(B1="工业",估价对象房地状况!G7,估价对象房地状况!C9)</f>
        <v>白盆窑公园、国际法官学院，一般</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416"/>
      <c r="Q20" s="1259" t="str">
        <f>B20</f>
        <v>自然及人文环境</v>
      </c>
      <c r="R20" s="667" t="s">
        <v>14</v>
      </c>
      <c r="S20" s="668">
        <f>F20</f>
        <v>100</v>
      </c>
      <c r="T20" s="667" t="s">
        <v>14</v>
      </c>
      <c r="U20" s="668">
        <f>H20</f>
        <v>100</v>
      </c>
      <c r="V20" s="667" t="s">
        <v>14</v>
      </c>
      <c r="W20" s="668">
        <f>J20</f>
        <v>100</v>
      </c>
      <c r="X20" s="1261"/>
      <c r="Y20" s="3416"/>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416"/>
      <c r="Q21" s="1259"/>
      <c r="R21" s="667"/>
      <c r="S21" s="668"/>
      <c r="T21" s="667"/>
      <c r="U21" s="668"/>
      <c r="V21" s="667"/>
      <c r="W21" s="668"/>
      <c r="X21" s="1261"/>
      <c r="Y21" s="3416"/>
      <c r="Z21" s="1260"/>
      <c r="AA21" s="1260">
        <v>1</v>
      </c>
      <c r="AB21" s="1260">
        <v>1</v>
      </c>
      <c r="AC21" s="1260">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416"/>
      <c r="Q22" s="1259" t="str">
        <f>B22</f>
        <v>楼层</v>
      </c>
      <c r="R22" s="667" t="s">
        <v>14</v>
      </c>
      <c r="S22" s="668">
        <f>F22</f>
        <v>100</v>
      </c>
      <c r="T22" s="667" t="s">
        <v>14</v>
      </c>
      <c r="U22" s="668">
        <f>H22</f>
        <v>100</v>
      </c>
      <c r="V22" s="667" t="s">
        <v>14</v>
      </c>
      <c r="W22" s="668">
        <f>J22</f>
        <v>100</v>
      </c>
      <c r="X22" s="1261"/>
      <c r="Y22" s="3416"/>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416"/>
      <c r="Q23" s="1259">
        <f>B23</f>
        <v>111</v>
      </c>
      <c r="R23" s="667" t="s">
        <v>14</v>
      </c>
      <c r="S23" s="668">
        <f>F23</f>
        <v>100</v>
      </c>
      <c r="T23" s="667" t="s">
        <v>14</v>
      </c>
      <c r="U23" s="668">
        <f>H23</f>
        <v>100</v>
      </c>
      <c r="V23" s="667" t="s">
        <v>14</v>
      </c>
      <c r="W23" s="668">
        <f>J23</f>
        <v>100</v>
      </c>
      <c r="X23" s="1261"/>
      <c r="Y23" s="3416"/>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416"/>
      <c r="Q24" s="1259">
        <f t="shared" ref="Q24:Q34" si="8">B24</f>
        <v>111</v>
      </c>
      <c r="R24" s="667" t="s">
        <v>14</v>
      </c>
      <c r="S24" s="668">
        <f>F24</f>
        <v>100</v>
      </c>
      <c r="T24" s="667" t="s">
        <v>14</v>
      </c>
      <c r="U24" s="668">
        <f>H24</f>
        <v>100</v>
      </c>
      <c r="V24" s="667" t="s">
        <v>14</v>
      </c>
      <c r="W24" s="668">
        <f>J24</f>
        <v>100</v>
      </c>
      <c r="X24" s="1261"/>
      <c r="Y24" s="3416"/>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2"/>
      <c r="N25" s="2432"/>
      <c r="O25" s="2532"/>
      <c r="P25" s="3416"/>
      <c r="Q25" s="530">
        <f t="shared" si="8"/>
        <v>111</v>
      </c>
      <c r="R25" s="664" t="s">
        <v>14</v>
      </c>
      <c r="S25" s="665">
        <f>F25</f>
        <v>100</v>
      </c>
      <c r="T25" s="664" t="s">
        <v>14</v>
      </c>
      <c r="U25" s="665">
        <f>H25</f>
        <v>100</v>
      </c>
      <c r="V25" s="664" t="s">
        <v>14</v>
      </c>
      <c r="W25" s="665">
        <f>J25</f>
        <v>100</v>
      </c>
      <c r="X25" s="666"/>
      <c r="Y25" s="3416"/>
      <c r="Z25" s="50">
        <f>Q25</f>
        <v>111</v>
      </c>
      <c r="AA25" s="1260">
        <f>D25/F25</f>
        <v>1</v>
      </c>
      <c r="AB25" s="1260">
        <f>D25/H25</f>
        <v>1</v>
      </c>
      <c r="AC25" s="1260">
        <f>D25/J25</f>
        <v>1</v>
      </c>
    </row>
    <row r="26" spans="1:29" ht="28.5">
      <c r="A26" s="404" t="s">
        <v>1693</v>
      </c>
      <c r="B26" s="60" t="s">
        <v>1837</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434" t="s">
        <v>1695</v>
      </c>
      <c r="Q26" s="1259" t="str">
        <f t="shared" si="8"/>
        <v>公共部分装修</v>
      </c>
      <c r="R26" s="667" t="s">
        <v>14</v>
      </c>
      <c r="S26" s="668">
        <f t="shared" ref="S26:S34" si="9">F26</f>
        <v>100</v>
      </c>
      <c r="T26" s="667" t="s">
        <v>14</v>
      </c>
      <c r="U26" s="668">
        <f t="shared" ref="U26:U34" si="10">H26</f>
        <v>100</v>
      </c>
      <c r="V26" s="667" t="s">
        <v>14</v>
      </c>
      <c r="W26" s="668">
        <f t="shared" ref="W26:W34" si="11">J26</f>
        <v>100</v>
      </c>
      <c r="X26" s="1261"/>
      <c r="Y26" s="3420" t="s">
        <v>1695</v>
      </c>
      <c r="Z26" s="1260" t="str">
        <f t="shared" ref="Z26:Z34" si="12">Q26</f>
        <v>公共部分装修</v>
      </c>
      <c r="AA26" s="1260">
        <f t="shared" si="3"/>
        <v>1</v>
      </c>
      <c r="AB26" s="1260">
        <f t="shared" si="4"/>
        <v>1</v>
      </c>
      <c r="AC26" s="1260">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420"/>
      <c r="Q27" s="531" t="str">
        <f t="shared" si="8"/>
        <v>成新率</v>
      </c>
      <c r="R27" s="669" t="s">
        <v>14</v>
      </c>
      <c r="S27" s="670" t="e">
        <f t="shared" si="9"/>
        <v>#N/A</v>
      </c>
      <c r="T27" s="669" t="s">
        <v>14</v>
      </c>
      <c r="U27" s="670" t="e">
        <f t="shared" si="10"/>
        <v>#N/A</v>
      </c>
      <c r="V27" s="669" t="s">
        <v>14</v>
      </c>
      <c r="W27" s="670" t="e">
        <f t="shared" si="11"/>
        <v>#N/A</v>
      </c>
      <c r="X27" s="671"/>
      <c r="Y27" s="3420"/>
      <c r="Z27" s="672" t="str">
        <f t="shared" si="12"/>
        <v>成新率</v>
      </c>
      <c r="AA27" s="1260" t="e">
        <f t="shared" si="3"/>
        <v>#N/A</v>
      </c>
      <c r="AB27" s="1260" t="e">
        <f t="shared" si="4"/>
        <v>#N/A</v>
      </c>
      <c r="AC27" s="1260"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420"/>
      <c r="Q28" s="1259" t="str">
        <f t="shared" si="8"/>
        <v>物业等级</v>
      </c>
      <c r="R28" s="667" t="s">
        <v>14</v>
      </c>
      <c r="S28" s="668">
        <f t="shared" si="9"/>
        <v>100</v>
      </c>
      <c r="T28" s="667" t="s">
        <v>14</v>
      </c>
      <c r="U28" s="668">
        <f t="shared" si="10"/>
        <v>100</v>
      </c>
      <c r="V28" s="667" t="s">
        <v>14</v>
      </c>
      <c r="W28" s="668">
        <f t="shared" si="11"/>
        <v>100</v>
      </c>
      <c r="X28" s="1261"/>
      <c r="Y28" s="3420"/>
      <c r="Z28" s="1260" t="str">
        <f t="shared" si="12"/>
        <v>物业等级</v>
      </c>
      <c r="AA28" s="1260">
        <f t="shared" si="3"/>
        <v>1</v>
      </c>
      <c r="AB28" s="1260">
        <f t="shared" si="4"/>
        <v>1</v>
      </c>
      <c r="AC28" s="1260">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420"/>
      <c r="Q29" s="1259" t="str">
        <f t="shared" si="8"/>
        <v>有无电梯</v>
      </c>
      <c r="R29" s="667" t="s">
        <v>14</v>
      </c>
      <c r="S29" s="668">
        <f t="shared" si="9"/>
        <v>100</v>
      </c>
      <c r="T29" s="667" t="s">
        <v>14</v>
      </c>
      <c r="U29" s="668">
        <f t="shared" si="10"/>
        <v>100</v>
      </c>
      <c r="V29" s="667" t="s">
        <v>14</v>
      </c>
      <c r="W29" s="668">
        <f t="shared" si="11"/>
        <v>100</v>
      </c>
      <c r="X29" s="1261"/>
      <c r="Y29" s="3420"/>
      <c r="Z29" s="1260" t="str">
        <f t="shared" si="12"/>
        <v>有无电梯</v>
      </c>
      <c r="AA29" s="1260">
        <f t="shared" si="3"/>
        <v>1</v>
      </c>
      <c r="AB29" s="1260">
        <f t="shared" si="4"/>
        <v>1</v>
      </c>
      <c r="AC29" s="1260">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420"/>
      <c r="Q30" s="1259" t="str">
        <f t="shared" si="8"/>
        <v>建筑面积</v>
      </c>
      <c r="R30" s="667" t="s">
        <v>14</v>
      </c>
      <c r="S30" s="668" t="e">
        <f t="shared" si="9"/>
        <v>#N/A</v>
      </c>
      <c r="T30" s="667" t="s">
        <v>14</v>
      </c>
      <c r="U30" s="668" t="e">
        <f t="shared" si="10"/>
        <v>#N/A</v>
      </c>
      <c r="V30" s="667" t="s">
        <v>14</v>
      </c>
      <c r="W30" s="668" t="e">
        <f t="shared" si="11"/>
        <v>#N/A</v>
      </c>
      <c r="X30" s="1261"/>
      <c r="Y30" s="3420"/>
      <c r="Z30" s="1260" t="str">
        <f t="shared" si="12"/>
        <v>建筑面积</v>
      </c>
      <c r="AA30" s="1260" t="e">
        <f t="shared" si="3"/>
        <v>#N/A</v>
      </c>
      <c r="AB30" s="1260" t="e">
        <f t="shared" si="4"/>
        <v>#N/A</v>
      </c>
      <c r="AC30" s="1260"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2"/>
      <c r="N31" s="2432"/>
      <c r="O31" s="2532"/>
      <c r="P31" s="3420"/>
      <c r="Q31" s="530" t="str">
        <f t="shared" si="8"/>
        <v>是否封闭</v>
      </c>
      <c r="R31" s="664" t="s">
        <v>14</v>
      </c>
      <c r="S31" s="665">
        <f t="shared" si="9"/>
        <v>100</v>
      </c>
      <c r="T31" s="664" t="s">
        <v>14</v>
      </c>
      <c r="U31" s="665">
        <f t="shared" si="10"/>
        <v>100</v>
      </c>
      <c r="V31" s="664" t="s">
        <v>14</v>
      </c>
      <c r="W31" s="665">
        <f t="shared" si="11"/>
        <v>100</v>
      </c>
      <c r="X31" s="666"/>
      <c r="Y31" s="3420"/>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420" t="s">
        <v>1695</v>
      </c>
      <c r="Q32" s="1259">
        <f t="shared" si="8"/>
        <v>111</v>
      </c>
      <c r="R32" s="667" t="s">
        <v>14</v>
      </c>
      <c r="S32" s="668">
        <f t="shared" si="9"/>
        <v>100</v>
      </c>
      <c r="T32" s="667" t="s">
        <v>14</v>
      </c>
      <c r="U32" s="668">
        <f t="shared" si="10"/>
        <v>100</v>
      </c>
      <c r="V32" s="667" t="s">
        <v>14</v>
      </c>
      <c r="W32" s="668">
        <f t="shared" si="11"/>
        <v>100</v>
      </c>
      <c r="X32" s="1261"/>
      <c r="Y32" s="3420" t="s">
        <v>1695</v>
      </c>
      <c r="Z32" s="1260">
        <f t="shared" si="12"/>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420"/>
      <c r="Q33" s="1259">
        <f t="shared" si="8"/>
        <v>111</v>
      </c>
      <c r="R33" s="667" t="s">
        <v>14</v>
      </c>
      <c r="S33" s="668">
        <f t="shared" si="9"/>
        <v>100</v>
      </c>
      <c r="T33" s="667" t="s">
        <v>14</v>
      </c>
      <c r="U33" s="668">
        <f t="shared" si="10"/>
        <v>100</v>
      </c>
      <c r="V33" s="667" t="s">
        <v>14</v>
      </c>
      <c r="W33" s="668">
        <f t="shared" si="11"/>
        <v>100</v>
      </c>
      <c r="X33" s="1261"/>
      <c r="Y33" s="3420"/>
      <c r="Z33" s="1260">
        <f t="shared" si="12"/>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420"/>
      <c r="Q34" s="1259">
        <f t="shared" si="8"/>
        <v>111</v>
      </c>
      <c r="R34" s="667" t="s">
        <v>14</v>
      </c>
      <c r="S34" s="668">
        <f t="shared" si="9"/>
        <v>100</v>
      </c>
      <c r="T34" s="667" t="s">
        <v>14</v>
      </c>
      <c r="U34" s="668">
        <f t="shared" si="10"/>
        <v>100</v>
      </c>
      <c r="V34" s="667" t="s">
        <v>14</v>
      </c>
      <c r="W34" s="668">
        <f t="shared" si="11"/>
        <v>100</v>
      </c>
      <c r="X34" s="1261"/>
      <c r="Y34" s="3420"/>
      <c r="Z34" s="1260">
        <f t="shared" si="12"/>
        <v>111</v>
      </c>
      <c r="AA34" s="1260">
        <f t="shared" si="3"/>
        <v>1</v>
      </c>
      <c r="AB34" s="1260">
        <f t="shared" si="4"/>
        <v>1</v>
      </c>
      <c r="AC34" s="1260">
        <f t="shared" si="5"/>
        <v>1</v>
      </c>
    </row>
    <row r="35" spans="1:30" ht="15">
      <c r="A35" s="416" t="s">
        <v>1707</v>
      </c>
      <c r="B35" s="417"/>
      <c r="C35" s="1078" t="s">
        <v>0</v>
      </c>
      <c r="D35" s="418"/>
      <c r="E35" s="419"/>
      <c r="F35" s="420"/>
      <c r="G35" s="421"/>
      <c r="H35" s="422"/>
      <c r="I35" s="419"/>
      <c r="J35" s="422"/>
      <c r="K35" s="674"/>
      <c r="L35" s="2486"/>
      <c r="M35" s="2479"/>
      <c r="N35" s="2479"/>
      <c r="O35" s="2479"/>
      <c r="P35" s="3422" t="str">
        <f>A35</f>
        <v>成交单价（元/平方米）</v>
      </c>
      <c r="Q35" s="3422"/>
      <c r="R35" s="3409">
        <f>E35</f>
        <v>0</v>
      </c>
      <c r="S35" s="3409"/>
      <c r="T35" s="3409">
        <f>G35</f>
        <v>0</v>
      </c>
      <c r="U35" s="3409"/>
      <c r="V35" s="3409">
        <f>I35</f>
        <v>0</v>
      </c>
      <c r="W35" s="3409"/>
      <c r="X35" s="385"/>
      <c r="Y35" s="673"/>
      <c r="Z35" s="385"/>
      <c r="AA35" s="385"/>
      <c r="AB35" s="385"/>
      <c r="AC35" s="385"/>
    </row>
    <row r="36" spans="1:30" ht="15.75" thickBot="1">
      <c r="A36" s="423" t="s">
        <v>1792</v>
      </c>
      <c r="B36" s="424"/>
      <c r="C36" s="1079" t="e">
        <f>R37</f>
        <v>#DIV/0!</v>
      </c>
      <c r="D36" s="2136" t="s">
        <v>2136</v>
      </c>
      <c r="E36" s="1080" t="e">
        <f>R36</f>
        <v>#DIV/0!</v>
      </c>
      <c r="F36" s="2137"/>
      <c r="G36" s="1079" t="e">
        <f>T36</f>
        <v>#DIV/0!</v>
      </c>
      <c r="H36" s="2137"/>
      <c r="I36" s="1080" t="e">
        <f>V36</f>
        <v>#DIV/0!</v>
      </c>
      <c r="J36" s="2137"/>
      <c r="K36" s="2139">
        <f>F36+H36+J36</f>
        <v>0</v>
      </c>
      <c r="L36" s="2486"/>
      <c r="M36" s="2479"/>
      <c r="N36" s="2479"/>
      <c r="O36" s="2479"/>
      <c r="P36" s="3422" t="str">
        <f>A36</f>
        <v>比较价值（元/平方米）</v>
      </c>
      <c r="Q36" s="3422"/>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86"/>
      <c r="M37" s="2479"/>
      <c r="N37" s="2479"/>
      <c r="O37" s="2479"/>
      <c r="P37" s="3436" t="str">
        <f>A37</f>
        <v>估价对象XX用房的比较价值（楼面单价，元/平方米）</v>
      </c>
      <c r="Q37" s="3437"/>
      <c r="R37" s="3488" t="e">
        <f>IF(F1="售价",ROUND(IF(D36="简单平均",AVERAGE(R36:W36),R36*F36+T36*H36+V36*J36),0),ROUND(IF(D36="简单平均",AVERAGE(R36:V36),R36*F36+T36*H36+V36*J36),1))</f>
        <v>#DIV/0!</v>
      </c>
      <c r="S37" s="3488"/>
      <c r="T37" s="3488"/>
      <c r="U37" s="3488"/>
      <c r="V37" s="3488"/>
      <c r="W37" s="3488"/>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1.75" thickBot="1">
      <c r="A45" s="658" t="s">
        <v>1797</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5">
      <c r="A46" s="440" t="s">
        <v>1678</v>
      </c>
      <c r="B46" s="441"/>
      <c r="C46" s="1099" t="str">
        <f>YEAR(C7)&amp;"-"&amp;MONTH(C7)</f>
        <v>2024-12</v>
      </c>
      <c r="D46" s="1100">
        <f>EDATE(C46,-1)</f>
        <v>45597</v>
      </c>
      <c r="E46" s="1100">
        <f t="shared" ref="E46:O46" si="13">EDATE(D46,-1)</f>
        <v>45566</v>
      </c>
      <c r="F46" s="1100">
        <f t="shared" si="13"/>
        <v>45536</v>
      </c>
      <c r="G46" s="1100">
        <f t="shared" si="13"/>
        <v>45505</v>
      </c>
      <c r="H46" s="1100">
        <f t="shared" si="13"/>
        <v>45474</v>
      </c>
      <c r="I46" s="1100">
        <f t="shared" si="13"/>
        <v>45444</v>
      </c>
      <c r="J46" s="1100">
        <f t="shared" si="13"/>
        <v>45413</v>
      </c>
      <c r="K46" s="1100">
        <f t="shared" si="13"/>
        <v>45383</v>
      </c>
      <c r="L46" s="1100">
        <f t="shared" si="13"/>
        <v>45352</v>
      </c>
      <c r="M46" s="1100">
        <f t="shared" si="13"/>
        <v>45323</v>
      </c>
      <c r="N46" s="1100">
        <f t="shared" si="13"/>
        <v>45292</v>
      </c>
      <c r="O46" s="1100">
        <f t="shared" si="13"/>
        <v>45261</v>
      </c>
      <c r="P46" s="2502"/>
      <c r="Q46" s="2502"/>
      <c r="R46" s="2502"/>
      <c r="S46" s="2502"/>
      <c r="T46" s="2502"/>
      <c r="U46" s="2502"/>
      <c r="V46" s="2502"/>
      <c r="W46" s="2502"/>
      <c r="X46" s="2502"/>
      <c r="Y46" s="2502"/>
      <c r="Z46" s="2502"/>
      <c r="AA46" s="2502"/>
      <c r="AB46" s="2502"/>
      <c r="AC46" s="2502"/>
      <c r="AD46" s="2502"/>
    </row>
    <row r="47" spans="1:30" s="102" customFormat="1" ht="15">
      <c r="A47" s="443"/>
      <c r="B47" s="444"/>
      <c r="C47" s="1098">
        <v>100</v>
      </c>
      <c r="D47" s="446"/>
      <c r="E47" s="446"/>
      <c r="F47" s="446"/>
      <c r="G47" s="446"/>
      <c r="H47" s="446"/>
      <c r="I47" s="446"/>
      <c r="J47" s="446"/>
      <c r="K47" s="446"/>
      <c r="L47" s="446"/>
      <c r="M47" s="447"/>
      <c r="N47" s="446"/>
      <c r="O47" s="448"/>
      <c r="P47" s="2500"/>
      <c r="Q47" s="2432"/>
      <c r="R47" s="2432"/>
      <c r="S47" s="2432"/>
      <c r="T47" s="2432"/>
      <c r="U47" s="2432"/>
      <c r="V47" s="2432"/>
      <c r="W47" s="2432"/>
      <c r="X47" s="2432"/>
      <c r="Y47" s="2432"/>
      <c r="Z47" s="2432"/>
      <c r="AA47" s="2432"/>
      <c r="AB47" s="2432"/>
      <c r="AC47" s="2432"/>
      <c r="AD47" s="2432"/>
    </row>
    <row r="48" spans="1:30" s="102" customFormat="1" ht="15.75" thickBot="1">
      <c r="A48" s="449" t="s">
        <v>1715</v>
      </c>
      <c r="B48" s="450"/>
      <c r="C48" s="451"/>
      <c r="D48" s="452"/>
      <c r="E48" s="452"/>
      <c r="F48" s="452"/>
      <c r="G48" s="452"/>
      <c r="H48" s="452"/>
      <c r="I48" s="452"/>
      <c r="J48" s="452"/>
      <c r="K48" s="452"/>
      <c r="L48" s="452"/>
      <c r="M48" s="453"/>
      <c r="N48" s="452"/>
      <c r="O48" s="454"/>
      <c r="P48" s="2500"/>
      <c r="Q48" s="2500"/>
      <c r="R48" s="2432"/>
      <c r="S48" s="2432"/>
      <c r="T48" s="2432"/>
      <c r="U48" s="2432"/>
      <c r="V48" s="2432"/>
      <c r="W48" s="2432"/>
      <c r="X48" s="2432"/>
      <c r="Y48" s="2432"/>
      <c r="Z48" s="2432"/>
      <c r="AA48" s="2432"/>
      <c r="AB48" s="2432"/>
      <c r="AC48" s="2432"/>
      <c r="AD48" s="2432"/>
    </row>
    <row r="49" spans="1:30" s="102" customFormat="1" ht="15">
      <c r="A49" s="455" t="s">
        <v>1680</v>
      </c>
      <c r="B49" s="444"/>
      <c r="C49" s="456" t="s">
        <v>1775</v>
      </c>
      <c r="D49" s="31"/>
      <c r="E49" s="31"/>
      <c r="F49" s="31"/>
      <c r="G49" s="31"/>
      <c r="H49" s="31"/>
      <c r="I49" s="31"/>
      <c r="J49" s="31"/>
      <c r="K49" s="31"/>
      <c r="L49" s="457"/>
      <c r="M49" s="458"/>
      <c r="N49" s="2512"/>
      <c r="O49" s="2512"/>
      <c r="P49" s="2536"/>
      <c r="Q49" s="2500"/>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2"/>
      <c r="O50" s="2512"/>
      <c r="P50" s="2500"/>
      <c r="Q50" s="2500"/>
      <c r="R50" s="2432"/>
      <c r="S50" s="2432"/>
      <c r="T50" s="2432"/>
      <c r="U50" s="2432"/>
      <c r="V50" s="2432"/>
      <c r="W50" s="2432"/>
      <c r="X50" s="2432"/>
      <c r="Y50" s="2432"/>
      <c r="Z50" s="2432"/>
      <c r="AA50" s="2432"/>
      <c r="AB50" s="2432"/>
      <c r="AC50" s="2432"/>
      <c r="AD50" s="2432"/>
    </row>
    <row r="51" spans="1:30">
      <c r="A51" s="379" t="s">
        <v>1718</v>
      </c>
      <c r="B51" s="460" t="s">
        <v>1684</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5.75"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7.75" thickTop="1">
      <c r="A53" s="367"/>
      <c r="B53" s="469" t="s">
        <v>1687</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5.75"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5.75"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5.75"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5.75"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5.75"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5.75"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5.75"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7.75" thickTop="1">
      <c r="A63" s="367"/>
      <c r="B63" s="469" t="s">
        <v>1862</v>
      </c>
      <c r="C63" s="509" t="s">
        <v>1720</v>
      </c>
      <c r="D63" s="509" t="s">
        <v>1721</v>
      </c>
      <c r="E63" s="509" t="s">
        <v>1722</v>
      </c>
      <c r="F63" s="509" t="s">
        <v>1723</v>
      </c>
      <c r="G63" s="509" t="s">
        <v>1724</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75" thickTop="1">
      <c r="A65" s="367"/>
      <c r="B65" s="477" t="s">
        <v>1812</v>
      </c>
      <c r="C65" s="581" t="s">
        <v>1798</v>
      </c>
      <c r="D65" s="581" t="s">
        <v>1799</v>
      </c>
      <c r="E65" s="581" t="s">
        <v>1800</v>
      </c>
      <c r="F65" s="581" t="s">
        <v>1801</v>
      </c>
      <c r="G65" s="581" t="s">
        <v>1802</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75" thickTop="1">
      <c r="A67" s="367"/>
      <c r="B67" s="469" t="s">
        <v>1732</v>
      </c>
      <c r="C67" s="509" t="s">
        <v>1720</v>
      </c>
      <c r="D67" s="509" t="s">
        <v>1721</v>
      </c>
      <c r="E67" s="509" t="s">
        <v>1722</v>
      </c>
      <c r="F67" s="509" t="s">
        <v>1723</v>
      </c>
      <c r="G67" s="509" t="s">
        <v>1724</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75" thickTop="1">
      <c r="A69" s="367"/>
      <c r="B69" s="469" t="s">
        <v>1851</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5.75"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5.75" thickTop="1">
      <c r="A71" s="370"/>
      <c r="B71" s="469">
        <f>B23</f>
        <v>111</v>
      </c>
      <c r="C71" s="480"/>
      <c r="D71" s="480"/>
      <c r="E71" s="480"/>
      <c r="F71" s="480"/>
      <c r="G71" s="485"/>
      <c r="H71" s="485"/>
      <c r="I71" s="485"/>
      <c r="J71" s="485"/>
      <c r="K71" s="485"/>
      <c r="L71" s="510"/>
      <c r="M71" s="511"/>
      <c r="N71" s="2512"/>
      <c r="O71" s="2512"/>
      <c r="P71" s="2512"/>
      <c r="Q71" s="2500"/>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4"/>
      <c r="O72" s="2514"/>
      <c r="P72" s="2512"/>
      <c r="Q72" s="2500"/>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2"/>
      <c r="O73" s="2512"/>
      <c r="P73" s="2512"/>
      <c r="Q73" s="2500"/>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4"/>
      <c r="O74" s="2514"/>
      <c r="P74" s="2512"/>
      <c r="Q74" s="2500"/>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5.75"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1693</v>
      </c>
      <c r="B77" s="460" t="s">
        <v>1739</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4"/>
      <c r="O78" s="2514"/>
      <c r="P78" s="2512"/>
      <c r="Q78" s="2500"/>
      <c r="R78" s="2479"/>
      <c r="S78" s="2479"/>
      <c r="T78" s="2479"/>
      <c r="U78" s="2479"/>
      <c r="V78" s="2479"/>
      <c r="W78" s="2479"/>
      <c r="X78" s="2479"/>
      <c r="Y78" s="2479"/>
      <c r="Z78" s="2479"/>
      <c r="AA78" s="2479"/>
      <c r="AB78" s="2479"/>
      <c r="AC78" s="2479"/>
      <c r="AD78" s="2479"/>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ht="15">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1855</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1863</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1864</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5.75"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1865</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5.75"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5"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5.75"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5"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5.75"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5"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5.75"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5"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8 E8 G8 I8" xr:uid="{00000000-0002-0000-2600-000003000000}">
      <formula1>仓储交易情况</formula1>
    </dataValidation>
    <dataValidation type="list" allowBlank="1" showInputMessage="1" showErrorMessage="1" sqref="E9 G9 I9" xr:uid="{00000000-0002-0000-2600-000004000000}">
      <formula1>仓储用途</formula1>
    </dataValidation>
    <dataValidation type="list" allowBlank="1" showInputMessage="1" showErrorMessage="1" sqref="C21 E21 G21 I21" xr:uid="{00000000-0002-0000-2600-000005000000}">
      <formula1>环境</formula1>
    </dataValidation>
    <dataValidation type="list" allowBlank="1" showInputMessage="1" showErrorMessage="1" sqref="C22 E22 G22 I22" xr:uid="{00000000-0002-0000-2600-000006000000}">
      <formula1>仓储楼层</formula1>
    </dataValidation>
    <dataValidation type="list" allowBlank="1" showInputMessage="1" showErrorMessage="1" sqref="C26 E26 G26 I26" xr:uid="{00000000-0002-0000-2600-000007000000}">
      <formula1>仓储公共部分装修</formula1>
    </dataValidation>
    <dataValidation type="list" allowBlank="1" showInputMessage="1" showErrorMessage="1" sqref="C29 E29 G29 I29" xr:uid="{00000000-0002-0000-2600-000008000000}">
      <formula1>有无电梯</formula1>
    </dataValidation>
    <dataValidation type="list" allowBlank="1" showInputMessage="1" showErrorMessage="1" sqref="C31 E31 G31 I31" xr:uid="{00000000-0002-0000-2600-000009000000}">
      <formula1>是否封闭</formula1>
    </dataValidation>
    <dataValidation type="list" allowBlank="1" showInputMessage="1" showErrorMessage="1" sqref="B1" xr:uid="{00000000-0002-0000-2600-00000A000000}">
      <formula1>地类判定</formula1>
    </dataValidation>
    <dataValidation type="list" allowBlank="1" showInputMessage="1" showErrorMessage="1" sqref="C28 E28 G28 I28" xr:uid="{00000000-0002-0000-2600-00000B000000}">
      <formula1>仓储物业等级</formula1>
    </dataValidation>
    <dataValidation type="list" allowBlank="1" showInputMessage="1" showErrorMessage="1" sqref="C19 E19 G19 I19" xr:uid="{00000000-0002-0000-2600-00000C000000}">
      <formula1>基础设施水平</formula1>
    </dataValidation>
    <dataValidation type="list" allowBlank="1" showInputMessage="1" showErrorMessage="1" sqref="F1" xr:uid="{00000000-0002-0000-2600-00000D000000}">
      <formula1>"售价,租金"</formula1>
    </dataValidation>
    <dataValidation type="list" allowBlank="1" showInputMessage="1" showErrorMessage="1" sqref="C2" xr:uid="{00000000-0002-0000-2600-00000E000000}">
      <formula1>"需扣减承租人权益,——"</formula1>
    </dataValidation>
    <dataValidation type="list" allowBlank="1" showInputMessage="1" showErrorMessage="1" sqref="F2" xr:uid="{00000000-0002-0000-2600-00000F000000}">
      <formula1>估价方法</formula1>
    </dataValidation>
    <dataValidation type="list" allowBlank="1" showInputMessage="1" showErrorMessage="1" sqref="D36" xr:uid="{00000000-0002-0000-2600-000010000000}">
      <formula1>"简单平均,加权平均"</formula1>
    </dataValidation>
    <dataValidation type="list" allowBlank="1" showInputMessage="1" showErrorMessage="1" sqref="E1" xr:uid="{00000000-0002-0000-26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7"/>
      <c r="B4" s="3183" t="s">
        <v>917</v>
      </c>
      <c r="C4" s="3183"/>
      <c r="D4" s="3183"/>
      <c r="E4" s="1387"/>
    </row>
    <row r="5" spans="1:5" ht="16.5" thickTop="1">
      <c r="B5" s="3181" t="s">
        <v>909</v>
      </c>
      <c r="C5" s="1388" t="s">
        <v>910</v>
      </c>
      <c r="D5" s="794">
        <f ca="1">结果表!H101</f>
        <v>242485</v>
      </c>
    </row>
    <row r="6" spans="1:5" ht="15.75">
      <c r="B6" s="3181"/>
      <c r="C6" s="1388" t="s">
        <v>911</v>
      </c>
      <c r="D6" s="794" t="str">
        <f ca="1">NUMBERSTRING(INT(D5*10000),2)&amp;"元整"</f>
        <v>贰拾肆亿贰仟肆佰捌拾伍万元整</v>
      </c>
    </row>
    <row r="7" spans="1:5" ht="15.75">
      <c r="B7" s="3186"/>
      <c r="C7" s="1389" t="s">
        <v>912</v>
      </c>
      <c r="D7" s="795">
        <f ca="1">结果表!H102</f>
        <v>22294</v>
      </c>
    </row>
    <row r="8" spans="1:5" ht="15.75">
      <c r="B8" s="3187" t="str">
        <f>结果表!E103</f>
        <v>2.估价师知悉的法定优先受偿款</v>
      </c>
      <c r="C8" s="1390" t="s">
        <v>913</v>
      </c>
      <c r="D8" s="795">
        <f>结果表!H103</f>
        <v>2320</v>
      </c>
    </row>
    <row r="9" spans="1:5" ht="15.75">
      <c r="B9" s="3189"/>
      <c r="C9" s="1388" t="s">
        <v>911</v>
      </c>
      <c r="D9" s="794" t="str">
        <f>NUMBERSTRING(INT(D8*10000),2)&amp;"元整"</f>
        <v>贰仟叁佰贰拾万元整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2320</v>
      </c>
    </row>
    <row r="13" spans="1:5" ht="15.75">
      <c r="B13" s="3180" t="str">
        <f>结果表!E107</f>
        <v>3.房地产抵押价值</v>
      </c>
      <c r="C13" s="1393" t="s">
        <v>910</v>
      </c>
      <c r="D13" s="797">
        <f ca="1">结果表!H107</f>
        <v>240165</v>
      </c>
    </row>
    <row r="14" spans="1:5" ht="15.75">
      <c r="B14" s="3181"/>
      <c r="C14" s="1388" t="s">
        <v>911</v>
      </c>
      <c r="D14" s="794" t="str">
        <f ca="1">NUMBERSTRING(INT(D13*10000),2)&amp;"元整"</f>
        <v>贰拾肆亿零壹佰陆拾伍万元整</v>
      </c>
    </row>
    <row r="15" spans="1:5" ht="15">
      <c r="B15" s="3186"/>
      <c r="C15" s="1389" t="s">
        <v>921</v>
      </c>
      <c r="D15" s="803">
        <f ca="1">结果表!H108</f>
        <v>22081</v>
      </c>
    </row>
    <row r="16" spans="1:5" ht="15">
      <c r="B16" s="3187" t="str">
        <f>结果表!E109</f>
        <v>——</v>
      </c>
      <c r="C16" s="1393" t="s">
        <v>922</v>
      </c>
      <c r="D16" s="1394" t="str">
        <f>结果表!H109</f>
        <v>——</v>
      </c>
    </row>
    <row r="17" spans="1:5" ht="15.75">
      <c r="B17" s="3188"/>
      <c r="C17" s="1388" t="s">
        <v>923</v>
      </c>
      <c r="D17" s="794" t="e">
        <f>NUMBERSTRING(INT(D16*10000),2)&amp;"元整"</f>
        <v>#VALUE!</v>
      </c>
    </row>
    <row r="18" spans="1:5" ht="15">
      <c r="B18" s="3189"/>
      <c r="C18" s="1389" t="s">
        <v>912</v>
      </c>
      <c r="D18" s="803" t="str">
        <f>结果表!H110</f>
        <v>——</v>
      </c>
    </row>
    <row r="19" spans="1:5" ht="15.75">
      <c r="B19" s="3180" t="str">
        <f>结果表!E111</f>
        <v>——</v>
      </c>
      <c r="C19" s="1393" t="s">
        <v>910</v>
      </c>
      <c r="D19" s="795" t="str">
        <f>结果表!H111</f>
        <v>——</v>
      </c>
    </row>
    <row r="20" spans="1:5" ht="15.75">
      <c r="B20" s="3181"/>
      <c r="C20" s="1388" t="s">
        <v>923</v>
      </c>
      <c r="D20" s="794" t="e">
        <f>NUMBERSTRING(INT(D19*10000),2)&amp;"元整"</f>
        <v>#VALUE!</v>
      </c>
    </row>
    <row r="21" spans="1:5" ht="15.75" thickBot="1">
      <c r="B21" s="3182"/>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1916</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96" t="s">
        <v>1769</v>
      </c>
      <c r="D4" s="3397"/>
      <c r="E4" s="3398" t="s">
        <v>1770</v>
      </c>
      <c r="F4" s="3399"/>
      <c r="G4" s="3396" t="s">
        <v>1771</v>
      </c>
      <c r="H4" s="3397"/>
      <c r="I4" s="3396" t="s">
        <v>1772</v>
      </c>
      <c r="J4" s="3397"/>
      <c r="K4" s="537" t="s">
        <v>1773</v>
      </c>
      <c r="L4" s="2478"/>
      <c r="M4" s="2479"/>
      <c r="N4" s="2479"/>
      <c r="O4" s="2479"/>
      <c r="P4" s="3430" t="s">
        <v>1774</v>
      </c>
      <c r="Q4" s="3431"/>
      <c r="R4" s="3427" t="s">
        <v>1770</v>
      </c>
      <c r="S4" s="3428"/>
      <c r="T4" s="3427" t="s">
        <v>1771</v>
      </c>
      <c r="U4" s="3428"/>
      <c r="V4" s="3409" t="s">
        <v>1772</v>
      </c>
      <c r="W4" s="3409"/>
      <c r="X4" s="1261"/>
      <c r="Y4" s="3427" t="s">
        <v>1774</v>
      </c>
      <c r="Z4" s="3428"/>
      <c r="AA4" s="3426" t="s">
        <v>1770</v>
      </c>
      <c r="AB4" s="3375" t="s">
        <v>1771</v>
      </c>
      <c r="AC4" s="3426" t="s">
        <v>1772</v>
      </c>
    </row>
    <row r="5" spans="1:29" ht="15">
      <c r="A5" s="348"/>
      <c r="B5" s="349"/>
      <c r="C5" s="3385" t="s">
        <v>1672</v>
      </c>
      <c r="D5" s="3386"/>
      <c r="E5" s="3429" t="s">
        <v>1673</v>
      </c>
      <c r="F5" s="3384"/>
      <c r="G5" s="3385" t="s">
        <v>1674</v>
      </c>
      <c r="H5" s="3386"/>
      <c r="I5" s="3385" t="s">
        <v>1675</v>
      </c>
      <c r="J5" s="3386"/>
      <c r="K5" s="537"/>
      <c r="L5" s="2478"/>
      <c r="M5" s="2479"/>
      <c r="N5" s="2479"/>
      <c r="O5" s="2479"/>
      <c r="P5" s="3432"/>
      <c r="Q5" s="3403"/>
      <c r="R5" s="3381"/>
      <c r="S5" s="3382"/>
      <c r="T5" s="3381"/>
      <c r="U5" s="3382"/>
      <c r="V5" s="3409"/>
      <c r="W5" s="3409"/>
      <c r="X5" s="1261"/>
      <c r="Y5" s="3381"/>
      <c r="Z5" s="3382"/>
      <c r="AA5" s="3375"/>
      <c r="AB5" s="3375"/>
      <c r="AC5" s="3375"/>
    </row>
    <row r="6" spans="1:29" ht="15.75" thickBot="1">
      <c r="A6" s="350"/>
      <c r="B6" s="351"/>
      <c r="C6" s="3489" t="s">
        <v>1917</v>
      </c>
      <c r="D6" s="3490"/>
      <c r="E6" s="3491" t="s">
        <v>1917</v>
      </c>
      <c r="F6" s="3492"/>
      <c r="G6" s="3489" t="s">
        <v>1917</v>
      </c>
      <c r="H6" s="3490"/>
      <c r="I6" s="3489" t="s">
        <v>1917</v>
      </c>
      <c r="J6" s="3490"/>
      <c r="K6" s="537" t="s">
        <v>1677</v>
      </c>
      <c r="L6" s="2478"/>
      <c r="M6" s="2479"/>
      <c r="N6" s="2479"/>
      <c r="O6" s="2479"/>
      <c r="P6" s="3433"/>
      <c r="Q6" s="3405"/>
      <c r="R6" s="3381"/>
      <c r="S6" s="3382"/>
      <c r="T6" s="3406"/>
      <c r="U6" s="3407"/>
      <c r="V6" s="3409"/>
      <c r="W6" s="3409"/>
      <c r="X6" s="1261"/>
      <c r="Y6" s="3406"/>
      <c r="Z6" s="3407"/>
      <c r="AA6" s="3376"/>
      <c r="AB6" s="3376"/>
      <c r="AC6" s="3376"/>
    </row>
    <row r="7" spans="1:29" s="102" customFormat="1" ht="15.75" thickBot="1">
      <c r="A7" s="352" t="s">
        <v>1678</v>
      </c>
      <c r="B7" s="353"/>
      <c r="C7" s="354">
        <f>'数据-取费表'!B2</f>
        <v>45635</v>
      </c>
      <c r="D7" s="355">
        <v>100</v>
      </c>
      <c r="E7" s="356"/>
      <c r="F7" s="357">
        <f>SUMIF(65:65,YEAR(E7)&amp;"-"&amp;INT((MONTH(E7)+2)/3),66:66)</f>
        <v>0</v>
      </c>
      <c r="G7" s="1818"/>
      <c r="H7" s="355">
        <f>SUMIF(65:65,YEAR(G7)&amp;"-"&amp;INT((MONTH(G7)+2)/3),66:66)</f>
        <v>0</v>
      </c>
      <c r="I7" s="1818"/>
      <c r="J7" s="355">
        <f>SUMIF(65:65,YEAR(I7)&amp;"-"&amp;INT((MONTH(I7)+2)/3),66:66)</f>
        <v>0</v>
      </c>
      <c r="K7" s="38"/>
      <c r="L7" s="2480"/>
      <c r="M7" s="2432"/>
      <c r="N7" s="2432"/>
      <c r="O7" s="2432"/>
      <c r="P7" s="3377" t="s">
        <v>1679</v>
      </c>
      <c r="Q7" s="3412"/>
      <c r="R7" s="664" t="s">
        <v>14</v>
      </c>
      <c r="S7" s="665">
        <f t="shared" ref="S7:S15" si="0">F7</f>
        <v>0</v>
      </c>
      <c r="T7" s="664" t="s">
        <v>14</v>
      </c>
      <c r="U7" s="665">
        <f t="shared" ref="U7:U15" si="1">H7</f>
        <v>0</v>
      </c>
      <c r="V7" s="664" t="s">
        <v>14</v>
      </c>
      <c r="W7" s="665">
        <f t="shared" ref="W7:W15" si="2">J7</f>
        <v>0</v>
      </c>
      <c r="X7" s="666"/>
      <c r="Y7" s="3377" t="s">
        <v>1679</v>
      </c>
      <c r="Z7" s="3378"/>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0"/>
      <c r="M8" s="2432"/>
      <c r="N8" s="2432"/>
      <c r="O8" s="2432"/>
      <c r="P8" s="3377" t="s">
        <v>1682</v>
      </c>
      <c r="Q8" s="3378"/>
      <c r="R8" s="664" t="s">
        <v>14</v>
      </c>
      <c r="S8" s="665">
        <f t="shared" si="0"/>
        <v>0</v>
      </c>
      <c r="T8" s="664" t="s">
        <v>14</v>
      </c>
      <c r="U8" s="665">
        <f t="shared" si="1"/>
        <v>0</v>
      </c>
      <c r="V8" s="664" t="s">
        <v>14</v>
      </c>
      <c r="W8" s="665">
        <f t="shared" si="2"/>
        <v>0</v>
      </c>
      <c r="X8" s="666"/>
      <c r="Y8" s="3377" t="s">
        <v>1682</v>
      </c>
      <c r="Z8" s="3378"/>
      <c r="AA8" s="50" t="e">
        <f t="shared" ref="AA8:AA40" si="3">D8/F8</f>
        <v>#DIV/0!</v>
      </c>
      <c r="AB8" s="50" t="e">
        <f t="shared" ref="AB8:AB40" si="4">D8/H8</f>
        <v>#DIV/0!</v>
      </c>
      <c r="AC8" s="50" t="e">
        <f t="shared" ref="AC8:AC40" si="5">D8/J8</f>
        <v>#DIV/0!</v>
      </c>
    </row>
    <row r="9" spans="1:29" s="102" customFormat="1">
      <c r="A9" s="359" t="s">
        <v>1683</v>
      </c>
      <c r="B9" s="60" t="s">
        <v>1684</v>
      </c>
      <c r="C9" s="1821"/>
      <c r="D9" s="59">
        <v>100</v>
      </c>
      <c r="E9" s="1821"/>
      <c r="F9" s="59">
        <f>SUMIF(70:70,E9,71:71)-SUMIF(70:70,C9,71:71)+100</f>
        <v>100</v>
      </c>
      <c r="G9" s="1821"/>
      <c r="H9" s="59">
        <f>SUMIF(70:70,G9,71:71)-SUMIF(70:70,C9,71:71)+100</f>
        <v>100</v>
      </c>
      <c r="I9" s="1821"/>
      <c r="J9" s="59">
        <f>SUMIF(70:70,I9,71:71)-SUMIF(70:70,C9,71:71)+100</f>
        <v>100</v>
      </c>
      <c r="K9" s="38"/>
      <c r="L9" s="2480"/>
      <c r="M9" s="2432"/>
      <c r="N9" s="2432"/>
      <c r="O9" s="2532"/>
      <c r="P9" s="3422"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109</v>
      </c>
      <c r="G10" s="371"/>
      <c r="H10" s="119">
        <f>ROUND(100/'数据-取费表'!G16,0)</f>
        <v>109</v>
      </c>
      <c r="I10" s="371"/>
      <c r="J10" s="119">
        <f>ROUND(100/'数据-取费表'!G16,0)</f>
        <v>109</v>
      </c>
      <c r="K10" s="592"/>
      <c r="L10" s="2481"/>
      <c r="M10" s="2482"/>
      <c r="N10" s="2482"/>
      <c r="O10" s="2533"/>
      <c r="P10" s="3422"/>
      <c r="Q10" s="530" t="str">
        <f t="shared" si="6"/>
        <v>土地使用年限（年）</v>
      </c>
      <c r="R10" s="664" t="s">
        <v>14</v>
      </c>
      <c r="S10" s="665">
        <f t="shared" si="0"/>
        <v>109</v>
      </c>
      <c r="T10" s="664" t="s">
        <v>14</v>
      </c>
      <c r="U10" s="665">
        <f t="shared" si="1"/>
        <v>109</v>
      </c>
      <c r="V10" s="664" t="s">
        <v>14</v>
      </c>
      <c r="W10" s="665">
        <f t="shared" si="2"/>
        <v>109</v>
      </c>
      <c r="X10" s="666"/>
      <c r="Y10" s="3346"/>
      <c r="Z10" s="50" t="str">
        <f t="shared" si="7"/>
        <v>土地使用年限（年）</v>
      </c>
      <c r="AA10" s="50">
        <f t="shared" si="3"/>
        <v>0.91743119266055051</v>
      </c>
      <c r="AB10" s="50">
        <f t="shared" si="4"/>
        <v>0.91743119266055051</v>
      </c>
      <c r="AC10" s="50">
        <f t="shared" si="5"/>
        <v>0.91743119266055051</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422"/>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2"/>
      <c r="N12" s="2432"/>
      <c r="O12" s="2532"/>
      <c r="P12" s="3422"/>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422"/>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422"/>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57">
      <c r="A15" s="379" t="s">
        <v>1689</v>
      </c>
      <c r="B15" s="554" t="s">
        <v>1918</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415" t="s">
        <v>1690</v>
      </c>
      <c r="Q15" s="1259" t="str">
        <f t="shared" si="6"/>
        <v>产业集聚程度</v>
      </c>
      <c r="R15" s="667" t="s">
        <v>14</v>
      </c>
      <c r="S15" s="668">
        <f t="shared" si="0"/>
        <v>100</v>
      </c>
      <c r="T15" s="667" t="s">
        <v>14</v>
      </c>
      <c r="U15" s="668">
        <f t="shared" si="1"/>
        <v>100</v>
      </c>
      <c r="V15" s="667" t="s">
        <v>14</v>
      </c>
      <c r="W15" s="668">
        <f t="shared" si="2"/>
        <v>100</v>
      </c>
      <c r="X15" s="1261"/>
      <c r="Y15" s="3415" t="s">
        <v>1690</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416"/>
      <c r="Q16" s="1259"/>
      <c r="R16" s="667"/>
      <c r="S16" s="668"/>
      <c r="T16" s="667"/>
      <c r="U16" s="668"/>
      <c r="V16" s="667"/>
      <c r="W16" s="668"/>
      <c r="X16" s="1261"/>
      <c r="Y16" s="3416"/>
      <c r="Z16" s="1260"/>
      <c r="AA16" s="1260">
        <v>1</v>
      </c>
      <c r="AB16" s="1260">
        <v>1</v>
      </c>
      <c r="AC16" s="1260">
        <v>1</v>
      </c>
    </row>
    <row r="17" spans="1:29" ht="85.5">
      <c r="A17" s="367"/>
      <c r="B17" s="556" t="s">
        <v>1832</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416"/>
      <c r="Q17" s="1259" t="str">
        <f>B17</f>
        <v>交通便捷度</v>
      </c>
      <c r="R17" s="667" t="s">
        <v>14</v>
      </c>
      <c r="S17" s="668">
        <f>F17</f>
        <v>100</v>
      </c>
      <c r="T17" s="667" t="s">
        <v>14</v>
      </c>
      <c r="U17" s="668">
        <f>H17</f>
        <v>100</v>
      </c>
      <c r="V17" s="667" t="s">
        <v>14</v>
      </c>
      <c r="W17" s="668">
        <f>J17</f>
        <v>100</v>
      </c>
      <c r="X17" s="1261"/>
      <c r="Y17" s="3416"/>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416"/>
      <c r="Q18" s="1259"/>
      <c r="R18" s="667"/>
      <c r="S18" s="668"/>
      <c r="T18" s="667"/>
      <c r="U18" s="668"/>
      <c r="V18" s="667"/>
      <c r="W18" s="668"/>
      <c r="X18" s="1261"/>
      <c r="Y18" s="3416"/>
      <c r="Z18" s="1260"/>
      <c r="AA18" s="1260">
        <v>1</v>
      </c>
      <c r="AB18" s="1260">
        <v>1</v>
      </c>
      <c r="AC18" s="1260">
        <v>1</v>
      </c>
    </row>
    <row r="19" spans="1:29" ht="15">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416"/>
      <c r="Q19" s="1259" t="str">
        <f t="shared" ref="Q19:Q33" si="8">B19</f>
        <v>区域土地利用方向</v>
      </c>
      <c r="R19" s="667" t="s">
        <v>14</v>
      </c>
      <c r="S19" s="668">
        <f>F19</f>
        <v>100</v>
      </c>
      <c r="T19" s="667" t="s">
        <v>14</v>
      </c>
      <c r="U19" s="668">
        <f>H19</f>
        <v>100</v>
      </c>
      <c r="V19" s="667" t="s">
        <v>14</v>
      </c>
      <c r="W19" s="668">
        <f>J19</f>
        <v>100</v>
      </c>
      <c r="X19" s="1261"/>
      <c r="Y19" s="3416"/>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416"/>
      <c r="Q20" s="1259"/>
      <c r="R20" s="667"/>
      <c r="S20" s="668"/>
      <c r="T20" s="667"/>
      <c r="U20" s="668"/>
      <c r="V20" s="667"/>
      <c r="W20" s="668"/>
      <c r="X20" s="1261"/>
      <c r="Y20" s="3416"/>
      <c r="Z20" s="1260"/>
      <c r="AA20" s="1260"/>
      <c r="AB20" s="1260"/>
      <c r="AC20" s="1260"/>
    </row>
    <row r="21" spans="1:29" ht="71.25">
      <c r="A21" s="348"/>
      <c r="B21" s="556" t="s">
        <v>1919</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416"/>
      <c r="Q21" s="1259" t="str">
        <f t="shared" si="8"/>
        <v>环境状况</v>
      </c>
      <c r="R21" s="667" t="s">
        <v>14</v>
      </c>
      <c r="S21" s="668">
        <f>F21</f>
        <v>100</v>
      </c>
      <c r="T21" s="667" t="s">
        <v>14</v>
      </c>
      <c r="U21" s="668">
        <f>H21</f>
        <v>100</v>
      </c>
      <c r="V21" s="667" t="s">
        <v>14</v>
      </c>
      <c r="W21" s="668">
        <f>J21</f>
        <v>100</v>
      </c>
      <c r="X21" s="1261"/>
      <c r="Y21" s="3416"/>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416"/>
      <c r="Q22" s="1259"/>
      <c r="R22" s="667"/>
      <c r="S22" s="668"/>
      <c r="T22" s="667"/>
      <c r="U22" s="668"/>
      <c r="V22" s="667"/>
      <c r="W22" s="668"/>
      <c r="X22" s="1261"/>
      <c r="Y22" s="3416"/>
      <c r="Z22" s="1260"/>
      <c r="AA22" s="1260">
        <v>1</v>
      </c>
      <c r="AB22" s="1260">
        <v>1</v>
      </c>
      <c r="AC22" s="1260">
        <v>1</v>
      </c>
    </row>
    <row r="23" spans="1:29" s="102" customFormat="1" ht="42.75">
      <c r="A23" s="443"/>
      <c r="B23" s="557" t="s">
        <v>1777</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2"/>
      <c r="N23" s="2432"/>
      <c r="O23" s="2532"/>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2"/>
      <c r="N24" s="2432"/>
      <c r="O24" s="2532"/>
      <c r="P24" s="3416"/>
      <c r="Q24" s="530"/>
      <c r="R24" s="664"/>
      <c r="S24" s="665"/>
      <c r="T24" s="664"/>
      <c r="U24" s="665"/>
      <c r="V24" s="664"/>
      <c r="W24" s="665"/>
      <c r="X24" s="666"/>
      <c r="Y24" s="3416"/>
      <c r="Z24" s="50"/>
      <c r="AA24" s="50">
        <v>1</v>
      </c>
      <c r="AB24" s="50">
        <v>1</v>
      </c>
      <c r="AC24" s="50">
        <v>1</v>
      </c>
    </row>
    <row r="25" spans="1:29" s="102" customFormat="1" ht="28.5">
      <c r="A25" s="443"/>
      <c r="B25" s="557" t="s">
        <v>1778</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2"/>
      <c r="N25" s="2432"/>
      <c r="O25" s="2532"/>
      <c r="P25" s="3416"/>
      <c r="Q25" s="530" t="str">
        <f>B25</f>
        <v>基础设施水平</v>
      </c>
      <c r="R25" s="664" t="s">
        <v>14</v>
      </c>
      <c r="S25" s="665">
        <f>F25</f>
        <v>100</v>
      </c>
      <c r="T25" s="664" t="s">
        <v>14</v>
      </c>
      <c r="U25" s="665">
        <f>H25</f>
        <v>100</v>
      </c>
      <c r="V25" s="664" t="s">
        <v>14</v>
      </c>
      <c r="W25" s="665">
        <f>J25</f>
        <v>100</v>
      </c>
      <c r="X25" s="666"/>
      <c r="Y25" s="3416"/>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2"/>
      <c r="N26" s="2432"/>
      <c r="O26" s="2532"/>
      <c r="P26" s="3416"/>
      <c r="Q26" s="530"/>
      <c r="R26" s="664"/>
      <c r="S26" s="665"/>
      <c r="T26" s="664"/>
      <c r="U26" s="665"/>
      <c r="V26" s="664"/>
      <c r="W26" s="665"/>
      <c r="X26" s="666"/>
      <c r="Y26" s="3416"/>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416"/>
      <c r="Q27" s="1259" t="str">
        <f t="shared" si="8"/>
        <v>临街状况</v>
      </c>
      <c r="R27" s="667" t="s">
        <v>14</v>
      </c>
      <c r="S27" s="668">
        <f t="shared" ref="S27:S40" si="9">F27</f>
        <v>100</v>
      </c>
      <c r="T27" s="667" t="s">
        <v>14</v>
      </c>
      <c r="U27" s="668">
        <f t="shared" ref="U27:U40" si="10">H27</f>
        <v>100</v>
      </c>
      <c r="V27" s="667" t="s">
        <v>14</v>
      </c>
      <c r="W27" s="668">
        <f t="shared" ref="W27:W40" si="11">J27</f>
        <v>100</v>
      </c>
      <c r="X27" s="1261"/>
      <c r="Y27" s="3416"/>
      <c r="Z27" s="1260" t="str">
        <f t="shared" ref="Z27:Z40" si="12">Q27</f>
        <v>临街状况</v>
      </c>
      <c r="AA27" s="1260">
        <f t="shared" si="3"/>
        <v>1</v>
      </c>
      <c r="AB27" s="1260">
        <f t="shared" si="4"/>
        <v>1</v>
      </c>
      <c r="AC27" s="1260">
        <f t="shared" si="5"/>
        <v>1</v>
      </c>
    </row>
    <row r="28" spans="1:29" ht="27">
      <c r="A28" s="367"/>
      <c r="B28" s="557" t="s">
        <v>1814</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416"/>
      <c r="Q28" s="1259" t="str">
        <f t="shared" si="8"/>
        <v>毗邻道路的类型与等级</v>
      </c>
      <c r="R28" s="667" t="s">
        <v>14</v>
      </c>
      <c r="S28" s="668">
        <f t="shared" si="9"/>
        <v>100</v>
      </c>
      <c r="T28" s="667" t="s">
        <v>14</v>
      </c>
      <c r="U28" s="668">
        <f t="shared" si="10"/>
        <v>100</v>
      </c>
      <c r="V28" s="667" t="s">
        <v>14</v>
      </c>
      <c r="W28" s="668">
        <f t="shared" si="11"/>
        <v>100</v>
      </c>
      <c r="X28" s="1261"/>
      <c r="Y28" s="3416"/>
      <c r="Z28" s="1260" t="str">
        <f t="shared" si="12"/>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416"/>
      <c r="Q29" s="1259"/>
      <c r="R29" s="667"/>
      <c r="S29" s="668"/>
      <c r="T29" s="667"/>
      <c r="U29" s="668"/>
      <c r="V29" s="667"/>
      <c r="W29" s="668"/>
      <c r="X29" s="1261"/>
      <c r="Y29" s="3416"/>
      <c r="Z29" s="1260"/>
      <c r="AA29" s="1260">
        <v>1</v>
      </c>
      <c r="AB29" s="1260">
        <v>1</v>
      </c>
      <c r="AC29" s="1260">
        <v>1</v>
      </c>
    </row>
    <row r="30" spans="1:29" ht="15">
      <c r="A30" s="367"/>
      <c r="B30" s="119" t="s">
        <v>1871</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416"/>
      <c r="Q30" s="1259" t="str">
        <f t="shared" si="8"/>
        <v>土地级别</v>
      </c>
      <c r="R30" s="667" t="s">
        <v>14</v>
      </c>
      <c r="S30" s="668">
        <f t="shared" si="9"/>
        <v>100</v>
      </c>
      <c r="T30" s="667" t="s">
        <v>14</v>
      </c>
      <c r="U30" s="668">
        <f t="shared" si="10"/>
        <v>100</v>
      </c>
      <c r="V30" s="667" t="s">
        <v>14</v>
      </c>
      <c r="W30" s="668">
        <f t="shared" si="11"/>
        <v>100</v>
      </c>
      <c r="X30" s="1261"/>
      <c r="Y30" s="3416"/>
      <c r="Z30" s="1260" t="str">
        <f t="shared" si="12"/>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416"/>
      <c r="Q31" s="1259">
        <f t="shared" si="8"/>
        <v>111</v>
      </c>
      <c r="R31" s="667" t="s">
        <v>14</v>
      </c>
      <c r="S31" s="668">
        <f t="shared" si="9"/>
        <v>100</v>
      </c>
      <c r="T31" s="667" t="s">
        <v>14</v>
      </c>
      <c r="U31" s="668">
        <f t="shared" si="10"/>
        <v>100</v>
      </c>
      <c r="V31" s="667" t="s">
        <v>14</v>
      </c>
      <c r="W31" s="668">
        <f t="shared" si="11"/>
        <v>100</v>
      </c>
      <c r="X31" s="1261"/>
      <c r="Y31" s="3416"/>
      <c r="Z31" s="1260">
        <f t="shared" si="12"/>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434" t="s">
        <v>1695</v>
      </c>
      <c r="Q32" s="1259">
        <f t="shared" si="8"/>
        <v>111</v>
      </c>
      <c r="R32" s="667" t="s">
        <v>14</v>
      </c>
      <c r="S32" s="668">
        <f t="shared" si="9"/>
        <v>100</v>
      </c>
      <c r="T32" s="667" t="s">
        <v>14</v>
      </c>
      <c r="U32" s="668">
        <f t="shared" si="10"/>
        <v>100</v>
      </c>
      <c r="V32" s="667" t="s">
        <v>14</v>
      </c>
      <c r="W32" s="668">
        <f t="shared" si="11"/>
        <v>100</v>
      </c>
      <c r="X32" s="1261"/>
      <c r="Y32" s="3420" t="s">
        <v>1695</v>
      </c>
      <c r="Z32" s="1260">
        <f t="shared" si="12"/>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420"/>
      <c r="Q33" s="1259">
        <f t="shared" si="8"/>
        <v>111</v>
      </c>
      <c r="R33" s="669" t="s">
        <v>14</v>
      </c>
      <c r="S33" s="670">
        <f t="shared" si="9"/>
        <v>100</v>
      </c>
      <c r="T33" s="669" t="s">
        <v>14</v>
      </c>
      <c r="U33" s="670">
        <f t="shared" si="10"/>
        <v>100</v>
      </c>
      <c r="V33" s="669" t="s">
        <v>14</v>
      </c>
      <c r="W33" s="670">
        <f t="shared" si="11"/>
        <v>100</v>
      </c>
      <c r="X33" s="671"/>
      <c r="Y33" s="3420"/>
      <c r="Z33" s="672">
        <f t="shared" si="12"/>
        <v>111</v>
      </c>
      <c r="AA33" s="1260">
        <f t="shared" si="3"/>
        <v>1</v>
      </c>
      <c r="AB33" s="1260">
        <f t="shared" si="4"/>
        <v>1</v>
      </c>
      <c r="AC33" s="1260">
        <f t="shared" si="5"/>
        <v>1</v>
      </c>
    </row>
    <row r="34" spans="1:31" ht="15">
      <c r="A34" s="379" t="s">
        <v>1693</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420"/>
      <c r="Q34" s="1259" t="str">
        <f>B34</f>
        <v>宗地面积</v>
      </c>
      <c r="R34" s="667" t="s">
        <v>14</v>
      </c>
      <c r="S34" s="668" t="e">
        <f t="shared" si="9"/>
        <v>#N/A</v>
      </c>
      <c r="T34" s="667" t="s">
        <v>14</v>
      </c>
      <c r="U34" s="668" t="e">
        <f t="shared" si="10"/>
        <v>#N/A</v>
      </c>
      <c r="V34" s="667" t="s">
        <v>14</v>
      </c>
      <c r="W34" s="668" t="e">
        <f t="shared" si="11"/>
        <v>#N/A</v>
      </c>
      <c r="X34" s="1261"/>
      <c r="Y34" s="3420"/>
      <c r="Z34" s="1260" t="str">
        <f t="shared" si="12"/>
        <v>宗地面积</v>
      </c>
      <c r="AA34" s="1260" t="e">
        <f t="shared" si="3"/>
        <v>#N/A</v>
      </c>
      <c r="AB34" s="1260" t="e">
        <f t="shared" si="4"/>
        <v>#N/A</v>
      </c>
      <c r="AC34" s="1260" t="e">
        <f t="shared" si="5"/>
        <v>#N/A</v>
      </c>
    </row>
    <row r="35" spans="1:31" ht="1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420"/>
      <c r="Q35" s="1259" t="str">
        <f t="shared" ref="Q35:Q40" si="13">B35</f>
        <v>宗地形状</v>
      </c>
      <c r="R35" s="667" t="s">
        <v>14</v>
      </c>
      <c r="S35" s="668">
        <f t="shared" si="9"/>
        <v>100</v>
      </c>
      <c r="T35" s="667" t="s">
        <v>14</v>
      </c>
      <c r="U35" s="668">
        <f t="shared" si="10"/>
        <v>100</v>
      </c>
      <c r="V35" s="667" t="s">
        <v>14</v>
      </c>
      <c r="W35" s="668">
        <f t="shared" si="11"/>
        <v>100</v>
      </c>
      <c r="X35" s="1261"/>
      <c r="Y35" s="3420"/>
      <c r="Z35" s="1260" t="str">
        <f t="shared" si="12"/>
        <v>宗地形状</v>
      </c>
      <c r="AA35" s="1260">
        <f t="shared" si="3"/>
        <v>1</v>
      </c>
      <c r="AB35" s="1260">
        <f t="shared" si="4"/>
        <v>1</v>
      </c>
      <c r="AC35" s="1260">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2"/>
      <c r="N36" s="2432"/>
      <c r="O36" s="2532"/>
      <c r="P36" s="3420"/>
      <c r="Q36" s="1259" t="str">
        <f t="shared" si="13"/>
        <v>宗地开发程度</v>
      </c>
      <c r="R36" s="664" t="s">
        <v>14</v>
      </c>
      <c r="S36" s="665">
        <f t="shared" si="9"/>
        <v>100</v>
      </c>
      <c r="T36" s="664" t="s">
        <v>14</v>
      </c>
      <c r="U36" s="665">
        <f t="shared" si="10"/>
        <v>100</v>
      </c>
      <c r="V36" s="664" t="s">
        <v>14</v>
      </c>
      <c r="W36" s="665">
        <f t="shared" si="11"/>
        <v>100</v>
      </c>
      <c r="X36" s="666"/>
      <c r="Y36" s="3420"/>
      <c r="Z36" s="50" t="str">
        <f t="shared" si="12"/>
        <v>宗地开发程度</v>
      </c>
      <c r="AA36" s="50">
        <f t="shared" si="3"/>
        <v>1</v>
      </c>
      <c r="AB36" s="50">
        <f t="shared" si="4"/>
        <v>1</v>
      </c>
      <c r="AC36" s="50">
        <f t="shared" si="5"/>
        <v>1</v>
      </c>
    </row>
    <row r="37" spans="1:31" ht="1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420" t="s">
        <v>1695</v>
      </c>
      <c r="Q37" s="1259" t="str">
        <f t="shared" si="13"/>
        <v>工程地质条件</v>
      </c>
      <c r="R37" s="667" t="s">
        <v>14</v>
      </c>
      <c r="S37" s="668">
        <f t="shared" si="9"/>
        <v>100</v>
      </c>
      <c r="T37" s="667" t="s">
        <v>14</v>
      </c>
      <c r="U37" s="668">
        <f t="shared" si="10"/>
        <v>100</v>
      </c>
      <c r="V37" s="667" t="s">
        <v>14</v>
      </c>
      <c r="W37" s="668">
        <f t="shared" si="11"/>
        <v>100</v>
      </c>
      <c r="X37" s="1261"/>
      <c r="Y37" s="3420" t="s">
        <v>1695</v>
      </c>
      <c r="Z37" s="1260" t="str">
        <f t="shared" si="12"/>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420"/>
      <c r="Q38" s="1259">
        <f t="shared" si="13"/>
        <v>111</v>
      </c>
      <c r="R38" s="667" t="s">
        <v>14</v>
      </c>
      <c r="S38" s="668">
        <f t="shared" si="9"/>
        <v>100</v>
      </c>
      <c r="T38" s="667" t="s">
        <v>14</v>
      </c>
      <c r="U38" s="668">
        <f t="shared" si="10"/>
        <v>100</v>
      </c>
      <c r="V38" s="667" t="s">
        <v>14</v>
      </c>
      <c r="W38" s="668">
        <f t="shared" si="11"/>
        <v>100</v>
      </c>
      <c r="X38" s="1261"/>
      <c r="Y38" s="3420"/>
      <c r="Z38" s="1260">
        <f t="shared" si="12"/>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420"/>
      <c r="Q39" s="1259">
        <f t="shared" si="13"/>
        <v>111</v>
      </c>
      <c r="R39" s="667" t="s">
        <v>14</v>
      </c>
      <c r="S39" s="668">
        <f t="shared" si="9"/>
        <v>100</v>
      </c>
      <c r="T39" s="667" t="s">
        <v>14</v>
      </c>
      <c r="U39" s="668">
        <f t="shared" si="10"/>
        <v>100</v>
      </c>
      <c r="V39" s="667" t="s">
        <v>14</v>
      </c>
      <c r="W39" s="668">
        <f t="shared" si="11"/>
        <v>100</v>
      </c>
      <c r="X39" s="1261"/>
      <c r="Y39" s="3420"/>
      <c r="Z39" s="1260">
        <f t="shared" si="12"/>
        <v>111</v>
      </c>
      <c r="AA39" s="1260">
        <f t="shared" si="3"/>
        <v>1</v>
      </c>
      <c r="AB39" s="1260">
        <f t="shared" si="4"/>
        <v>1</v>
      </c>
      <c r="AC39" s="1260">
        <f t="shared" si="5"/>
        <v>1</v>
      </c>
    </row>
    <row r="40" spans="1:31" s="408" customFormat="1" ht="15.75"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420"/>
      <c r="Q40" s="1259">
        <f t="shared" si="13"/>
        <v>111</v>
      </c>
      <c r="R40" s="669" t="s">
        <v>14</v>
      </c>
      <c r="S40" s="670">
        <f t="shared" si="9"/>
        <v>100</v>
      </c>
      <c r="T40" s="669" t="s">
        <v>14</v>
      </c>
      <c r="U40" s="670">
        <f t="shared" si="10"/>
        <v>100</v>
      </c>
      <c r="V40" s="669" t="s">
        <v>14</v>
      </c>
      <c r="W40" s="670">
        <f t="shared" si="11"/>
        <v>100</v>
      </c>
      <c r="X40" s="671"/>
      <c r="Y40" s="3420"/>
      <c r="Z40" s="672">
        <f t="shared" si="12"/>
        <v>111</v>
      </c>
      <c r="AA40" s="1260">
        <f t="shared" si="3"/>
        <v>1</v>
      </c>
      <c r="AB40" s="1260">
        <f t="shared" si="4"/>
        <v>1</v>
      </c>
      <c r="AC40" s="1260">
        <f t="shared" si="5"/>
        <v>1</v>
      </c>
    </row>
    <row r="41" spans="1:31" ht="15">
      <c r="A41" s="416" t="s">
        <v>1843</v>
      </c>
      <c r="B41" s="1826" t="s">
        <v>1920</v>
      </c>
      <c r="C41" s="602" t="s">
        <v>0</v>
      </c>
      <c r="D41" s="418"/>
      <c r="E41" s="419"/>
      <c r="F41" s="420"/>
      <c r="G41" s="421"/>
      <c r="H41" s="422"/>
      <c r="I41" s="419"/>
      <c r="J41" s="422"/>
      <c r="K41" s="674"/>
      <c r="L41" s="2486"/>
      <c r="M41" s="2479"/>
      <c r="N41" s="2479"/>
      <c r="O41" s="2479"/>
      <c r="P41" s="3422" t="str">
        <f>A41</f>
        <v>成交单价</v>
      </c>
      <c r="Q41" s="3422"/>
      <c r="R41" s="3409">
        <f>E41</f>
        <v>0</v>
      </c>
      <c r="S41" s="3409"/>
      <c r="T41" s="3409">
        <f>G41</f>
        <v>0</v>
      </c>
      <c r="U41" s="3409"/>
      <c r="V41" s="3409">
        <f>I41</f>
        <v>0</v>
      </c>
      <c r="W41" s="3409"/>
      <c r="X41" s="385"/>
      <c r="Y41" s="673"/>
      <c r="Z41" s="385"/>
      <c r="AA41" s="385"/>
      <c r="AB41" s="385"/>
      <c r="AC41" s="385"/>
    </row>
    <row r="42" spans="1:31" ht="15.75" thickBot="1">
      <c r="A42" s="423" t="s">
        <v>1792</v>
      </c>
      <c r="B42" s="603"/>
      <c r="C42" s="426" t="e">
        <f>R43</f>
        <v>#DIV/0!</v>
      </c>
      <c r="D42" s="2136" t="s">
        <v>2136</v>
      </c>
      <c r="E42" s="426" t="e">
        <f>R42</f>
        <v>#DIV/0!</v>
      </c>
      <c r="F42" s="2137"/>
      <c r="G42" s="425" t="e">
        <f>T42</f>
        <v>#DIV/0!</v>
      </c>
      <c r="H42" s="2137"/>
      <c r="I42" s="426" t="e">
        <f>V42</f>
        <v>#DIV/0!</v>
      </c>
      <c r="J42" s="2137"/>
      <c r="K42" s="2139">
        <f>F42+H42+J42</f>
        <v>0</v>
      </c>
      <c r="L42" s="2486"/>
      <c r="M42" s="2479"/>
      <c r="N42" s="2479"/>
      <c r="O42" s="2479"/>
      <c r="P42" s="3422" t="str">
        <f>A42</f>
        <v>比较价值（元/平方米）</v>
      </c>
      <c r="Q42" s="3422"/>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86"/>
      <c r="M43" s="2479"/>
      <c r="N43" s="2479"/>
      <c r="O43" s="2479"/>
      <c r="P43" s="3436" t="str">
        <f>A43</f>
        <v>估价对象XX用房的比较价值（楼面单价，元/平方米）</v>
      </c>
      <c r="Q43" s="3437"/>
      <c r="R43" s="3438" t="e">
        <f>ROUND(IF(D42="简单平均",AVERAGE(R42:W42),R42*F42+T42*H42+V42*J42),0)</f>
        <v>#DIV/0!</v>
      </c>
      <c r="S43" s="3438"/>
      <c r="T43" s="3438"/>
      <c r="U43" s="3438"/>
      <c r="V43" s="3438"/>
      <c r="W43" s="3438"/>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5"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7">
      <c r="A50" s="604" t="s">
        <v>1879</v>
      </c>
      <c r="B50" s="605" t="s">
        <v>1880</v>
      </c>
      <c r="C50" s="1827" t="s">
        <v>1881</v>
      </c>
      <c r="D50" s="1828" t="s">
        <v>1882</v>
      </c>
      <c r="E50" s="606" t="s">
        <v>1883</v>
      </c>
      <c r="F50" s="607" t="s">
        <v>1884</v>
      </c>
      <c r="G50" s="3396" t="s">
        <v>1885</v>
      </c>
      <c r="H50" s="3439"/>
      <c r="I50" s="1260" t="s">
        <v>1921</v>
      </c>
      <c r="J50" s="1260">
        <f>项目基本情况!F35</f>
        <v>0</v>
      </c>
      <c r="K50" s="1830" t="s">
        <v>1887</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1888</v>
      </c>
      <c r="B51" s="609" t="e">
        <f>C43</f>
        <v>#DIV/0!</v>
      </c>
      <c r="C51" s="610">
        <v>1</v>
      </c>
      <c r="D51" s="887">
        <v>1</v>
      </c>
      <c r="E51" s="610">
        <f>'数据-汇总表'!E8+'数据-汇总表'!E9</f>
        <v>70457.77</v>
      </c>
      <c r="F51" s="611" t="e">
        <f t="shared" ref="F51:F60" si="14">ROUND(B51*E51/10000,0)</f>
        <v>#DIV/0!</v>
      </c>
      <c r="G51" s="3392"/>
      <c r="H51" s="3422"/>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1889</v>
      </c>
      <c r="B52" s="210" t="e">
        <f>ROUND($C$43*C52*D52,0)</f>
        <v>#DIV/0!</v>
      </c>
      <c r="C52" s="163">
        <f t="shared" ref="C52:C60" si="15">IF($C$50="北京市系数",I52,J52)</f>
        <v>0.6</v>
      </c>
      <c r="D52" s="888">
        <v>0.25</v>
      </c>
      <c r="E52" s="614"/>
      <c r="F52" s="611" t="e">
        <f t="shared" si="14"/>
        <v>#DIV/0!</v>
      </c>
      <c r="G52" s="2742" t="s">
        <v>1890</v>
      </c>
      <c r="H52" s="831" t="str">
        <f>项目基本情况!B37</f>
        <v>五级</v>
      </c>
      <c r="I52" s="724">
        <f>SUMIF(修正!A57:A68,H52,修正!B57:B68)</f>
        <v>0.6</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1891</v>
      </c>
      <c r="B53" s="210" t="e">
        <f t="shared" ref="B53:B60" si="16">ROUND($C$43*C53*D53,0)</f>
        <v>#DIV/0!</v>
      </c>
      <c r="C53" s="163">
        <f t="shared" si="15"/>
        <v>0.3</v>
      </c>
      <c r="D53" s="888">
        <v>0.25</v>
      </c>
      <c r="E53" s="614"/>
      <c r="F53" s="611" t="e">
        <f t="shared" si="14"/>
        <v>#DIV/0!</v>
      </c>
      <c r="G53" s="2743"/>
      <c r="H53" s="831" t="str">
        <f>项目基本情况!B37</f>
        <v>五级</v>
      </c>
      <c r="I53" s="724">
        <f>SUMIF(修正!A57:A68,H53,修正!C57:C68)</f>
        <v>0.3</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1892</v>
      </c>
      <c r="B54" s="210" t="e">
        <f t="shared" si="16"/>
        <v>#DIV/0!</v>
      </c>
      <c r="C54" s="163">
        <f t="shared" si="15"/>
        <v>0.25</v>
      </c>
      <c r="D54" s="888">
        <v>0.25</v>
      </c>
      <c r="E54" s="614"/>
      <c r="F54" s="611" t="e">
        <f t="shared" si="14"/>
        <v>#DIV/0!</v>
      </c>
      <c r="G54" s="2743"/>
      <c r="H54" s="831" t="str">
        <f>项目基本情况!B37</f>
        <v>五级</v>
      </c>
      <c r="I54" s="724">
        <f>SUMIF(修正!A57:A68,H54,修正!D57:D68)</f>
        <v>0.25</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1893</v>
      </c>
      <c r="B56" s="210" t="e">
        <f t="shared" si="16"/>
        <v>#DIV/0!</v>
      </c>
      <c r="C56" s="163">
        <f t="shared" si="15"/>
        <v>0.25</v>
      </c>
      <c r="D56" s="888">
        <v>0.25</v>
      </c>
      <c r="E56" s="209">
        <f>'数据-汇总表'!E11</f>
        <v>0</v>
      </c>
      <c r="F56" s="611" t="e">
        <f t="shared" si="14"/>
        <v>#DIV/0!</v>
      </c>
      <c r="G56" s="1831" t="s">
        <v>1894</v>
      </c>
      <c r="H56" s="831" t="str">
        <f>项目基本情况!C37</f>
        <v>五级</v>
      </c>
      <c r="I56" s="724">
        <f>SUMIF(修正!A57:A68,H56,修正!E57:E68)</f>
        <v>0.25</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1895</v>
      </c>
      <c r="B57" s="210" t="e">
        <f t="shared" si="16"/>
        <v>#DIV/0!</v>
      </c>
      <c r="C57" s="163">
        <f t="shared" si="15"/>
        <v>0.25</v>
      </c>
      <c r="D57" s="888">
        <v>0.25</v>
      </c>
      <c r="E57" s="209">
        <f>'数据-汇总表'!E12</f>
        <v>0</v>
      </c>
      <c r="F57" s="611" t="e">
        <f t="shared" si="14"/>
        <v>#DIV/0!</v>
      </c>
      <c r="G57" s="836" t="s">
        <v>1896</v>
      </c>
      <c r="H57" s="831" t="str">
        <f>IF(G57="商业",项目基本情况!B37,IF(G57="办公",项目基本情况!C37,IF(G57="住宅",项目基本情况!D37,项目基本情况!E37)))</f>
        <v>五级</v>
      </c>
      <c r="I57" s="724">
        <f>SUMIF(修正!A57:A68,H57,修正!F57:F68)</f>
        <v>0.25</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1897</v>
      </c>
      <c r="B58" s="210" t="e">
        <f t="shared" si="16"/>
        <v>#DIV/0!</v>
      </c>
      <c r="C58" s="163">
        <f t="shared" si="15"/>
        <v>0.15</v>
      </c>
      <c r="D58" s="888">
        <v>0.25</v>
      </c>
      <c r="E58" s="209">
        <f>'数据-汇总表'!E13</f>
        <v>28458.699999999997</v>
      </c>
      <c r="F58" s="611" t="e">
        <f t="shared" si="14"/>
        <v>#DIV/0!</v>
      </c>
      <c r="G58" s="836" t="s">
        <v>1898</v>
      </c>
      <c r="H58" s="831" t="str">
        <f>IF(G58="商业",项目基本情况!B37,IF(G58="办公",项目基本情况!C37,IF(G58="住宅",项目基本情况!D37,项目基本情况!E37)))</f>
        <v>五级</v>
      </c>
      <c r="I58" s="724">
        <f>SUMIF(修正!A57:A68,H58,修正!G57:G68)</f>
        <v>0.15</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1899</v>
      </c>
      <c r="B59" s="210" t="e">
        <f t="shared" si="16"/>
        <v>#DIV/0!</v>
      </c>
      <c r="C59" s="163">
        <f t="shared" si="15"/>
        <v>0.15</v>
      </c>
      <c r="D59" s="888">
        <v>0.25</v>
      </c>
      <c r="E59" s="209">
        <f>'数据-汇总表'!E14</f>
        <v>0</v>
      </c>
      <c r="F59" s="611" t="e">
        <f t="shared" si="14"/>
        <v>#DIV/0!</v>
      </c>
      <c r="G59" s="1831" t="s">
        <v>1890</v>
      </c>
      <c r="H59" s="831" t="str">
        <f>项目基本情况!B37</f>
        <v>五级</v>
      </c>
      <c r="I59" s="724">
        <f>SUMIF(修正!A57:A68,H59,修正!G57:G68)</f>
        <v>0.15</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5" thickBot="1">
      <c r="A60" s="613" t="s">
        <v>1900</v>
      </c>
      <c r="B60" s="210" t="e">
        <f t="shared" si="16"/>
        <v>#DIV/0!</v>
      </c>
      <c r="C60" s="163">
        <f t="shared" si="15"/>
        <v>0.15</v>
      </c>
      <c r="D60" s="888">
        <v>0.25</v>
      </c>
      <c r="E60" s="209">
        <f>'数据-汇总表'!E15</f>
        <v>0</v>
      </c>
      <c r="F60" s="611" t="e">
        <f t="shared" si="14"/>
        <v>#DIV/0!</v>
      </c>
      <c r="G60" s="1832" t="s">
        <v>1894</v>
      </c>
      <c r="H60" s="841" t="str">
        <f>项目基本情况!C37</f>
        <v>五级</v>
      </c>
      <c r="I60" s="724">
        <f>SUMIF(修正!A57:A68,H60,修正!G57:G68)</f>
        <v>0.15</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5" thickBot="1">
      <c r="A61" s="615" t="s">
        <v>1901</v>
      </c>
      <c r="B61" s="616" t="s">
        <v>22</v>
      </c>
      <c r="C61" s="616" t="s">
        <v>23</v>
      </c>
      <c r="D61" s="616" t="s">
        <v>392</v>
      </c>
      <c r="E61" s="616">
        <f>IF(B41="楼面地价",SUM(E51:E60),'数据-汇总表'!D3)</f>
        <v>23493.01</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2024-12-1</v>
      </c>
      <c r="D63" s="656">
        <f>EDATE(C63,-3)</f>
        <v>45536</v>
      </c>
      <c r="E63" s="656">
        <f>EDATE(D63,-3)</f>
        <v>45444</v>
      </c>
      <c r="F63" s="656">
        <f t="shared" ref="F63:O63" si="17">EDATE(E63,-3)</f>
        <v>45352</v>
      </c>
      <c r="G63" s="656">
        <f t="shared" si="17"/>
        <v>45261</v>
      </c>
      <c r="H63" s="656">
        <f t="shared" si="17"/>
        <v>45170</v>
      </c>
      <c r="I63" s="656">
        <f t="shared" si="17"/>
        <v>45078</v>
      </c>
      <c r="J63" s="656">
        <f t="shared" si="17"/>
        <v>44986</v>
      </c>
      <c r="K63" s="656">
        <f t="shared" si="17"/>
        <v>44896</v>
      </c>
      <c r="L63" s="656">
        <f t="shared" si="17"/>
        <v>44805</v>
      </c>
      <c r="M63" s="656">
        <f t="shared" si="17"/>
        <v>44713</v>
      </c>
      <c r="N63" s="656">
        <f t="shared" si="17"/>
        <v>44621</v>
      </c>
      <c r="O63" s="656">
        <f t="shared" si="17"/>
        <v>44531</v>
      </c>
      <c r="P63" s="2479"/>
      <c r="Q63" s="2479"/>
      <c r="R63" s="2479"/>
      <c r="S63" s="2479"/>
      <c r="T63" s="2479"/>
      <c r="U63" s="2479"/>
      <c r="V63" s="2479"/>
      <c r="W63" s="2479"/>
      <c r="X63" s="2479"/>
      <c r="Y63" s="2479"/>
      <c r="Z63" s="2479"/>
      <c r="AA63" s="2479"/>
      <c r="AB63" s="2479"/>
      <c r="AC63" s="2479"/>
      <c r="AD63" s="2479"/>
      <c r="AE63" s="2479"/>
    </row>
    <row r="64" spans="1:31" ht="21.75" thickBot="1">
      <c r="A64" s="658" t="s">
        <v>1797</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5">
      <c r="A65" s="1626" t="s">
        <v>1902</v>
      </c>
      <c r="B65" s="1043"/>
      <c r="C65" s="1097" t="str">
        <f>YEAR(C63)&amp;"-"&amp;ROUNDUP(MONTH(C63)/3,0)</f>
        <v>2024-4</v>
      </c>
      <c r="D65" s="1097" t="str">
        <f t="shared" ref="D65:O65" si="18">YEAR(D63)&amp;"-"&amp;ROUNDUP(MONTH(D63)/3,0)</f>
        <v>2024-3</v>
      </c>
      <c r="E65" s="1097" t="str">
        <f t="shared" si="18"/>
        <v>2024-2</v>
      </c>
      <c r="F65" s="1097" t="str">
        <f t="shared" si="18"/>
        <v>2024-1</v>
      </c>
      <c r="G65" s="1097" t="str">
        <f t="shared" si="18"/>
        <v>2023-4</v>
      </c>
      <c r="H65" s="1097" t="str">
        <f t="shared" si="18"/>
        <v>2023-3</v>
      </c>
      <c r="I65" s="1097" t="str">
        <f t="shared" si="18"/>
        <v>2023-2</v>
      </c>
      <c r="J65" s="1097" t="str">
        <f t="shared" si="18"/>
        <v>2023-1</v>
      </c>
      <c r="K65" s="1097" t="str">
        <f t="shared" si="18"/>
        <v>2022-4</v>
      </c>
      <c r="L65" s="1097" t="str">
        <f t="shared" si="18"/>
        <v>2022-3</v>
      </c>
      <c r="M65" s="1097" t="str">
        <f t="shared" si="18"/>
        <v>2022-2</v>
      </c>
      <c r="N65" s="1097" t="str">
        <f t="shared" si="18"/>
        <v>2022-1</v>
      </c>
      <c r="O65" s="1097" t="str">
        <f t="shared" si="18"/>
        <v>2021-4</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3"/>
      <c r="N66" s="1063"/>
      <c r="O66" s="1095"/>
      <c r="P66" s="2500"/>
      <c r="Q66" s="2432"/>
      <c r="R66" s="2432"/>
      <c r="S66" s="2432"/>
      <c r="T66" s="2432"/>
      <c r="U66" s="2432"/>
      <c r="V66" s="2432"/>
      <c r="W66" s="2432"/>
      <c r="X66" s="2432"/>
      <c r="Y66" s="2432"/>
      <c r="Z66" s="2432"/>
      <c r="AA66" s="2432"/>
      <c r="AB66" s="2432"/>
      <c r="AC66" s="2432"/>
      <c r="AD66" s="2432"/>
      <c r="AE66" s="2432"/>
    </row>
    <row r="67" spans="1:31" s="102" customFormat="1" ht="15.75" thickBot="1">
      <c r="A67" s="449" t="s">
        <v>1715</v>
      </c>
      <c r="B67" s="450"/>
      <c r="C67" s="451"/>
      <c r="D67" s="452"/>
      <c r="E67" s="452"/>
      <c r="F67" s="452"/>
      <c r="G67" s="452"/>
      <c r="H67" s="452"/>
      <c r="I67" s="452"/>
      <c r="J67" s="452"/>
      <c r="K67" s="452"/>
      <c r="L67" s="452"/>
      <c r="M67" s="453"/>
      <c r="N67" s="453"/>
      <c r="O67" s="454"/>
      <c r="P67" s="2500"/>
      <c r="Q67" s="2500"/>
      <c r="R67" s="2432"/>
      <c r="S67" s="2432"/>
      <c r="T67" s="2432"/>
      <c r="U67" s="2432"/>
      <c r="V67" s="2432"/>
      <c r="W67" s="2432"/>
      <c r="X67" s="2432"/>
      <c r="Y67" s="2432"/>
      <c r="Z67" s="2432"/>
      <c r="AA67" s="2432"/>
      <c r="AB67" s="2432"/>
      <c r="AC67" s="2432"/>
      <c r="AD67" s="2432"/>
      <c r="AE67" s="2432"/>
    </row>
    <row r="68" spans="1:31" s="102" customFormat="1" ht="15">
      <c r="A68" s="455" t="s">
        <v>1680</v>
      </c>
      <c r="B68" s="444"/>
      <c r="C68" s="456" t="s">
        <v>1775</v>
      </c>
      <c r="D68" s="31"/>
      <c r="E68" s="31"/>
      <c r="F68" s="31"/>
      <c r="G68" s="31"/>
      <c r="H68" s="31"/>
      <c r="I68" s="31"/>
      <c r="J68" s="31"/>
      <c r="K68" s="31"/>
      <c r="L68" s="457"/>
      <c r="M68" s="458"/>
      <c r="N68" s="2512"/>
      <c r="O68" s="2512"/>
      <c r="P68" s="2536"/>
      <c r="Q68" s="2500"/>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2"/>
      <c r="O69" s="2512"/>
      <c r="P69" s="2500"/>
      <c r="Q69" s="2500"/>
      <c r="R69" s="2432"/>
      <c r="S69" s="2432"/>
      <c r="T69" s="2432"/>
      <c r="U69" s="2432"/>
      <c r="V69" s="2432"/>
      <c r="W69" s="2432"/>
      <c r="X69" s="2432"/>
      <c r="Y69" s="2432"/>
      <c r="Z69" s="2432"/>
      <c r="AA69" s="2432"/>
      <c r="AB69" s="2432"/>
      <c r="AC69" s="2432"/>
      <c r="AD69" s="2432"/>
      <c r="AE69" s="2432"/>
    </row>
    <row r="70" spans="1:31">
      <c r="A70" s="379" t="s">
        <v>1718</v>
      </c>
      <c r="B70" s="460" t="s">
        <v>1684</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5.75"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7.75" thickTop="1">
      <c r="A72" s="367"/>
      <c r="B72" s="469" t="s">
        <v>1687</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5.75"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75" thickTop="1">
      <c r="A74" s="367"/>
      <c r="B74" s="477" t="s">
        <v>1688</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ht="15">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5.75"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5.75"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5.75"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5.75"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5.75"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5.75"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c r="A83" s="379" t="s">
        <v>1689</v>
      </c>
      <c r="B83" s="460" t="s">
        <v>1828</v>
      </c>
      <c r="C83" s="504" t="s">
        <v>1720</v>
      </c>
      <c r="D83" s="504" t="s">
        <v>1721</v>
      </c>
      <c r="E83" s="504" t="s">
        <v>1722</v>
      </c>
      <c r="F83" s="504" t="s">
        <v>1723</v>
      </c>
      <c r="G83" s="504" t="s">
        <v>1724</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75" thickTop="1">
      <c r="A85" s="367"/>
      <c r="B85" s="469" t="s">
        <v>1725</v>
      </c>
      <c r="C85" s="509" t="s">
        <v>1720</v>
      </c>
      <c r="D85" s="509" t="s">
        <v>1721</v>
      </c>
      <c r="E85" s="509" t="s">
        <v>1722</v>
      </c>
      <c r="F85" s="509" t="s">
        <v>1723</v>
      </c>
      <c r="G85" s="509" t="s">
        <v>1724</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15.75" thickTop="1">
      <c r="A87" s="370"/>
      <c r="B87" s="469" t="s">
        <v>1905</v>
      </c>
      <c r="C87" s="504" t="s">
        <v>1720</v>
      </c>
      <c r="D87" s="504" t="s">
        <v>1721</v>
      </c>
      <c r="E87" s="504" t="s">
        <v>1722</v>
      </c>
      <c r="F87" s="504" t="s">
        <v>1723</v>
      </c>
      <c r="G87" s="504" t="s">
        <v>1724</v>
      </c>
      <c r="H87" s="509"/>
      <c r="I87" s="509"/>
      <c r="J87" s="509"/>
      <c r="K87" s="509"/>
      <c r="L87" s="618"/>
      <c r="M87" s="547"/>
      <c r="N87" s="2512"/>
      <c r="O87" s="2512"/>
      <c r="P87" s="2512"/>
      <c r="Q87" s="2500"/>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2"/>
      <c r="S88" s="2432"/>
      <c r="T88" s="2432"/>
      <c r="U88" s="2432"/>
      <c r="V88" s="2432"/>
      <c r="W88" s="2432"/>
      <c r="X88" s="2432"/>
      <c r="Y88" s="2432"/>
      <c r="Z88" s="2432"/>
      <c r="AA88" s="2432"/>
      <c r="AB88" s="2432"/>
      <c r="AC88" s="2432"/>
      <c r="AD88" s="2432"/>
      <c r="AE88" s="2432"/>
    </row>
    <row r="89" spans="1:31" s="102" customFormat="1" ht="27.75" thickTop="1">
      <c r="A89" s="370"/>
      <c r="B89" s="469" t="s">
        <v>1906</v>
      </c>
      <c r="C89" s="504" t="s">
        <v>1720</v>
      </c>
      <c r="D89" s="504" t="s">
        <v>1721</v>
      </c>
      <c r="E89" s="504" t="s">
        <v>1722</v>
      </c>
      <c r="F89" s="504" t="s">
        <v>1723</v>
      </c>
      <c r="G89" s="504" t="s">
        <v>1724</v>
      </c>
      <c r="H89" s="509"/>
      <c r="I89" s="509"/>
      <c r="J89" s="509"/>
      <c r="K89" s="509"/>
      <c r="L89" s="509"/>
      <c r="M89" s="547"/>
      <c r="N89" s="2512"/>
      <c r="O89" s="2512"/>
      <c r="P89" s="2512"/>
      <c r="Q89" s="2500"/>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2"/>
      <c r="S90" s="2432"/>
      <c r="T90" s="2432"/>
      <c r="U90" s="2432"/>
      <c r="V90" s="2432"/>
      <c r="W90" s="2432"/>
      <c r="X90" s="2432"/>
      <c r="Y90" s="2432"/>
      <c r="Z90" s="2432"/>
      <c r="AA90" s="2432"/>
      <c r="AB90" s="2432"/>
      <c r="AC90" s="2432"/>
      <c r="AD90" s="2432"/>
      <c r="AE90" s="2432"/>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75" thickTop="1">
      <c r="A93" s="484"/>
      <c r="B93" s="477" t="s">
        <v>1923</v>
      </c>
      <c r="C93" s="581" t="s">
        <v>1798</v>
      </c>
      <c r="D93" s="581" t="s">
        <v>1799</v>
      </c>
      <c r="E93" s="581" t="s">
        <v>1800</v>
      </c>
      <c r="F93" s="581" t="s">
        <v>1801</v>
      </c>
      <c r="G93" s="581" t="s">
        <v>1802</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4"/>
      <c r="O96" s="2514"/>
      <c r="P96" s="2512"/>
      <c r="Q96" s="2500"/>
      <c r="R96" s="2479"/>
      <c r="S96" s="2479"/>
      <c r="T96" s="2479"/>
      <c r="U96" s="2479"/>
      <c r="V96" s="2479"/>
      <c r="W96" s="2479"/>
      <c r="X96" s="2479"/>
      <c r="Y96" s="2479"/>
      <c r="Z96" s="2479"/>
      <c r="AA96" s="2479"/>
      <c r="AB96" s="2479"/>
      <c r="AC96" s="2479"/>
      <c r="AD96" s="2479"/>
      <c r="AE96" s="2479"/>
    </row>
    <row r="97" spans="1:31" ht="27.75" thickTop="1">
      <c r="A97" s="367"/>
      <c r="B97" s="469" t="s">
        <v>1814</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4"/>
      <c r="O98" s="2514"/>
      <c r="P98" s="2512"/>
      <c r="Q98" s="2500"/>
      <c r="R98" s="2479"/>
      <c r="S98" s="2479"/>
      <c r="T98" s="2479"/>
      <c r="U98" s="2479"/>
      <c r="V98" s="2479"/>
      <c r="W98" s="2479"/>
      <c r="X98" s="2479"/>
      <c r="Y98" s="2479"/>
      <c r="Z98" s="2479"/>
      <c r="AA98" s="2479"/>
      <c r="AB98" s="2479"/>
      <c r="AC98" s="2479"/>
      <c r="AD98" s="2479"/>
      <c r="AE98" s="2479"/>
    </row>
    <row r="99" spans="1:31" ht="15.75" thickTop="1">
      <c r="A99" s="367"/>
      <c r="B99" s="469" t="s">
        <v>1871</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5.75"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5.75"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5"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5.75"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5"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5.75"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c r="A107" s="379" t="s">
        <v>1693</v>
      </c>
      <c r="B107" s="460" t="s">
        <v>1911</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2" t="str">
        <f t="shared" si="24"/>
        <v>(含)-</v>
      </c>
      <c r="L107" s="1242" t="str">
        <f t="shared" si="24"/>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ht="15">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5.75"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1912</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1914</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1915</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5"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5.75"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5"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5.75"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5"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5.75"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2081</v>
      </c>
      <c r="C1" s="3496" t="s">
        <v>2082</v>
      </c>
      <c r="D1" s="3497"/>
      <c r="E1" s="3497"/>
      <c r="F1" s="3497"/>
      <c r="G1" s="3497"/>
      <c r="H1" s="3497"/>
      <c r="I1" s="3497"/>
      <c r="J1" s="3497"/>
      <c r="K1" s="3497"/>
      <c r="L1" s="3497"/>
      <c r="M1" s="3497"/>
      <c r="N1" s="3497"/>
      <c r="O1" s="3497"/>
      <c r="P1" s="3497"/>
      <c r="Q1" s="3497"/>
      <c r="R1" s="3497"/>
      <c r="S1" s="3498"/>
      <c r="T1" s="926" t="s">
        <v>2083</v>
      </c>
    </row>
    <row r="2" spans="1:45" s="625" customFormat="1">
      <c r="A2" s="927"/>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2085</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2086</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2087</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2088</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2089</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2090</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2093</v>
      </c>
      <c r="E19" s="1249"/>
      <c r="F19" s="1249"/>
      <c r="G19" s="1249"/>
      <c r="H19" s="993"/>
      <c r="I19" s="151"/>
      <c r="J19" s="151"/>
      <c r="K19" s="151"/>
      <c r="L19" s="151"/>
      <c r="M19" s="151"/>
      <c r="N19" s="151"/>
      <c r="O19" s="151"/>
      <c r="P19" s="151"/>
      <c r="Q19" s="151"/>
      <c r="R19" s="151"/>
      <c r="S19" s="121"/>
    </row>
    <row r="20" spans="1:45" ht="16.5" thickBot="1">
      <c r="A20" s="632" t="s">
        <v>2094</v>
      </c>
      <c r="B20" s="286" t="e">
        <f ca="1">IF(D20="——",S22,S22-F20)</f>
        <v>#REF!</v>
      </c>
      <c r="C20" s="151"/>
      <c r="D20" s="1985"/>
      <c r="E20" s="1250"/>
      <c r="F20" s="926" t="e">
        <f ca="1">SUMIF(INDIRECT("'"&amp;H20&amp;"'"&amp;"!A:A"),"承租人权益价值",INDIRECT("'"&amp;H20&amp;"'"&amp;"!c:c"))</f>
        <v>#REF!</v>
      </c>
      <c r="G20" s="926" t="s">
        <v>2095</v>
      </c>
      <c r="H20" s="1986"/>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93" t="s">
        <v>27</v>
      </c>
      <c r="D22" s="3494"/>
      <c r="E22" s="3494"/>
      <c r="F22" s="3494"/>
      <c r="G22" s="3494"/>
      <c r="H22" s="3494"/>
      <c r="I22" s="3494"/>
      <c r="J22" s="3494"/>
      <c r="K22" s="3494"/>
      <c r="L22" s="3494"/>
      <c r="M22" s="3494"/>
      <c r="N22" s="3494"/>
      <c r="O22" s="3494"/>
      <c r="P22" s="3494"/>
      <c r="Q22" s="349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05" customWidth="1"/>
    <col min="14" max="14" width="10" style="2805" customWidth="1"/>
    <col min="15" max="16" width="8.25" style="2805"/>
    <col min="17" max="17" width="34.125" style="2805" customWidth="1"/>
    <col min="18" max="18" width="8.25" style="2805" customWidth="1"/>
    <col min="19" max="19" width="8.25" style="2805"/>
    <col min="20" max="20" width="11.625" style="2805" customWidth="1"/>
    <col min="21" max="16384" width="8.25" style="2805"/>
  </cols>
  <sheetData>
    <row r="1" spans="1:13" ht="19.5" customHeight="1" thickBot="1">
      <c r="A1" s="2802" t="s">
        <v>2590</v>
      </c>
      <c r="B1" s="2803" t="s">
        <v>2591</v>
      </c>
      <c r="C1" s="2803" t="s">
        <v>2592</v>
      </c>
      <c r="D1" s="2803" t="s">
        <v>2593</v>
      </c>
      <c r="E1" s="2803" t="s">
        <v>2594</v>
      </c>
      <c r="F1" s="2803" t="s">
        <v>2595</v>
      </c>
      <c r="G1" s="2803" t="s">
        <v>2596</v>
      </c>
      <c r="H1" s="2803" t="s">
        <v>2597</v>
      </c>
      <c r="I1" s="2803" t="s">
        <v>2598</v>
      </c>
      <c r="J1" s="2803" t="s">
        <v>2599</v>
      </c>
      <c r="K1" s="2803" t="s">
        <v>2600</v>
      </c>
      <c r="L1" s="2803" t="s">
        <v>2601</v>
      </c>
      <c r="M1" s="2804" t="s">
        <v>2602</v>
      </c>
    </row>
    <row r="2" spans="1:13" ht="19.5" customHeight="1">
      <c r="A2" s="2806" t="s">
        <v>2603</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2604</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2605</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2606</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2607</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2608</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2609</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2610</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2611</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2612</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2613</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2614</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2615</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2616</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2617</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2618</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SUM(J8:J15)-J13-J14</f>
        <v>185</v>
      </c>
      <c r="K17" s="2757">
        <f>SUM(K8:K15)-K13-K14</f>
        <v>185</v>
      </c>
      <c r="L17" s="2757">
        <f>SUM(L8:L15)-L13-L14</f>
        <v>185</v>
      </c>
      <c r="M17" s="2757">
        <f>SUM(M8:M15)-M13-M14</f>
        <v>185</v>
      </c>
    </row>
    <row r="18" spans="1:13" s="2830" customFormat="1" ht="19.5" customHeight="1">
      <c r="A18" s="2828" t="s">
        <v>2619</v>
      </c>
      <c r="B18" s="2828"/>
      <c r="C18" s="2829"/>
      <c r="D18" s="2829"/>
      <c r="E18" s="2828"/>
      <c r="F18" s="2829"/>
      <c r="G18" s="2829"/>
    </row>
    <row r="19" spans="1:13" ht="19.5" customHeight="1" thickBot="1">
      <c r="A19" s="2826" t="s">
        <v>2620</v>
      </c>
      <c r="B19" s="2831" t="s">
        <v>2621</v>
      </c>
      <c r="C19" s="2831" t="s">
        <v>2622</v>
      </c>
      <c r="D19" s="2832"/>
      <c r="E19" s="2826" t="s">
        <v>2623</v>
      </c>
      <c r="F19" s="2833"/>
      <c r="G19" s="2833"/>
    </row>
    <row r="20" spans="1:13" ht="19.5" customHeight="1">
      <c r="A20" s="3506" t="s">
        <v>2603</v>
      </c>
      <c r="B20" s="3499" t="s">
        <v>2624</v>
      </c>
      <c r="C20" s="2834" t="s">
        <v>2435</v>
      </c>
      <c r="D20" s="2835"/>
      <c r="E20" s="2836">
        <v>1</v>
      </c>
      <c r="F20" s="2837" t="s">
        <v>2436</v>
      </c>
      <c r="G20" s="2837"/>
    </row>
    <row r="21" spans="1:13" ht="19.5" customHeight="1">
      <c r="A21" s="3507"/>
      <c r="B21" s="3500"/>
      <c r="C21" s="2838" t="s">
        <v>2437</v>
      </c>
      <c r="D21" s="2839"/>
      <c r="E21" s="2840">
        <v>1</v>
      </c>
      <c r="F21" s="2837" t="s">
        <v>2438</v>
      </c>
      <c r="G21" s="2837"/>
    </row>
    <row r="22" spans="1:13" ht="19.5" customHeight="1">
      <c r="A22" s="3507"/>
      <c r="B22" s="3500"/>
      <c r="C22" s="2838" t="s">
        <v>2439</v>
      </c>
      <c r="D22" s="2839"/>
      <c r="E22" s="2840">
        <v>0.9</v>
      </c>
      <c r="F22" s="2837" t="s">
        <v>2440</v>
      </c>
      <c r="G22" s="2837"/>
    </row>
    <row r="23" spans="1:13" ht="19.5" customHeight="1">
      <c r="A23" s="3507"/>
      <c r="B23" s="3500"/>
      <c r="C23" s="2838" t="s">
        <v>2441</v>
      </c>
      <c r="D23" s="2839"/>
      <c r="E23" s="2840">
        <v>0.9</v>
      </c>
      <c r="F23" s="2837" t="s">
        <v>2442</v>
      </c>
      <c r="G23" s="2837"/>
    </row>
    <row r="24" spans="1:13" ht="19.5" customHeight="1">
      <c r="A24" s="3507"/>
      <c r="B24" s="3500"/>
      <c r="C24" s="2838" t="s">
        <v>2443</v>
      </c>
      <c r="D24" s="2839"/>
      <c r="E24" s="2840">
        <v>0.8</v>
      </c>
      <c r="F24" s="2837" t="s">
        <v>2444</v>
      </c>
      <c r="G24" s="2837"/>
    </row>
    <row r="25" spans="1:13" ht="19.5" customHeight="1" thickBot="1">
      <c r="A25" s="3508"/>
      <c r="B25" s="3501"/>
      <c r="C25" s="2841" t="s">
        <v>2445</v>
      </c>
      <c r="D25" s="2842"/>
      <c r="E25" s="2843">
        <v>0.8</v>
      </c>
      <c r="F25" s="2837" t="s">
        <v>2446</v>
      </c>
      <c r="G25" s="2837"/>
    </row>
    <row r="26" spans="1:13" ht="19.5" customHeight="1" thickBot="1">
      <c r="A26" s="2844" t="s">
        <v>2625</v>
      </c>
      <c r="B26" s="2845" t="s">
        <v>2624</v>
      </c>
      <c r="C26" s="2846" t="s">
        <v>2626</v>
      </c>
      <c r="D26" s="2847"/>
      <c r="E26" s="2848">
        <v>1</v>
      </c>
      <c r="F26" s="2837" t="s">
        <v>2447</v>
      </c>
      <c r="G26" s="2837"/>
    </row>
    <row r="27" spans="1:13" ht="19.5" customHeight="1">
      <c r="A27" s="3502" t="s">
        <v>2627</v>
      </c>
      <c r="B27" s="3499" t="s">
        <v>2608</v>
      </c>
      <c r="C27" s="2834" t="s">
        <v>2448</v>
      </c>
      <c r="D27" s="2835"/>
      <c r="E27" s="2836">
        <v>1</v>
      </c>
      <c r="F27" s="2837" t="s">
        <v>2449</v>
      </c>
      <c r="G27" s="2837"/>
    </row>
    <row r="28" spans="1:13" ht="19.5" customHeight="1">
      <c r="A28" s="3503"/>
      <c r="B28" s="3500"/>
      <c r="C28" s="2838" t="s">
        <v>2450</v>
      </c>
      <c r="D28" s="2839"/>
      <c r="E28" s="2840">
        <v>1</v>
      </c>
      <c r="F28" s="2837" t="s">
        <v>2451</v>
      </c>
      <c r="G28" s="2837"/>
    </row>
    <row r="29" spans="1:13" ht="19.5" customHeight="1">
      <c r="A29" s="3503"/>
      <c r="B29" s="3500"/>
      <c r="C29" s="2838" t="s">
        <v>2452</v>
      </c>
      <c r="D29" s="2839"/>
      <c r="E29" s="2840">
        <v>0.8</v>
      </c>
      <c r="F29" s="2837" t="s">
        <v>2453</v>
      </c>
      <c r="G29" s="2837"/>
    </row>
    <row r="30" spans="1:13" ht="19.5" customHeight="1">
      <c r="A30" s="3503"/>
      <c r="B30" s="3500"/>
      <c r="C30" s="2838" t="s">
        <v>2454</v>
      </c>
      <c r="D30" s="2839"/>
      <c r="E30" s="2840">
        <v>0.8</v>
      </c>
      <c r="F30" s="2837" t="s">
        <v>2455</v>
      </c>
      <c r="G30" s="2837"/>
    </row>
    <row r="31" spans="1:13" ht="19.5" customHeight="1">
      <c r="A31" s="3503"/>
      <c r="B31" s="3500"/>
      <c r="C31" s="2838" t="s">
        <v>2456</v>
      </c>
      <c r="D31" s="2839"/>
      <c r="E31" s="2840">
        <v>0.8</v>
      </c>
      <c r="F31" s="2837" t="s">
        <v>2457</v>
      </c>
      <c r="G31" s="2837"/>
    </row>
    <row r="32" spans="1:13" ht="19.5" customHeight="1">
      <c r="A32" s="3503"/>
      <c r="B32" s="3500"/>
      <c r="C32" s="2838" t="s">
        <v>2458</v>
      </c>
      <c r="D32" s="2839"/>
      <c r="E32" s="2840">
        <v>0.7</v>
      </c>
      <c r="F32" s="2837" t="s">
        <v>2459</v>
      </c>
      <c r="G32" s="2837"/>
    </row>
    <row r="33" spans="1:7" ht="19.5" customHeight="1">
      <c r="A33" s="3503"/>
      <c r="B33" s="3500"/>
      <c r="C33" s="2838" t="s">
        <v>2460</v>
      </c>
      <c r="D33" s="2839"/>
      <c r="E33" s="2840">
        <v>0.8</v>
      </c>
      <c r="F33" s="2837" t="s">
        <v>2461</v>
      </c>
      <c r="G33" s="2837"/>
    </row>
    <row r="34" spans="1:7" ht="19.5" customHeight="1">
      <c r="A34" s="3503"/>
      <c r="B34" s="3500"/>
      <c r="C34" s="2838" t="s">
        <v>2462</v>
      </c>
      <c r="D34" s="2839"/>
      <c r="E34" s="2840">
        <v>0.6</v>
      </c>
      <c r="F34" s="2837" t="s">
        <v>2463</v>
      </c>
      <c r="G34" s="2837"/>
    </row>
    <row r="35" spans="1:7" ht="19.5" customHeight="1">
      <c r="A35" s="3503"/>
      <c r="B35" s="3500"/>
      <c r="C35" s="2838" t="s">
        <v>2464</v>
      </c>
      <c r="D35" s="2839"/>
      <c r="E35" s="2840">
        <v>0.2</v>
      </c>
      <c r="F35" s="2837" t="s">
        <v>2465</v>
      </c>
      <c r="G35" s="2837"/>
    </row>
    <row r="36" spans="1:7" ht="19.5" customHeight="1">
      <c r="A36" s="3503"/>
      <c r="B36" s="3500"/>
      <c r="C36" s="2838" t="s">
        <v>2466</v>
      </c>
      <c r="D36" s="2839"/>
      <c r="E36" s="2840">
        <v>0.2</v>
      </c>
      <c r="F36" s="2837" t="s">
        <v>2467</v>
      </c>
      <c r="G36" s="2837"/>
    </row>
    <row r="37" spans="1:7" ht="19.5" customHeight="1">
      <c r="A37" s="3503"/>
      <c r="B37" s="3505" t="s">
        <v>2628</v>
      </c>
      <c r="C37" s="2838" t="s">
        <v>2468</v>
      </c>
      <c r="D37" s="2839"/>
      <c r="E37" s="2840">
        <v>0.6</v>
      </c>
      <c r="F37" s="2837" t="s">
        <v>2469</v>
      </c>
      <c r="G37" s="2837"/>
    </row>
    <row r="38" spans="1:7" ht="19.5" customHeight="1">
      <c r="A38" s="3503"/>
      <c r="B38" s="3500"/>
      <c r="C38" s="2838" t="s">
        <v>2470</v>
      </c>
      <c r="D38" s="2839"/>
      <c r="E38" s="2840">
        <v>0.6</v>
      </c>
      <c r="F38" s="2837" t="s">
        <v>2471</v>
      </c>
      <c r="G38" s="2837"/>
    </row>
    <row r="39" spans="1:7" ht="19.5" customHeight="1" thickBot="1">
      <c r="A39" s="3504"/>
      <c r="B39" s="3501"/>
      <c r="C39" s="2841" t="s">
        <v>2472</v>
      </c>
      <c r="D39" s="2842"/>
      <c r="E39" s="2843">
        <v>0.6</v>
      </c>
      <c r="F39" s="2837" t="s">
        <v>2473</v>
      </c>
      <c r="G39" s="2837"/>
    </row>
    <row r="40" spans="1:7" ht="19.5" customHeight="1" thickBot="1">
      <c r="A40" s="2844" t="s">
        <v>2605</v>
      </c>
      <c r="B40" s="2845" t="s">
        <v>2605</v>
      </c>
      <c r="C40" s="2846" t="s">
        <v>2629</v>
      </c>
      <c r="D40" s="2847"/>
      <c r="E40" s="2848">
        <v>1</v>
      </c>
      <c r="F40" s="2837" t="s">
        <v>2474</v>
      </c>
      <c r="G40" s="2837"/>
    </row>
    <row r="41" spans="1:7" ht="19.5" customHeight="1">
      <c r="A41" s="3506" t="s">
        <v>2606</v>
      </c>
      <c r="B41" s="3499" t="s">
        <v>2630</v>
      </c>
      <c r="C41" s="2834" t="s">
        <v>2475</v>
      </c>
      <c r="D41" s="2835"/>
      <c r="E41" s="2836">
        <v>1</v>
      </c>
      <c r="F41" s="2837" t="s">
        <v>2476</v>
      </c>
      <c r="G41" s="2837"/>
    </row>
    <row r="42" spans="1:7" ht="19.5" customHeight="1">
      <c r="A42" s="3507"/>
      <c r="B42" s="3500"/>
      <c r="C42" s="2838" t="s">
        <v>2477</v>
      </c>
      <c r="D42" s="2839"/>
      <c r="E42" s="2840">
        <v>1</v>
      </c>
      <c r="F42" s="2837" t="s">
        <v>2478</v>
      </c>
      <c r="G42" s="2837"/>
    </row>
    <row r="43" spans="1:7" ht="19.5" customHeight="1">
      <c r="A43" s="3507"/>
      <c r="B43" s="3509"/>
      <c r="C43" s="2838" t="s">
        <v>2479</v>
      </c>
      <c r="D43" s="2839"/>
      <c r="E43" s="2840">
        <v>1.5</v>
      </c>
      <c r="F43" s="2837" t="s">
        <v>2480</v>
      </c>
      <c r="G43" s="2837"/>
    </row>
    <row r="44" spans="1:7" ht="19.5" customHeight="1">
      <c r="A44" s="3507"/>
      <c r="B44" s="2849" t="s">
        <v>2631</v>
      </c>
      <c r="C44" s="2838" t="s">
        <v>2632</v>
      </c>
      <c r="D44" s="2839"/>
      <c r="E44" s="2840">
        <v>2</v>
      </c>
      <c r="F44" s="2837" t="s">
        <v>2481</v>
      </c>
      <c r="G44" s="2837"/>
    </row>
    <row r="45" spans="1:7" ht="19.5" customHeight="1">
      <c r="A45" s="3507"/>
      <c r="B45" s="3505" t="s">
        <v>2633</v>
      </c>
      <c r="C45" s="2838" t="s">
        <v>2482</v>
      </c>
      <c r="D45" s="2839"/>
      <c r="E45" s="2840">
        <v>1</v>
      </c>
      <c r="F45" s="2837" t="s">
        <v>2483</v>
      </c>
      <c r="G45" s="2837"/>
    </row>
    <row r="46" spans="1:7" ht="19.5" customHeight="1">
      <c r="A46" s="3507"/>
      <c r="B46" s="3500"/>
      <c r="C46" s="2838" t="s">
        <v>2484</v>
      </c>
      <c r="D46" s="2839"/>
      <c r="E46" s="2840">
        <v>1</v>
      </c>
      <c r="F46" s="2837" t="s">
        <v>2485</v>
      </c>
      <c r="G46" s="2837"/>
    </row>
    <row r="47" spans="1:7" ht="19.5" customHeight="1">
      <c r="A47" s="3507"/>
      <c r="B47" s="3500"/>
      <c r="C47" s="2838" t="s">
        <v>2486</v>
      </c>
      <c r="D47" s="2839"/>
      <c r="E47" s="2840">
        <v>1</v>
      </c>
      <c r="F47" s="2837" t="s">
        <v>2487</v>
      </c>
      <c r="G47" s="2837"/>
    </row>
    <row r="48" spans="1:7" ht="19.5" customHeight="1">
      <c r="A48" s="3507"/>
      <c r="B48" s="3500"/>
      <c r="C48" s="2838" t="s">
        <v>2488</v>
      </c>
      <c r="D48" s="2839"/>
      <c r="E48" s="2840">
        <v>1</v>
      </c>
      <c r="F48" s="2837" t="s">
        <v>2489</v>
      </c>
      <c r="G48" s="2837"/>
    </row>
    <row r="49" spans="1:7" ht="19.5" customHeight="1">
      <c r="A49" s="3507"/>
      <c r="B49" s="3500"/>
      <c r="C49" s="2838" t="s">
        <v>2490</v>
      </c>
      <c r="D49" s="2839"/>
      <c r="E49" s="2840">
        <v>1</v>
      </c>
      <c r="F49" s="2837" t="s">
        <v>2491</v>
      </c>
      <c r="G49" s="2837"/>
    </row>
    <row r="50" spans="1:7" ht="19.5" customHeight="1">
      <c r="A50" s="3507"/>
      <c r="B50" s="3500"/>
      <c r="C50" s="2838" t="s">
        <v>2492</v>
      </c>
      <c r="D50" s="2839"/>
      <c r="E50" s="2840">
        <v>1</v>
      </c>
      <c r="F50" s="2837" t="s">
        <v>2493</v>
      </c>
      <c r="G50" s="2837"/>
    </row>
    <row r="51" spans="1:7" ht="19.5" customHeight="1" thickBot="1">
      <c r="A51" s="3508"/>
      <c r="B51" s="3501"/>
      <c r="C51" s="2841" t="s">
        <v>2494</v>
      </c>
      <c r="D51" s="2842"/>
      <c r="E51" s="2843">
        <v>1</v>
      </c>
      <c r="F51" s="2837" t="s">
        <v>2495</v>
      </c>
      <c r="G51" s="2837"/>
    </row>
    <row r="52" spans="1:7" ht="19.5" customHeight="1">
      <c r="A52" s="2850"/>
      <c r="B52" s="2850"/>
      <c r="C52" s="2850"/>
      <c r="D52" s="2850"/>
      <c r="E52" s="2850"/>
      <c r="F52" s="2850"/>
      <c r="G52" s="2850"/>
    </row>
    <row r="54" spans="1:7" ht="19.5" customHeight="1">
      <c r="A54" s="2851"/>
      <c r="B54" s="2823" t="s">
        <v>2634</v>
      </c>
      <c r="C54" s="2823" t="s">
        <v>2634</v>
      </c>
      <c r="D54" s="2823" t="s">
        <v>2634</v>
      </c>
      <c r="E54" s="2826" t="s">
        <v>2634</v>
      </c>
      <c r="F54" s="2826" t="s">
        <v>2635</v>
      </c>
      <c r="G54" s="2826" t="s">
        <v>2636</v>
      </c>
    </row>
    <row r="55" spans="1:7" ht="19.5" customHeight="1">
      <c r="A55" s="2852"/>
      <c r="B55" s="2826" t="s">
        <v>2603</v>
      </c>
      <c r="C55" s="2826" t="s">
        <v>2603</v>
      </c>
      <c r="D55" s="2826" t="s">
        <v>2603</v>
      </c>
      <c r="E55" s="2823" t="s">
        <v>2604</v>
      </c>
      <c r="F55" s="2823" t="s">
        <v>2606</v>
      </c>
      <c r="G55" s="2823" t="s">
        <v>2637</v>
      </c>
    </row>
    <row r="56" spans="1:7" ht="19.5" customHeight="1">
      <c r="A56" s="2853"/>
      <c r="B56" s="2823">
        <v>1</v>
      </c>
      <c r="C56" s="2823">
        <v>2</v>
      </c>
      <c r="D56" s="2823">
        <v>3</v>
      </c>
      <c r="E56" s="2854" t="s">
        <v>2638</v>
      </c>
      <c r="F56" s="2854" t="s">
        <v>2638</v>
      </c>
      <c r="G56" s="2854" t="s">
        <v>2638</v>
      </c>
    </row>
    <row r="57" spans="1:7" ht="19.5" customHeight="1">
      <c r="A57" s="2855" t="s">
        <v>2591</v>
      </c>
      <c r="B57" s="2823">
        <v>0.7</v>
      </c>
      <c r="C57" s="2823">
        <v>0.4</v>
      </c>
      <c r="D57" s="2823">
        <v>0.3</v>
      </c>
      <c r="E57" s="2854">
        <v>0.3</v>
      </c>
      <c r="F57" s="2823">
        <v>0.3</v>
      </c>
      <c r="G57" s="2823">
        <v>0.2</v>
      </c>
    </row>
    <row r="58" spans="1:7" ht="19.5" customHeight="1">
      <c r="A58" s="2855" t="s">
        <v>2592</v>
      </c>
      <c r="B58" s="2823">
        <v>0.7</v>
      </c>
      <c r="C58" s="2823">
        <v>0.4</v>
      </c>
      <c r="D58" s="2823">
        <v>0.3</v>
      </c>
      <c r="E58" s="2823">
        <v>0.3</v>
      </c>
      <c r="F58" s="2823">
        <v>0.3</v>
      </c>
      <c r="G58" s="2823">
        <v>0.2</v>
      </c>
    </row>
    <row r="59" spans="1:7" ht="19.5" customHeight="1">
      <c r="A59" s="2855" t="s">
        <v>2593</v>
      </c>
      <c r="B59" s="2823">
        <v>0.6</v>
      </c>
      <c r="C59" s="2823">
        <v>0.3</v>
      </c>
      <c r="D59" s="2823">
        <v>0.25</v>
      </c>
      <c r="E59" s="2823">
        <v>0.25</v>
      </c>
      <c r="F59" s="2823">
        <v>0.25</v>
      </c>
      <c r="G59" s="2823">
        <v>0.15</v>
      </c>
    </row>
    <row r="60" spans="1:7" ht="19.5" customHeight="1">
      <c r="A60" s="2855" t="s">
        <v>2594</v>
      </c>
      <c r="B60" s="2823">
        <v>0.6</v>
      </c>
      <c r="C60" s="2823">
        <v>0.3</v>
      </c>
      <c r="D60" s="2823">
        <v>0.25</v>
      </c>
      <c r="E60" s="2823">
        <v>0.25</v>
      </c>
      <c r="F60" s="2823">
        <v>0.25</v>
      </c>
      <c r="G60" s="2823">
        <v>0.15</v>
      </c>
    </row>
    <row r="61" spans="1:7" ht="19.5" customHeight="1">
      <c r="A61" s="2855" t="s">
        <v>2595</v>
      </c>
      <c r="B61" s="2823">
        <v>0.6</v>
      </c>
      <c r="C61" s="2823">
        <v>0.3</v>
      </c>
      <c r="D61" s="2823">
        <v>0.25</v>
      </c>
      <c r="E61" s="2823">
        <v>0.25</v>
      </c>
      <c r="F61" s="2823">
        <v>0.25</v>
      </c>
      <c r="G61" s="2823">
        <v>0.15</v>
      </c>
    </row>
    <row r="62" spans="1:7" ht="19.5" customHeight="1">
      <c r="A62" s="2855" t="s">
        <v>2596</v>
      </c>
      <c r="B62" s="2823">
        <v>0.6</v>
      </c>
      <c r="C62" s="2823">
        <v>0.3</v>
      </c>
      <c r="D62" s="2823">
        <v>0.25</v>
      </c>
      <c r="E62" s="2823">
        <v>0.25</v>
      </c>
      <c r="F62" s="2823">
        <v>0.25</v>
      </c>
      <c r="G62" s="2823">
        <v>0.15</v>
      </c>
    </row>
    <row r="63" spans="1:7" ht="19.5" customHeight="1">
      <c r="A63" s="2855" t="s">
        <v>2597</v>
      </c>
      <c r="B63" s="2823">
        <v>0.6</v>
      </c>
      <c r="C63" s="2823">
        <v>0.3</v>
      </c>
      <c r="D63" s="2823">
        <v>0.25</v>
      </c>
      <c r="E63" s="2823">
        <v>0.25</v>
      </c>
      <c r="F63" s="2823">
        <v>0.25</v>
      </c>
      <c r="G63" s="2823">
        <v>0.15</v>
      </c>
    </row>
    <row r="64" spans="1:7" ht="19.5" customHeight="1">
      <c r="A64" s="2855" t="s">
        <v>2598</v>
      </c>
      <c r="B64" s="2823">
        <v>0.5</v>
      </c>
      <c r="C64" s="2823">
        <v>0.2</v>
      </c>
      <c r="D64" s="2823">
        <v>0.2</v>
      </c>
      <c r="E64" s="2823">
        <v>0.2</v>
      </c>
      <c r="F64" s="2823">
        <v>0.2</v>
      </c>
      <c r="G64" s="2823">
        <v>0.1</v>
      </c>
    </row>
    <row r="65" spans="1:7" ht="19.5" customHeight="1">
      <c r="A65" s="2855" t="s">
        <v>2599</v>
      </c>
      <c r="B65" s="2823">
        <v>0.5</v>
      </c>
      <c r="C65" s="2823">
        <v>0.2</v>
      </c>
      <c r="D65" s="2823">
        <v>0.2</v>
      </c>
      <c r="E65" s="2823">
        <v>0.2</v>
      </c>
      <c r="F65" s="2823">
        <v>0.2</v>
      </c>
      <c r="G65" s="2823">
        <v>0.1</v>
      </c>
    </row>
    <row r="66" spans="1:7" ht="19.5" customHeight="1">
      <c r="A66" s="2855" t="s">
        <v>2600</v>
      </c>
      <c r="B66" s="2823">
        <v>0.5</v>
      </c>
      <c r="C66" s="2823">
        <v>0.2</v>
      </c>
      <c r="D66" s="2823">
        <v>0.2</v>
      </c>
      <c r="E66" s="2823">
        <v>0.2</v>
      </c>
      <c r="F66" s="2823">
        <v>0.2</v>
      </c>
      <c r="G66" s="2823">
        <v>0.1</v>
      </c>
    </row>
    <row r="67" spans="1:7" ht="19.5" customHeight="1">
      <c r="A67" s="2855" t="s">
        <v>2601</v>
      </c>
      <c r="B67" s="2823">
        <v>0.5</v>
      </c>
      <c r="C67" s="2823">
        <v>0.2</v>
      </c>
      <c r="D67" s="2823">
        <v>0.2</v>
      </c>
      <c r="E67" s="2823">
        <v>0.2</v>
      </c>
      <c r="F67" s="2823">
        <v>0.2</v>
      </c>
      <c r="G67" s="2823">
        <v>0.1</v>
      </c>
    </row>
    <row r="68" spans="1:7" ht="19.5" customHeight="1">
      <c r="A68" s="2855" t="s">
        <v>2602</v>
      </c>
      <c r="B68" s="2823">
        <v>0.5</v>
      </c>
      <c r="C68" s="2823">
        <v>0.2</v>
      </c>
      <c r="D68" s="2823">
        <v>0.2</v>
      </c>
      <c r="E68" s="2823">
        <v>0.2</v>
      </c>
      <c r="F68" s="2823">
        <v>0.2</v>
      </c>
      <c r="G68" s="2823">
        <v>0.1</v>
      </c>
    </row>
    <row r="70" spans="1:7" ht="19.5" customHeight="1">
      <c r="A70" s="2837"/>
      <c r="B70" s="2856"/>
      <c r="C70" s="2856"/>
      <c r="D70" s="2856" t="s">
        <v>2639</v>
      </c>
      <c r="E70" s="2856"/>
      <c r="F70" s="2856"/>
    </row>
    <row r="71" spans="1:7" ht="19.5" customHeight="1">
      <c r="A71" s="2849" t="s">
        <v>2640</v>
      </c>
      <c r="B71" s="2849" t="s">
        <v>2641</v>
      </c>
      <c r="C71" s="2849" t="s">
        <v>2642</v>
      </c>
      <c r="D71" s="2849" t="s">
        <v>2643</v>
      </c>
      <c r="E71" s="2849" t="s">
        <v>2644</v>
      </c>
      <c r="F71" s="2849" t="s">
        <v>2645</v>
      </c>
    </row>
    <row r="72" spans="1:7" ht="13.5">
      <c r="A72" s="2849"/>
      <c r="B72" s="2849"/>
      <c r="C72" s="2849" t="s">
        <v>2646</v>
      </c>
      <c r="D72" s="2849"/>
      <c r="E72" s="2849" t="s">
        <v>2617</v>
      </c>
      <c r="F72" s="2849" t="s">
        <v>2617</v>
      </c>
    </row>
    <row r="73" spans="1:7" ht="13.5">
      <c r="A73" s="2849">
        <v>1</v>
      </c>
      <c r="B73" s="3505" t="s">
        <v>2647</v>
      </c>
      <c r="C73" s="2823" t="s">
        <v>2648</v>
      </c>
      <c r="D73" s="2823" t="s">
        <v>2649</v>
      </c>
      <c r="E73" s="2849">
        <v>0.2</v>
      </c>
      <c r="F73" s="2849">
        <v>25</v>
      </c>
    </row>
    <row r="74" spans="1:7" ht="24">
      <c r="A74" s="2849">
        <v>2</v>
      </c>
      <c r="B74" s="3500"/>
      <c r="C74" s="2823" t="s">
        <v>2650</v>
      </c>
      <c r="D74" s="2823" t="s">
        <v>2651</v>
      </c>
      <c r="E74" s="2849">
        <v>0.2</v>
      </c>
      <c r="F74" s="2849">
        <v>25</v>
      </c>
    </row>
    <row r="75" spans="1:7" ht="24">
      <c r="A75" s="2849">
        <v>3</v>
      </c>
      <c r="B75" s="3500"/>
      <c r="C75" s="2823" t="s">
        <v>2652</v>
      </c>
      <c r="D75" s="2823" t="s">
        <v>2653</v>
      </c>
      <c r="E75" s="2849">
        <v>0.2</v>
      </c>
      <c r="F75" s="2849">
        <v>25</v>
      </c>
    </row>
    <row r="76" spans="1:7" ht="13.5">
      <c r="A76" s="2849">
        <v>4</v>
      </c>
      <c r="B76" s="3500"/>
      <c r="C76" s="2823" t="s">
        <v>2654</v>
      </c>
      <c r="D76" s="2823" t="s">
        <v>2655</v>
      </c>
      <c r="E76" s="2849">
        <v>0.15</v>
      </c>
      <c r="F76" s="2849">
        <v>20</v>
      </c>
    </row>
    <row r="77" spans="1:7" ht="24">
      <c r="A77" s="2849">
        <v>5</v>
      </c>
      <c r="B77" s="3500"/>
      <c r="C77" s="2823" t="s">
        <v>2656</v>
      </c>
      <c r="D77" s="2823" t="s">
        <v>2657</v>
      </c>
      <c r="E77" s="2849">
        <v>0.15</v>
      </c>
      <c r="F77" s="2849">
        <v>20</v>
      </c>
    </row>
    <row r="78" spans="1:7" ht="24">
      <c r="A78" s="2849">
        <v>6</v>
      </c>
      <c r="B78" s="3500"/>
      <c r="C78" s="2823" t="s">
        <v>2658</v>
      </c>
      <c r="D78" s="2823" t="s">
        <v>2659</v>
      </c>
      <c r="E78" s="2849">
        <v>0.15</v>
      </c>
      <c r="F78" s="2849">
        <v>20</v>
      </c>
    </row>
    <row r="79" spans="1:7" ht="24">
      <c r="A79" s="2849">
        <v>7</v>
      </c>
      <c r="B79" s="3500"/>
      <c r="C79" s="2823" t="s">
        <v>2660</v>
      </c>
      <c r="D79" s="2823" t="s">
        <v>2661</v>
      </c>
      <c r="E79" s="2849">
        <v>0.15</v>
      </c>
      <c r="F79" s="2849">
        <v>20</v>
      </c>
    </row>
    <row r="80" spans="1:7" ht="24">
      <c r="A80" s="2849">
        <v>8</v>
      </c>
      <c r="B80" s="3500"/>
      <c r="C80" s="2823" t="s">
        <v>2662</v>
      </c>
      <c r="D80" s="2823" t="s">
        <v>2663</v>
      </c>
      <c r="E80" s="2849">
        <v>0.1</v>
      </c>
      <c r="F80" s="2849">
        <v>15</v>
      </c>
    </row>
    <row r="81" spans="1:6" ht="24">
      <c r="A81" s="2849">
        <v>9</v>
      </c>
      <c r="B81" s="3500"/>
      <c r="C81" s="2823" t="s">
        <v>2664</v>
      </c>
      <c r="D81" s="2823" t="s">
        <v>2665</v>
      </c>
      <c r="E81" s="2849">
        <v>0.1</v>
      </c>
      <c r="F81" s="2849">
        <v>15</v>
      </c>
    </row>
    <row r="82" spans="1:6" ht="24">
      <c r="A82" s="2849">
        <v>10</v>
      </c>
      <c r="B82" s="3500"/>
      <c r="C82" s="2823" t="s">
        <v>2666</v>
      </c>
      <c r="D82" s="2823" t="s">
        <v>2667</v>
      </c>
      <c r="E82" s="2849">
        <v>0.1</v>
      </c>
      <c r="F82" s="2849">
        <v>15</v>
      </c>
    </row>
    <row r="83" spans="1:6" ht="24">
      <c r="A83" s="2849">
        <v>11</v>
      </c>
      <c r="B83" s="3500"/>
      <c r="C83" s="2823" t="s">
        <v>2668</v>
      </c>
      <c r="D83" s="2823" t="s">
        <v>2669</v>
      </c>
      <c r="E83" s="2849">
        <v>0.1</v>
      </c>
      <c r="F83" s="2849">
        <v>15</v>
      </c>
    </row>
    <row r="84" spans="1:6" ht="24">
      <c r="A84" s="2849">
        <v>12</v>
      </c>
      <c r="B84" s="3500"/>
      <c r="C84" s="2823" t="s">
        <v>2670</v>
      </c>
      <c r="D84" s="2823" t="s">
        <v>2671</v>
      </c>
      <c r="E84" s="2849">
        <v>0.1</v>
      </c>
      <c r="F84" s="2849">
        <v>15</v>
      </c>
    </row>
    <row r="85" spans="1:6" ht="13.5">
      <c r="A85" s="2849">
        <v>13</v>
      </c>
      <c r="B85" s="3500"/>
      <c r="C85" s="2823" t="s">
        <v>2672</v>
      </c>
      <c r="D85" s="2823" t="s">
        <v>2673</v>
      </c>
      <c r="E85" s="2849">
        <v>0.1</v>
      </c>
      <c r="F85" s="2849">
        <v>15</v>
      </c>
    </row>
    <row r="86" spans="1:6" ht="13.5">
      <c r="A86" s="2849">
        <v>14</v>
      </c>
      <c r="B86" s="3500"/>
      <c r="C86" s="2823" t="s">
        <v>2674</v>
      </c>
      <c r="D86" s="2823" t="s">
        <v>2675</v>
      </c>
      <c r="E86" s="2849">
        <v>0.1</v>
      </c>
      <c r="F86" s="2849">
        <v>15</v>
      </c>
    </row>
    <row r="87" spans="1:6" ht="13.5">
      <c r="A87" s="2849">
        <v>15</v>
      </c>
      <c r="B87" s="3500"/>
      <c r="C87" s="2823" t="s">
        <v>2676</v>
      </c>
      <c r="D87" s="2823" t="s">
        <v>2677</v>
      </c>
      <c r="E87" s="2849">
        <v>0.1</v>
      </c>
      <c r="F87" s="2849">
        <v>15</v>
      </c>
    </row>
    <row r="88" spans="1:6" ht="24">
      <c r="A88" s="2849">
        <v>16</v>
      </c>
      <c r="B88" s="3500"/>
      <c r="C88" s="2823" t="s">
        <v>2678</v>
      </c>
      <c r="D88" s="2823" t="s">
        <v>2679</v>
      </c>
      <c r="E88" s="2849">
        <v>0.1</v>
      </c>
      <c r="F88" s="2849">
        <v>15</v>
      </c>
    </row>
    <row r="89" spans="1:6" ht="24">
      <c r="A89" s="2849">
        <v>17</v>
      </c>
      <c r="B89" s="3509"/>
      <c r="C89" s="2823" t="s">
        <v>2680</v>
      </c>
      <c r="D89" s="2823" t="s">
        <v>2681</v>
      </c>
      <c r="E89" s="2849">
        <v>0.1</v>
      </c>
      <c r="F89" s="2849">
        <v>15</v>
      </c>
    </row>
    <row r="90" spans="1:6" ht="13.5">
      <c r="A90" s="2849">
        <v>18</v>
      </c>
      <c r="B90" s="3505" t="s">
        <v>2682</v>
      </c>
      <c r="C90" s="2823" t="s">
        <v>2683</v>
      </c>
      <c r="D90" s="2823" t="s">
        <v>2684</v>
      </c>
      <c r="E90" s="2849">
        <v>0.2</v>
      </c>
      <c r="F90" s="2849">
        <v>25</v>
      </c>
    </row>
    <row r="91" spans="1:6" ht="24">
      <c r="A91" s="2849">
        <v>19</v>
      </c>
      <c r="B91" s="3500"/>
      <c r="C91" s="2823" t="s">
        <v>2685</v>
      </c>
      <c r="D91" s="2823" t="s">
        <v>2686</v>
      </c>
      <c r="E91" s="2849">
        <v>0.2</v>
      </c>
      <c r="F91" s="2849">
        <v>25</v>
      </c>
    </row>
    <row r="92" spans="1:6" ht="13.5">
      <c r="A92" s="2849">
        <v>20</v>
      </c>
      <c r="B92" s="3500"/>
      <c r="C92" s="2823" t="s">
        <v>2687</v>
      </c>
      <c r="D92" s="2823" t="s">
        <v>2688</v>
      </c>
      <c r="E92" s="2849">
        <v>0.15</v>
      </c>
      <c r="F92" s="2849">
        <v>20</v>
      </c>
    </row>
    <row r="93" spans="1:6" ht="13.5">
      <c r="A93" s="2849">
        <v>21</v>
      </c>
      <c r="B93" s="3500"/>
      <c r="C93" s="2823" t="s">
        <v>2689</v>
      </c>
      <c r="D93" s="2823" t="s">
        <v>2690</v>
      </c>
      <c r="E93" s="2849">
        <v>0.15</v>
      </c>
      <c r="F93" s="2849">
        <v>20</v>
      </c>
    </row>
    <row r="94" spans="1:6" ht="13.5">
      <c r="A94" s="2849">
        <v>22</v>
      </c>
      <c r="B94" s="3500"/>
      <c r="C94" s="2823" t="s">
        <v>2691</v>
      </c>
      <c r="D94" s="2823" t="s">
        <v>2692</v>
      </c>
      <c r="E94" s="2849">
        <v>0.15</v>
      </c>
      <c r="F94" s="2849">
        <v>20</v>
      </c>
    </row>
    <row r="95" spans="1:6" ht="36">
      <c r="A95" s="2849">
        <v>23</v>
      </c>
      <c r="B95" s="3500"/>
      <c r="C95" s="2823" t="s">
        <v>2693</v>
      </c>
      <c r="D95" s="2823" t="s">
        <v>2694</v>
      </c>
      <c r="E95" s="2849">
        <v>0.15</v>
      </c>
      <c r="F95" s="2849">
        <v>20</v>
      </c>
    </row>
    <row r="96" spans="1:6" ht="13.5">
      <c r="A96" s="2849">
        <v>24</v>
      </c>
      <c r="B96" s="3500"/>
      <c r="C96" s="2823" t="s">
        <v>2695</v>
      </c>
      <c r="D96" s="2823" t="s">
        <v>2696</v>
      </c>
      <c r="E96" s="2849">
        <v>0.1</v>
      </c>
      <c r="F96" s="2849">
        <v>15</v>
      </c>
    </row>
    <row r="97" spans="1:6" ht="13.5">
      <c r="A97" s="2849">
        <v>25</v>
      </c>
      <c r="B97" s="3500"/>
      <c r="C97" s="2823" t="s">
        <v>2697</v>
      </c>
      <c r="D97" s="2823" t="s">
        <v>2698</v>
      </c>
      <c r="E97" s="2849">
        <v>0.1</v>
      </c>
      <c r="F97" s="2849">
        <v>15</v>
      </c>
    </row>
    <row r="98" spans="1:6" ht="24">
      <c r="A98" s="2849">
        <v>26</v>
      </c>
      <c r="B98" s="3500"/>
      <c r="C98" s="2823" t="s">
        <v>2699</v>
      </c>
      <c r="D98" s="2823" t="s">
        <v>2700</v>
      </c>
      <c r="E98" s="2849">
        <v>0.1</v>
      </c>
      <c r="F98" s="2849">
        <v>15</v>
      </c>
    </row>
    <row r="99" spans="1:6" ht="24">
      <c r="A99" s="2849">
        <v>27</v>
      </c>
      <c r="B99" s="3500"/>
      <c r="C99" s="2823" t="s">
        <v>2701</v>
      </c>
      <c r="D99" s="2823" t="s">
        <v>2702</v>
      </c>
      <c r="E99" s="2849">
        <v>0.1</v>
      </c>
      <c r="F99" s="2849">
        <v>15</v>
      </c>
    </row>
    <row r="100" spans="1:6" ht="13.5">
      <c r="A100" s="2849">
        <v>28</v>
      </c>
      <c r="B100" s="3500"/>
      <c r="C100" s="2823" t="s">
        <v>2703</v>
      </c>
      <c r="D100" s="2823" t="s">
        <v>2704</v>
      </c>
      <c r="E100" s="2849">
        <v>0.1</v>
      </c>
      <c r="F100" s="2849">
        <v>15</v>
      </c>
    </row>
    <row r="101" spans="1:6" ht="13.5">
      <c r="A101" s="2849">
        <v>29</v>
      </c>
      <c r="B101" s="3500"/>
      <c r="C101" s="2823" t="s">
        <v>2705</v>
      </c>
      <c r="D101" s="2823" t="s">
        <v>2706</v>
      </c>
      <c r="E101" s="2849">
        <v>0.1</v>
      </c>
      <c r="F101" s="2849">
        <v>15</v>
      </c>
    </row>
    <row r="102" spans="1:6" ht="13.5">
      <c r="A102" s="2849">
        <v>30</v>
      </c>
      <c r="B102" s="3500"/>
      <c r="C102" s="2823" t="s">
        <v>2707</v>
      </c>
      <c r="D102" s="2823" t="s">
        <v>2708</v>
      </c>
      <c r="E102" s="2849">
        <v>0.1</v>
      </c>
      <c r="F102" s="2849">
        <v>15</v>
      </c>
    </row>
    <row r="103" spans="1:6" ht="24">
      <c r="A103" s="2849">
        <v>31</v>
      </c>
      <c r="B103" s="3500"/>
      <c r="C103" s="2823" t="s">
        <v>2709</v>
      </c>
      <c r="D103" s="2823" t="s">
        <v>2710</v>
      </c>
      <c r="E103" s="2849">
        <v>0.1</v>
      </c>
      <c r="F103" s="2849">
        <v>15</v>
      </c>
    </row>
    <row r="104" spans="1:6" ht="24">
      <c r="A104" s="2849">
        <v>32</v>
      </c>
      <c r="B104" s="3500"/>
      <c r="C104" s="2823" t="s">
        <v>2711</v>
      </c>
      <c r="D104" s="2823" t="s">
        <v>2712</v>
      </c>
      <c r="E104" s="2849">
        <v>0.1</v>
      </c>
      <c r="F104" s="2849">
        <v>15</v>
      </c>
    </row>
    <row r="105" spans="1:6" ht="24">
      <c r="A105" s="2849">
        <v>33</v>
      </c>
      <c r="B105" s="3500"/>
      <c r="C105" s="2823" t="s">
        <v>2713</v>
      </c>
      <c r="D105" s="2823" t="s">
        <v>2714</v>
      </c>
      <c r="E105" s="2849">
        <v>0.1</v>
      </c>
      <c r="F105" s="2849">
        <v>15</v>
      </c>
    </row>
    <row r="106" spans="1:6" ht="24">
      <c r="A106" s="2849">
        <v>34</v>
      </c>
      <c r="B106" s="3509"/>
      <c r="C106" s="2823" t="s">
        <v>2715</v>
      </c>
      <c r="D106" s="2823" t="s">
        <v>2716</v>
      </c>
      <c r="E106" s="2849">
        <v>0.1</v>
      </c>
      <c r="F106" s="2849">
        <v>15</v>
      </c>
    </row>
    <row r="107" spans="1:6" ht="24">
      <c r="A107" s="2849">
        <v>35</v>
      </c>
      <c r="B107" s="3505" t="s">
        <v>2717</v>
      </c>
      <c r="C107" s="2849" t="s">
        <v>2718</v>
      </c>
      <c r="D107" s="2823" t="s">
        <v>2719</v>
      </c>
      <c r="E107" s="2849">
        <v>0.15</v>
      </c>
      <c r="F107" s="2849">
        <v>20</v>
      </c>
    </row>
    <row r="108" spans="1:6" ht="13.5">
      <c r="A108" s="2849">
        <v>36</v>
      </c>
      <c r="B108" s="3500"/>
      <c r="C108" s="2849" t="s">
        <v>2720</v>
      </c>
      <c r="D108" s="2823" t="s">
        <v>2721</v>
      </c>
      <c r="E108" s="2849">
        <v>0.15</v>
      </c>
      <c r="F108" s="2849">
        <v>20</v>
      </c>
    </row>
    <row r="109" spans="1:6" ht="13.5">
      <c r="A109" s="2849">
        <v>37</v>
      </c>
      <c r="B109" s="3500"/>
      <c r="C109" s="2849" t="s">
        <v>2722</v>
      </c>
      <c r="D109" s="2823" t="s">
        <v>2723</v>
      </c>
      <c r="E109" s="2849">
        <v>0.15</v>
      </c>
      <c r="F109" s="2849">
        <v>20</v>
      </c>
    </row>
    <row r="110" spans="1:6" ht="13.5">
      <c r="A110" s="2849">
        <v>38</v>
      </c>
      <c r="B110" s="3500"/>
      <c r="C110" s="2849" t="s">
        <v>2724</v>
      </c>
      <c r="D110" s="2823" t="s">
        <v>2725</v>
      </c>
      <c r="E110" s="2849">
        <v>0.1</v>
      </c>
      <c r="F110" s="2849">
        <v>15</v>
      </c>
    </row>
    <row r="111" spans="1:6" ht="24">
      <c r="A111" s="2849">
        <v>39</v>
      </c>
      <c r="B111" s="3500"/>
      <c r="C111" s="2849" t="s">
        <v>2726</v>
      </c>
      <c r="D111" s="2823" t="s">
        <v>2727</v>
      </c>
      <c r="E111" s="2849">
        <v>0.1</v>
      </c>
      <c r="F111" s="2849">
        <v>15</v>
      </c>
    </row>
    <row r="112" spans="1:6" ht="24">
      <c r="A112" s="2849">
        <v>40</v>
      </c>
      <c r="B112" s="3509"/>
      <c r="C112" s="2849" t="s">
        <v>2728</v>
      </c>
      <c r="D112" s="2823" t="s">
        <v>2729</v>
      </c>
      <c r="E112" s="2849">
        <v>0.1</v>
      </c>
      <c r="F112" s="2849">
        <v>15</v>
      </c>
    </row>
    <row r="113" spans="1:6" ht="13.5">
      <c r="A113" s="2849">
        <v>41</v>
      </c>
      <c r="B113" s="3510" t="s">
        <v>2730</v>
      </c>
      <c r="C113" s="2849" t="s">
        <v>2731</v>
      </c>
      <c r="D113" s="2823" t="s">
        <v>2732</v>
      </c>
      <c r="E113" s="2849">
        <v>0.1</v>
      </c>
      <c r="F113" s="2849">
        <v>15</v>
      </c>
    </row>
    <row r="114" spans="1:6" ht="13.5">
      <c r="A114" s="2849">
        <v>42</v>
      </c>
      <c r="B114" s="3510"/>
      <c r="C114" s="2849" t="s">
        <v>2733</v>
      </c>
      <c r="D114" s="2823" t="s">
        <v>2734</v>
      </c>
      <c r="E114" s="2849">
        <v>0.1</v>
      </c>
      <c r="F114" s="2849">
        <v>15</v>
      </c>
    </row>
    <row r="115" spans="1:6" ht="24">
      <c r="A115" s="2849">
        <v>43</v>
      </c>
      <c r="B115" s="3510"/>
      <c r="C115" s="2849" t="s">
        <v>2735</v>
      </c>
      <c r="D115" s="2823" t="s">
        <v>2736</v>
      </c>
      <c r="E115" s="2849">
        <v>0.1</v>
      </c>
      <c r="F115" s="2849">
        <v>15</v>
      </c>
    </row>
    <row r="116" spans="1:6" ht="13.5">
      <c r="A116" s="2849">
        <v>44</v>
      </c>
      <c r="B116" s="3505" t="s">
        <v>2737</v>
      </c>
      <c r="C116" s="2849" t="s">
        <v>2738</v>
      </c>
      <c r="D116" s="2823" t="s">
        <v>2739</v>
      </c>
      <c r="E116" s="2849">
        <v>0.1</v>
      </c>
      <c r="F116" s="2849">
        <v>15</v>
      </c>
    </row>
    <row r="117" spans="1:6" ht="24">
      <c r="A117" s="2849">
        <v>45</v>
      </c>
      <c r="B117" s="3509"/>
      <c r="C117" s="2823" t="s">
        <v>2740</v>
      </c>
      <c r="D117" s="2823" t="s">
        <v>2741</v>
      </c>
      <c r="E117" s="2849">
        <v>0.1</v>
      </c>
      <c r="F117" s="2849">
        <v>15</v>
      </c>
    </row>
    <row r="118" spans="1:6" ht="24">
      <c r="A118" s="2849">
        <v>46</v>
      </c>
      <c r="B118" s="3505" t="s">
        <v>2742</v>
      </c>
      <c r="C118" s="2849" t="s">
        <v>2743</v>
      </c>
      <c r="D118" s="2823" t="s">
        <v>2744</v>
      </c>
      <c r="E118" s="2849">
        <v>0.1</v>
      </c>
      <c r="F118" s="2849">
        <v>15</v>
      </c>
    </row>
    <row r="119" spans="1:6" ht="24">
      <c r="A119" s="2849">
        <v>47</v>
      </c>
      <c r="B119" s="3509"/>
      <c r="C119" s="2849" t="s">
        <v>2745</v>
      </c>
      <c r="D119" s="2823" t="s">
        <v>2746</v>
      </c>
      <c r="E119" s="2849">
        <v>0.1</v>
      </c>
      <c r="F119" s="2849">
        <v>15</v>
      </c>
    </row>
    <row r="120" spans="1:6" ht="13.5">
      <c r="A120" s="2849">
        <v>48</v>
      </c>
      <c r="B120" s="3505" t="s">
        <v>2747</v>
      </c>
      <c r="C120" s="2849" t="s">
        <v>2748</v>
      </c>
      <c r="D120" s="2823" t="s">
        <v>2749</v>
      </c>
      <c r="E120" s="2849">
        <v>0.1</v>
      </c>
      <c r="F120" s="2849">
        <v>15</v>
      </c>
    </row>
    <row r="121" spans="1:6" ht="13.5">
      <c r="A121" s="2849">
        <v>49</v>
      </c>
      <c r="B121" s="3509"/>
      <c r="C121" s="2849" t="s">
        <v>2750</v>
      </c>
      <c r="D121" s="2823" t="s">
        <v>2751</v>
      </c>
      <c r="E121" s="2849">
        <v>0.1</v>
      </c>
      <c r="F121" s="2849">
        <v>15</v>
      </c>
    </row>
    <row r="122" spans="1:6" ht="24">
      <c r="A122" s="2849">
        <v>50</v>
      </c>
      <c r="B122" s="3510" t="s">
        <v>2752</v>
      </c>
      <c r="C122" s="2849" t="s">
        <v>2753</v>
      </c>
      <c r="D122" s="2823" t="s">
        <v>2754</v>
      </c>
      <c r="E122" s="2849">
        <v>0.1</v>
      </c>
      <c r="F122" s="2849">
        <v>15</v>
      </c>
    </row>
    <row r="123" spans="1:6" ht="24">
      <c r="A123" s="2849">
        <v>51</v>
      </c>
      <c r="B123" s="3510"/>
      <c r="C123" s="2849" t="s">
        <v>2755</v>
      </c>
      <c r="D123" s="2823" t="s">
        <v>2756</v>
      </c>
      <c r="E123" s="2849">
        <v>0.1</v>
      </c>
      <c r="F123" s="2849">
        <v>15</v>
      </c>
    </row>
    <row r="124" spans="1:6" ht="24">
      <c r="A124" s="2849">
        <v>52</v>
      </c>
      <c r="B124" s="3510" t="s">
        <v>2757</v>
      </c>
      <c r="C124" s="2849" t="s">
        <v>2758</v>
      </c>
      <c r="D124" s="2823" t="s">
        <v>2759</v>
      </c>
      <c r="E124" s="2849">
        <v>0.1</v>
      </c>
      <c r="F124" s="2849">
        <v>15</v>
      </c>
    </row>
    <row r="125" spans="1:6" ht="24">
      <c r="A125" s="2849">
        <v>53</v>
      </c>
      <c r="B125" s="3510"/>
      <c r="C125" s="2849" t="s">
        <v>2760</v>
      </c>
      <c r="D125" s="2823" t="s">
        <v>2761</v>
      </c>
      <c r="E125" s="2849">
        <v>0.1</v>
      </c>
      <c r="F125" s="2849">
        <v>15</v>
      </c>
    </row>
    <row r="126" spans="1:6" ht="13.5">
      <c r="A126" s="2849">
        <v>54</v>
      </c>
      <c r="B126" s="2849" t="s">
        <v>2762</v>
      </c>
      <c r="C126" s="2849" t="s">
        <v>2763</v>
      </c>
      <c r="D126" s="2823" t="s">
        <v>2764</v>
      </c>
      <c r="E126" s="2849">
        <v>0.1</v>
      </c>
      <c r="F126" s="2849">
        <v>15</v>
      </c>
    </row>
    <row r="127" spans="1:6" ht="13.5">
      <c r="A127" s="2849">
        <v>55</v>
      </c>
      <c r="B127" s="3510" t="s">
        <v>2765</v>
      </c>
      <c r="C127" s="2849" t="s">
        <v>2766</v>
      </c>
      <c r="D127" s="2823" t="s">
        <v>2767</v>
      </c>
      <c r="E127" s="2849">
        <v>0.1</v>
      </c>
      <c r="F127" s="2849">
        <v>15</v>
      </c>
    </row>
    <row r="128" spans="1:6" ht="13.5">
      <c r="A128" s="2849">
        <v>56</v>
      </c>
      <c r="B128" s="3510"/>
      <c r="C128" s="2849" t="s">
        <v>2768</v>
      </c>
      <c r="D128" s="2823" t="s">
        <v>2769</v>
      </c>
      <c r="E128" s="2849">
        <v>0.1</v>
      </c>
      <c r="F128" s="2849">
        <v>15</v>
      </c>
    </row>
    <row r="129" spans="1:6" ht="24">
      <c r="A129" s="2849">
        <v>57</v>
      </c>
      <c r="B129" s="3510"/>
      <c r="C129" s="2849" t="s">
        <v>2770</v>
      </c>
      <c r="D129" s="2823" t="s">
        <v>2771</v>
      </c>
      <c r="E129" s="2849">
        <v>0.1</v>
      </c>
      <c r="F129" s="2849">
        <v>15</v>
      </c>
    </row>
    <row r="130" spans="1:6" ht="24">
      <c r="A130" s="2849">
        <v>58</v>
      </c>
      <c r="B130" s="3510" t="s">
        <v>2772</v>
      </c>
      <c r="C130" s="2849" t="s">
        <v>2773</v>
      </c>
      <c r="D130" s="2823" t="s">
        <v>2774</v>
      </c>
      <c r="E130" s="2849">
        <v>0.1</v>
      </c>
      <c r="F130" s="2849">
        <v>15</v>
      </c>
    </row>
    <row r="131" spans="1:6" ht="13.5">
      <c r="A131" s="2849">
        <v>59</v>
      </c>
      <c r="B131" s="3510"/>
      <c r="C131" s="2849" t="s">
        <v>2775</v>
      </c>
      <c r="D131" s="2823" t="s">
        <v>2776</v>
      </c>
      <c r="E131" s="2849">
        <v>0.1</v>
      </c>
      <c r="F131" s="2849">
        <v>15</v>
      </c>
    </row>
    <row r="132" spans="1:6" ht="13.5">
      <c r="A132" s="2849">
        <v>60</v>
      </c>
      <c r="B132" s="3505" t="s">
        <v>2777</v>
      </c>
      <c r="C132" s="2849" t="s">
        <v>2778</v>
      </c>
      <c r="D132" s="2823" t="s">
        <v>2779</v>
      </c>
      <c r="E132" s="2849">
        <v>0.1</v>
      </c>
      <c r="F132" s="2849">
        <v>15</v>
      </c>
    </row>
    <row r="133" spans="1:6" ht="13.5">
      <c r="A133" s="2849">
        <v>61</v>
      </c>
      <c r="B133" s="3509"/>
      <c r="C133" s="2849" t="s">
        <v>2780</v>
      </c>
      <c r="D133" s="2823" t="s">
        <v>2781</v>
      </c>
      <c r="E133" s="2849">
        <v>0.1</v>
      </c>
      <c r="F133" s="2849">
        <v>15</v>
      </c>
    </row>
    <row r="134" spans="1:6" ht="24">
      <c r="A134" s="2849">
        <v>62</v>
      </c>
      <c r="B134" s="2849" t="s">
        <v>2782</v>
      </c>
      <c r="C134" s="2849" t="s">
        <v>2783</v>
      </c>
      <c r="D134" s="2823" t="s">
        <v>2784</v>
      </c>
      <c r="E134" s="2849">
        <v>0.1</v>
      </c>
      <c r="F134" s="2849">
        <v>15</v>
      </c>
    </row>
    <row r="135" spans="1:6" ht="13.5">
      <c r="A135" s="2849">
        <v>63</v>
      </c>
      <c r="B135" s="3510" t="s">
        <v>2785</v>
      </c>
      <c r="C135" s="2849" t="s">
        <v>2786</v>
      </c>
      <c r="D135" s="2823" t="s">
        <v>2787</v>
      </c>
      <c r="E135" s="2849">
        <v>0.1</v>
      </c>
      <c r="F135" s="2849">
        <v>15</v>
      </c>
    </row>
    <row r="136" spans="1:6" ht="13.5">
      <c r="A136" s="2849">
        <v>64</v>
      </c>
      <c r="B136" s="3510"/>
      <c r="C136" s="2849" t="s">
        <v>2788</v>
      </c>
      <c r="D136" s="2823" t="s">
        <v>2789</v>
      </c>
      <c r="E136" s="2849">
        <v>0.1</v>
      </c>
      <c r="F136" s="2849">
        <v>15</v>
      </c>
    </row>
    <row r="137" spans="1:6" ht="13.5">
      <c r="A137" s="2849">
        <v>65</v>
      </c>
      <c r="B137" s="2849" t="s">
        <v>2790</v>
      </c>
      <c r="C137" s="2849" t="s">
        <v>2791</v>
      </c>
      <c r="D137" s="2823" t="s">
        <v>2792</v>
      </c>
      <c r="E137" s="2849">
        <v>0.1</v>
      </c>
      <c r="F137" s="2849">
        <v>15</v>
      </c>
    </row>
    <row r="138" spans="1:6" ht="13.5">
      <c r="A138" s="2849"/>
      <c r="B138" s="2849"/>
      <c r="C138" s="2849"/>
      <c r="D138" s="2849"/>
      <c r="E138" s="2849" t="s">
        <v>2793</v>
      </c>
      <c r="F138" s="2849"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1"/>
  </cols>
  <sheetData>
    <row r="1" spans="1:20" ht="15" thickBot="1">
      <c r="A1" s="2857" t="s">
        <v>2794</v>
      </c>
      <c r="B1" s="2857"/>
      <c r="C1" s="2857"/>
      <c r="D1" s="2857"/>
      <c r="E1" s="2857"/>
      <c r="F1" s="2857"/>
      <c r="G1" s="2857"/>
      <c r="H1" s="2857"/>
      <c r="I1" s="2857"/>
      <c r="J1" s="2857"/>
      <c r="K1" s="2857"/>
      <c r="L1" s="2857"/>
      <c r="M1" s="2857"/>
      <c r="N1" s="704"/>
    </row>
    <row r="2" spans="1:20">
      <c r="A2" s="2858" t="s">
        <v>2795</v>
      </c>
      <c r="B2" s="2859" t="s">
        <v>2591</v>
      </c>
      <c r="C2" s="2859" t="s">
        <v>2592</v>
      </c>
      <c r="D2" s="2859" t="s">
        <v>2593</v>
      </c>
      <c r="E2" s="2859" t="s">
        <v>2594</v>
      </c>
      <c r="F2" s="2859" t="s">
        <v>2595</v>
      </c>
      <c r="G2" s="2859" t="s">
        <v>2596</v>
      </c>
      <c r="H2" s="2860" t="s">
        <v>2597</v>
      </c>
      <c r="I2" s="2860" t="s">
        <v>2598</v>
      </c>
      <c r="J2" s="2861" t="s">
        <v>2599</v>
      </c>
      <c r="K2" s="2861" t="s">
        <v>2600</v>
      </c>
      <c r="L2" s="2861" t="s">
        <v>2601</v>
      </c>
      <c r="M2" s="2862" t="s">
        <v>2602</v>
      </c>
      <c r="Q2" s="2872" t="s">
        <v>2800</v>
      </c>
      <c r="R2" s="2872" t="s">
        <v>2801</v>
      </c>
      <c r="S2" s="2872" t="s">
        <v>2802</v>
      </c>
      <c r="T2" s="2872" t="s">
        <v>2803</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4.2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5" thickBot="1">
      <c r="A93" s="2857" t="s">
        <v>2796</v>
      </c>
      <c r="B93" s="2857"/>
      <c r="C93" s="2857"/>
      <c r="D93" s="2857"/>
      <c r="E93" s="2857"/>
      <c r="F93" s="2857"/>
      <c r="G93" s="2857"/>
      <c r="H93" s="2857"/>
      <c r="I93" s="2857"/>
      <c r="J93" s="2857"/>
      <c r="K93" s="2857"/>
      <c r="L93" s="2857"/>
      <c r="M93" s="2857"/>
    </row>
    <row r="94" spans="1:20">
      <c r="A94" s="2858" t="s">
        <v>2795</v>
      </c>
      <c r="B94" s="2859" t="s">
        <v>2591</v>
      </c>
      <c r="C94" s="2859" t="s">
        <v>2592</v>
      </c>
      <c r="D94" s="2859" t="s">
        <v>2593</v>
      </c>
      <c r="E94" s="2859" t="s">
        <v>2594</v>
      </c>
      <c r="F94" s="2859" t="s">
        <v>2595</v>
      </c>
      <c r="G94" s="2859" t="s">
        <v>2596</v>
      </c>
      <c r="H94" s="2860" t="s">
        <v>2597</v>
      </c>
      <c r="I94" s="2860" t="s">
        <v>2598</v>
      </c>
      <c r="J94" s="2861" t="s">
        <v>2599</v>
      </c>
      <c r="K94" s="2861" t="s">
        <v>2600</v>
      </c>
      <c r="L94" s="2861" t="s">
        <v>2601</v>
      </c>
      <c r="M94" s="2862" t="s">
        <v>2602</v>
      </c>
      <c r="N94">
        <f>SUMPRODUCT((A95:A184=ROUNDDOWN(基准地价修正!G3,1))*(B94:M94=基准地价修正!G2)*(B95:M184))</f>
        <v>0.96309999999999996</v>
      </c>
      <c r="Q94" s="2872" t="s">
        <v>2800</v>
      </c>
      <c r="R94" s="2872" t="s">
        <v>2801</v>
      </c>
      <c r="S94" s="2872" t="s">
        <v>2802</v>
      </c>
      <c r="T94" s="2872" t="s">
        <v>2803</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4.25">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4.25">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4.2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5" thickBot="1">
      <c r="A185" s="2857" t="s">
        <v>2797</v>
      </c>
      <c r="B185" s="2857"/>
      <c r="C185" s="2857"/>
      <c r="D185" s="2857"/>
      <c r="E185" s="2857"/>
      <c r="F185" s="2857"/>
      <c r="G185" s="2857"/>
      <c r="H185" s="2857"/>
      <c r="I185" s="2857"/>
      <c r="J185" s="2857"/>
      <c r="K185" s="2857"/>
      <c r="L185" s="2857"/>
      <c r="M185" s="2857"/>
    </row>
    <row r="186" spans="1:20">
      <c r="A186" s="2858" t="s">
        <v>2795</v>
      </c>
      <c r="B186" s="2859" t="s">
        <v>2591</v>
      </c>
      <c r="C186" s="2859" t="s">
        <v>2592</v>
      </c>
      <c r="D186" s="2859" t="s">
        <v>2593</v>
      </c>
      <c r="E186" s="2859" t="s">
        <v>2594</v>
      </c>
      <c r="F186" s="2859" t="s">
        <v>2595</v>
      </c>
      <c r="G186" s="2859" t="s">
        <v>2596</v>
      </c>
      <c r="H186" s="2860" t="s">
        <v>2597</v>
      </c>
      <c r="I186" s="2860" t="s">
        <v>2598</v>
      </c>
      <c r="J186" s="2861" t="s">
        <v>2599</v>
      </c>
      <c r="K186" s="2861" t="s">
        <v>2600</v>
      </c>
      <c r="L186" s="2861" t="s">
        <v>2601</v>
      </c>
      <c r="M186" s="2862" t="s">
        <v>2602</v>
      </c>
      <c r="Q186" s="2872" t="s">
        <v>2800</v>
      </c>
      <c r="R186" s="2872" t="s">
        <v>2801</v>
      </c>
      <c r="S186" s="2872" t="s">
        <v>2802</v>
      </c>
      <c r="T186" s="2872" t="s">
        <v>2803</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4.2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5" thickBot="1">
      <c r="A277" s="2857" t="s">
        <v>2798</v>
      </c>
      <c r="B277" s="2857"/>
      <c r="C277" s="2857"/>
      <c r="D277" s="2857"/>
      <c r="E277" s="2857"/>
      <c r="F277" s="2857"/>
      <c r="G277" s="2857"/>
      <c r="H277" s="2857"/>
      <c r="I277" s="2857"/>
      <c r="J277" s="2857"/>
      <c r="K277" s="2857"/>
      <c r="L277" s="2857"/>
      <c r="M277" s="2857"/>
    </row>
    <row r="278" spans="1:21">
      <c r="A278" s="2858" t="s">
        <v>2795</v>
      </c>
      <c r="B278" s="2859" t="s">
        <v>2591</v>
      </c>
      <c r="C278" s="2859" t="s">
        <v>2592</v>
      </c>
      <c r="D278" s="2859" t="s">
        <v>2593</v>
      </c>
      <c r="E278" s="2859" t="s">
        <v>2594</v>
      </c>
      <c r="F278" s="2859" t="s">
        <v>2595</v>
      </c>
      <c r="G278" s="2859" t="s">
        <v>2596</v>
      </c>
      <c r="H278" s="2860" t="s">
        <v>2597</v>
      </c>
      <c r="I278" s="2860" t="s">
        <v>2598</v>
      </c>
      <c r="J278" s="2861" t="s">
        <v>2599</v>
      </c>
      <c r="K278" s="2861" t="s">
        <v>2600</v>
      </c>
      <c r="L278" s="2861" t="s">
        <v>2601</v>
      </c>
      <c r="M278" s="2862" t="s">
        <v>2602</v>
      </c>
      <c r="Q278" s="2872" t="s">
        <v>2800</v>
      </c>
      <c r="R278" s="2872" t="s">
        <v>2801</v>
      </c>
      <c r="S278" s="2872" t="s">
        <v>2804</v>
      </c>
      <c r="T278" s="2872" t="s">
        <v>2805</v>
      </c>
      <c r="U278" s="2872" t="s">
        <v>2803</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4.2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5" thickBot="1">
      <c r="A369" s="2857" t="s">
        <v>2799</v>
      </c>
      <c r="B369" s="2870"/>
      <c r="C369" s="2870"/>
      <c r="D369" s="2870"/>
      <c r="E369" s="2870"/>
      <c r="F369" s="2870"/>
      <c r="G369" s="2870"/>
      <c r="H369" s="2870"/>
      <c r="I369" s="2870"/>
      <c r="J369" s="2870"/>
      <c r="K369" s="2870"/>
      <c r="L369" s="2870"/>
      <c r="M369" s="2870"/>
    </row>
    <row r="370" spans="1:20">
      <c r="A370" s="2858" t="s">
        <v>2795</v>
      </c>
      <c r="B370" s="2859" t="s">
        <v>2591</v>
      </c>
      <c r="C370" s="2859" t="s">
        <v>2592</v>
      </c>
      <c r="D370" s="2859" t="s">
        <v>2593</v>
      </c>
      <c r="E370" s="2859" t="s">
        <v>2594</v>
      </c>
      <c r="F370" s="2859" t="s">
        <v>2595</v>
      </c>
      <c r="G370" s="2859" t="s">
        <v>2596</v>
      </c>
      <c r="H370" s="2860" t="s">
        <v>2597</v>
      </c>
      <c r="I370" s="2860" t="s">
        <v>2598</v>
      </c>
      <c r="J370" s="2861" t="s">
        <v>2599</v>
      </c>
      <c r="K370" s="2861" t="s">
        <v>2600</v>
      </c>
      <c r="L370" s="2861" t="s">
        <v>2601</v>
      </c>
      <c r="M370" s="2862" t="s">
        <v>2602</v>
      </c>
      <c r="N370">
        <f>SUMPRODUCT((A371:A460=ROUNDDOWN(基准地价修正!G3,1))*(B370:M370=基准地价修正!G2)*(B371:M460))</f>
        <v>0.91610000000000003</v>
      </c>
      <c r="Q370" s="2872" t="s">
        <v>2800</v>
      </c>
      <c r="R370" s="2872" t="s">
        <v>2801</v>
      </c>
      <c r="S370" s="2872" t="s">
        <v>2802</v>
      </c>
      <c r="T370" s="2872" t="s">
        <v>2803</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4.2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118382</v>
      </c>
      <c r="C2" s="2" t="s">
        <v>106</v>
      </c>
      <c r="D2" s="191"/>
      <c r="E2" s="191"/>
      <c r="F2" s="191"/>
      <c r="G2" s="191"/>
    </row>
    <row r="3" spans="1:7" s="192" customFormat="1" ht="18" customHeight="1" thickBot="1">
      <c r="A3" s="195" t="s">
        <v>58</v>
      </c>
      <c r="B3" s="196">
        <f ca="1">ROUND(B2*10000/'数据-汇总表'!E3,0)</f>
        <v>10884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2175</v>
      </c>
      <c r="D10" s="792">
        <f>'数据-汇总表'!E6</f>
        <v>108765.47999999998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2175</v>
      </c>
      <c r="D19" s="204">
        <f>'数据-汇总表'!E3</f>
        <v>108765.47999999998</v>
      </c>
      <c r="E19" s="203">
        <f>'数据-取费表'!B31</f>
        <v>200</v>
      </c>
      <c r="F19" s="223"/>
      <c r="G19" s="1" t="s">
        <v>436</v>
      </c>
    </row>
    <row r="20" spans="1:7" s="206" customFormat="1" ht="13.5" customHeight="1">
      <c r="A20" s="728" t="s">
        <v>419</v>
      </c>
      <c r="B20" s="202" t="s">
        <v>77</v>
      </c>
      <c r="C20" s="224">
        <f>ROUND((C5+C19)*F20,0)</f>
        <v>684</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1815</v>
      </c>
      <c r="D22" s="227">
        <f ca="1">C26</f>
        <v>1.1999999999999999E-3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1618</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171</v>
      </c>
      <c r="D24" s="230"/>
      <c r="E24" s="230"/>
      <c r="F24" s="231"/>
      <c r="G24" s="232" t="s">
        <v>82</v>
      </c>
    </row>
    <row r="25" spans="1:7" s="206" customFormat="1" ht="24">
      <c r="A25" s="731" t="s">
        <v>348</v>
      </c>
      <c r="B25" s="207" t="s">
        <v>420</v>
      </c>
      <c r="C25" s="1039">
        <f ca="1">ROUND(IF('数据-取费表'!B22&lt;=1,C20*F22*'数据-取费表'!B23/2,C20*(POWER((1+F22),'数据-取费表'!B23/2)-1)),0)</f>
        <v>26</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3485</v>
      </c>
      <c r="D27" s="227">
        <f>C29</f>
        <v>4.4999999999999997E-3</v>
      </c>
      <c r="E27" s="228" t="s">
        <v>99</v>
      </c>
      <c r="F27" s="238">
        <f>'数据-取费表'!Q16</f>
        <v>0.15</v>
      </c>
      <c r="G27" s="239" t="s">
        <v>431</v>
      </c>
    </row>
    <row r="28" spans="1:7" s="206" customFormat="1" ht="13.5" customHeight="1">
      <c r="A28" s="731" t="s">
        <v>349</v>
      </c>
      <c r="B28" s="240" t="s">
        <v>424</v>
      </c>
      <c r="C28" s="241">
        <f>ROUND((C5+C19+C20)*F27*'数据-取费表'!B21/'数据-取费表'!B20,0)</f>
        <v>3485</v>
      </c>
      <c r="D28" s="227"/>
      <c r="E28" s="228"/>
      <c r="F28" s="238"/>
      <c r="G28" s="239"/>
    </row>
    <row r="29" spans="1:7" s="206" customFormat="1" ht="13.5" customHeight="1">
      <c r="A29" s="731" t="s">
        <v>347</v>
      </c>
      <c r="B29" s="240" t="s">
        <v>425</v>
      </c>
      <c r="C29" s="230">
        <f>ROUND(C21*F27*'数据-取费表'!B21/'数据-取费表'!B20,4)</f>
        <v>4.4999999999999997E-3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31581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64593</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57814</v>
      </c>
      <c r="D34" s="209"/>
      <c r="E34" s="212"/>
      <c r="F34" s="249">
        <f>IF('数据-取费表'!B24=0,1,'数据-取费表'!N16)</f>
        <v>0.99</v>
      </c>
      <c r="G34" s="211" t="s">
        <v>89</v>
      </c>
    </row>
    <row r="35" spans="1:7" ht="13.5" customHeight="1">
      <c r="A35" s="731" t="s">
        <v>351</v>
      </c>
      <c r="B35" s="207" t="s">
        <v>33</v>
      </c>
      <c r="C35" s="212">
        <f>ROUND(C34*F35,0)</f>
        <v>2891</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2154</v>
      </c>
      <c r="D37" s="209">
        <f>'数据-汇总表'!E3</f>
        <v>108765.47999999998</v>
      </c>
      <c r="E37" s="241">
        <f>'数据-取费表'!B35</f>
        <v>200</v>
      </c>
      <c r="F37" s="251"/>
      <c r="G37" s="253" t="s">
        <v>92</v>
      </c>
    </row>
    <row r="38" spans="1:7" ht="13.5" customHeight="1">
      <c r="A38" s="731" t="s">
        <v>354</v>
      </c>
      <c r="B38" s="207" t="s">
        <v>36</v>
      </c>
      <c r="C38" s="212">
        <f>ROUND(C34*F38,0)</f>
        <v>1734</v>
      </c>
      <c r="D38" s="212"/>
      <c r="E38" s="212"/>
      <c r="F38" s="251">
        <f>'数据-取费表'!B36</f>
        <v>0.03</v>
      </c>
      <c r="G38" s="211" t="s">
        <v>90</v>
      </c>
    </row>
    <row r="39" spans="1:7" s="206" customFormat="1" ht="13.5" customHeight="1">
      <c r="A39" s="728" t="s">
        <v>338</v>
      </c>
      <c r="B39" s="202" t="s">
        <v>77</v>
      </c>
      <c r="C39" s="224">
        <f>ROUND(C33*F20,0)</f>
        <v>1938</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2562</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2487</v>
      </c>
      <c r="D42" s="230"/>
      <c r="E42" s="230"/>
      <c r="F42" s="231"/>
      <c r="G42" s="3440" t="s">
        <v>94</v>
      </c>
    </row>
    <row r="43" spans="1:7" ht="13.5" customHeight="1">
      <c r="A43" s="731" t="s">
        <v>347</v>
      </c>
      <c r="B43" s="207" t="s">
        <v>426</v>
      </c>
      <c r="C43" s="230">
        <f ca="1">ROUND(IF('数据-取费表'!B22&lt;=1,C39*F22*'数据-取费表'!B21/2,C39*(POWER((1+F22),'数据-取费表'!B21/2)-1)),0)</f>
        <v>75</v>
      </c>
      <c r="D43" s="230"/>
      <c r="E43" s="230"/>
      <c r="F43" s="231"/>
      <c r="G43" s="3441"/>
    </row>
    <row r="44" spans="1:7" ht="13.5" customHeight="1">
      <c r="A44" s="731" t="s">
        <v>348</v>
      </c>
      <c r="B44" s="207" t="s">
        <v>428</v>
      </c>
      <c r="C44" s="230">
        <f ca="1">ROUND(IF('数据-取费表'!B22&lt;=1,C40*F22*'数据-取费表'!B21/2,C40*(POWER((1+F22),'数据-取费表'!B21/2)-1)),4)</f>
        <v>1.1999999999999999E-3</v>
      </c>
      <c r="D44" s="230"/>
      <c r="E44" s="230"/>
      <c r="F44" s="231"/>
      <c r="G44" s="3442"/>
    </row>
    <row r="45" spans="1:7" s="206" customFormat="1" ht="13.5" customHeight="1">
      <c r="A45" s="728" t="s">
        <v>341</v>
      </c>
      <c r="B45" s="236" t="s">
        <v>85</v>
      </c>
      <c r="C45" s="237">
        <f>C46</f>
        <v>9980</v>
      </c>
      <c r="D45" s="227">
        <f>C47</f>
        <v>4.4999999999999997E-3</v>
      </c>
      <c r="E45" s="228" t="s">
        <v>102</v>
      </c>
      <c r="F45" s="238"/>
      <c r="G45" s="239" t="s">
        <v>434</v>
      </c>
    </row>
    <row r="46" spans="1:7" s="206" customFormat="1" ht="13.5" customHeight="1">
      <c r="A46" s="731" t="s">
        <v>349</v>
      </c>
      <c r="B46" s="240" t="s">
        <v>427</v>
      </c>
      <c r="C46" s="241">
        <f>ROUND((C33+C39)*F27,0)</f>
        <v>9980</v>
      </c>
      <c r="D46" s="255"/>
      <c r="E46" s="228"/>
      <c r="F46" s="238"/>
      <c r="G46" s="239"/>
    </row>
    <row r="47" spans="1:7" s="206" customFormat="1" ht="13.5" customHeight="1">
      <c r="A47" s="731" t="s">
        <v>347</v>
      </c>
      <c r="B47" s="240" t="s">
        <v>429</v>
      </c>
      <c r="C47" s="230">
        <f>ROUND(C40*F27,4)</f>
        <v>4.4999999999999997E-3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86801</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86801</v>
      </c>
      <c r="D51" s="224"/>
      <c r="E51" s="224"/>
      <c r="F51" s="256"/>
      <c r="G51" s="226" t="s">
        <v>37</v>
      </c>
    </row>
    <row r="52" spans="1:7" s="200" customFormat="1" ht="16.5" thickBot="1">
      <c r="A52" s="257" t="s">
        <v>38</v>
      </c>
      <c r="B52" s="258"/>
      <c r="C52" s="259">
        <f ca="1">C31+C51</f>
        <v>118382</v>
      </c>
      <c r="D52" s="258"/>
      <c r="E52" s="258"/>
      <c r="F52" s="258"/>
      <c r="G52" s="260"/>
    </row>
    <row r="55" spans="1:7" ht="15">
      <c r="B55" s="262" t="s">
        <v>39</v>
      </c>
      <c r="C55" s="263"/>
    </row>
    <row r="56" spans="1:7">
      <c r="B56" s="265" t="s">
        <v>40</v>
      </c>
      <c r="C56" s="266">
        <f ca="1">ROUND(C51/C52,3)</f>
        <v>0.73299999999999998</v>
      </c>
    </row>
    <row r="57" spans="1:7">
      <c r="B57" s="265" t="s">
        <v>41</v>
      </c>
      <c r="C57" s="267">
        <f ca="1">1-C56</f>
        <v>0.26700000000000002</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sqref="A1:G29"/>
    </sheetView>
  </sheetViews>
  <sheetFormatPr defaultColWidth="8.875" defaultRowHeight="11.25"/>
  <cols>
    <col min="1" max="1" width="9.625" style="3127" customWidth="1"/>
    <col min="2" max="2" width="18.625" style="3127" customWidth="1"/>
    <col min="3" max="6" width="10.25" style="3127" customWidth="1"/>
    <col min="7" max="7" width="10.5" style="3127" bestFit="1" customWidth="1"/>
    <col min="8" max="8" width="8.875" style="3123"/>
    <col min="9" max="9" width="13.375" style="3123" customWidth="1"/>
    <col min="10" max="13" width="13.375" style="3127" customWidth="1"/>
    <col min="14" max="14" width="18.25" style="3127" customWidth="1"/>
    <col min="15" max="17" width="15.125" style="3127" customWidth="1"/>
    <col min="18" max="20" width="11.5" style="3127" customWidth="1"/>
    <col min="21" max="16384" width="8.875" style="3127"/>
  </cols>
  <sheetData>
    <row r="1" spans="1:20" ht="12" thickBot="1">
      <c r="A1" s="3513" t="s">
        <v>2835</v>
      </c>
      <c r="B1" s="3513"/>
      <c r="C1" s="3513"/>
      <c r="D1" s="3513"/>
      <c r="E1" s="3513"/>
      <c r="F1" s="3513"/>
      <c r="G1" s="3514"/>
      <c r="I1" s="3124" t="s">
        <v>2836</v>
      </c>
      <c r="J1" s="3125" t="s">
        <v>2837</v>
      </c>
      <c r="K1" s="3125" t="s">
        <v>2838</v>
      </c>
      <c r="L1" s="3125" t="s">
        <v>2839</v>
      </c>
      <c r="M1" s="3125" t="s">
        <v>2840</v>
      </c>
      <c r="N1" s="3125" t="s">
        <v>2841</v>
      </c>
      <c r="O1" s="3125" t="s">
        <v>2842</v>
      </c>
      <c r="P1" s="3125" t="s">
        <v>2843</v>
      </c>
      <c r="Q1" s="3125" t="s">
        <v>2844</v>
      </c>
      <c r="R1" s="3125" t="s">
        <v>2845</v>
      </c>
      <c r="S1" s="3125" t="s">
        <v>2846</v>
      </c>
      <c r="T1" s="3126" t="s">
        <v>2847</v>
      </c>
    </row>
    <row r="2" spans="1:20" ht="12" thickBot="1">
      <c r="A2" s="3128" t="s">
        <v>2848</v>
      </c>
      <c r="B2" s="3128"/>
      <c r="C2" s="3128"/>
      <c r="D2" s="3128"/>
      <c r="E2" s="3128"/>
      <c r="F2" s="3128"/>
      <c r="G2" s="3129" t="s">
        <v>2849</v>
      </c>
      <c r="I2" s="3130" t="s">
        <v>2850</v>
      </c>
      <c r="J2" s="3130" t="s">
        <v>2851</v>
      </c>
      <c r="K2" s="3130" t="s">
        <v>2852</v>
      </c>
      <c r="L2" s="3130" t="s">
        <v>2853</v>
      </c>
      <c r="M2" s="3130" t="s">
        <v>2854</v>
      </c>
      <c r="N2" s="3130" t="s">
        <v>2855</v>
      </c>
      <c r="O2" s="3130" t="s">
        <v>2856</v>
      </c>
      <c r="P2" s="3130" t="s">
        <v>2857</v>
      </c>
      <c r="Q2" s="3130" t="s">
        <v>2858</v>
      </c>
      <c r="R2" s="3130" t="s">
        <v>2859</v>
      </c>
      <c r="S2" s="3130" t="s">
        <v>2860</v>
      </c>
      <c r="T2" s="3130" t="s">
        <v>2861</v>
      </c>
    </row>
    <row r="3" spans="1:20" s="3136" customFormat="1">
      <c r="A3" s="3511" t="s">
        <v>2862</v>
      </c>
      <c r="B3" s="3131"/>
      <c r="C3" s="3132" t="s">
        <v>2807</v>
      </c>
      <c r="D3" s="3132" t="s">
        <v>2863</v>
      </c>
      <c r="E3" s="3132" t="s">
        <v>2809</v>
      </c>
      <c r="F3" s="3132" t="s">
        <v>2864</v>
      </c>
      <c r="G3" s="3132" t="s">
        <v>2627</v>
      </c>
      <c r="H3" s="3133"/>
      <c r="I3" s="3134" t="s">
        <v>2865</v>
      </c>
      <c r="J3" s="3135" t="s">
        <v>128</v>
      </c>
      <c r="K3" s="3135" t="s">
        <v>129</v>
      </c>
      <c r="L3" s="3134" t="s">
        <v>130</v>
      </c>
      <c r="M3" s="3134" t="s">
        <v>131</v>
      </c>
      <c r="N3" s="3134" t="s">
        <v>132</v>
      </c>
      <c r="O3" s="3134" t="s">
        <v>133</v>
      </c>
      <c r="P3" s="3134" t="s">
        <v>134</v>
      </c>
      <c r="Q3" s="3134" t="s">
        <v>135</v>
      </c>
      <c r="R3" s="3134" t="s">
        <v>136</v>
      </c>
      <c r="S3" s="3134" t="s">
        <v>2866</v>
      </c>
      <c r="T3" s="3134" t="s">
        <v>2867</v>
      </c>
    </row>
    <row r="4" spans="1:20" s="3136" customFormat="1" ht="12" thickBot="1">
      <c r="A4" s="3512"/>
      <c r="B4" s="3137" t="s">
        <v>2868</v>
      </c>
      <c r="C4" s="3137" t="s">
        <v>2869</v>
      </c>
      <c r="D4" s="3137" t="s">
        <v>2869</v>
      </c>
      <c r="E4" s="3137" t="s">
        <v>2869</v>
      </c>
      <c r="F4" s="3138" t="s">
        <v>2869</v>
      </c>
      <c r="G4" s="3138" t="s">
        <v>2869</v>
      </c>
      <c r="H4" s="3133"/>
      <c r="I4" s="3135" t="s">
        <v>137</v>
      </c>
      <c r="J4" s="3135" t="s">
        <v>111</v>
      </c>
      <c r="K4" s="3135" t="s">
        <v>138</v>
      </c>
      <c r="L4" s="3134" t="s">
        <v>139</v>
      </c>
      <c r="M4" s="3134" t="s">
        <v>140</v>
      </c>
      <c r="N4" s="3134" t="s">
        <v>141</v>
      </c>
      <c r="O4" s="3134" t="s">
        <v>142</v>
      </c>
      <c r="P4" s="3134" t="s">
        <v>143</v>
      </c>
      <c r="Q4" s="3134" t="s">
        <v>2870</v>
      </c>
      <c r="R4" s="3134" t="s">
        <v>2871</v>
      </c>
      <c r="S4" s="3134" t="s">
        <v>2872</v>
      </c>
      <c r="T4" s="3134" t="s">
        <v>2873</v>
      </c>
    </row>
    <row r="5" spans="1:20">
      <c r="A5" s="3139" t="s">
        <v>2836</v>
      </c>
      <c r="B5" s="3130" t="s">
        <v>2850</v>
      </c>
      <c r="C5" s="3130">
        <v>34550</v>
      </c>
      <c r="D5" s="3130">
        <v>34470</v>
      </c>
      <c r="E5" s="3130">
        <v>34330</v>
      </c>
      <c r="F5" s="3130">
        <v>13400</v>
      </c>
      <c r="G5" s="3130">
        <v>25450</v>
      </c>
      <c r="H5" s="3133"/>
      <c r="I5" s="3134" t="s">
        <v>145</v>
      </c>
      <c r="J5" s="3135" t="s">
        <v>146</v>
      </c>
      <c r="K5" s="3135" t="s">
        <v>147</v>
      </c>
      <c r="L5" s="3134" t="s">
        <v>148</v>
      </c>
      <c r="M5" s="3134" t="s">
        <v>149</v>
      </c>
      <c r="N5" s="3134" t="s">
        <v>150</v>
      </c>
      <c r="O5" s="3134" t="s">
        <v>151</v>
      </c>
      <c r="P5" s="3134" t="s">
        <v>152</v>
      </c>
      <c r="Q5" s="3134" t="s">
        <v>2874</v>
      </c>
      <c r="R5" s="3134" t="s">
        <v>2875</v>
      </c>
      <c r="S5" s="3134" t="s">
        <v>153</v>
      </c>
      <c r="T5" s="3134" t="s">
        <v>2876</v>
      </c>
    </row>
    <row r="6" spans="1:20" ht="12" thickBot="1">
      <c r="A6" s="3134" t="s">
        <v>144</v>
      </c>
      <c r="B6" s="3134" t="s">
        <v>2865</v>
      </c>
      <c r="C6" s="3134">
        <v>36990</v>
      </c>
      <c r="D6" s="3134">
        <v>36850</v>
      </c>
      <c r="E6" s="3134">
        <v>36700</v>
      </c>
      <c r="F6" s="3134">
        <v>14590</v>
      </c>
      <c r="G6" s="3134">
        <v>27450</v>
      </c>
      <c r="H6" s="3133"/>
      <c r="I6" s="3140" t="s">
        <v>154</v>
      </c>
      <c r="J6" s="3135" t="s">
        <v>155</v>
      </c>
      <c r="K6" s="3135" t="s">
        <v>156</v>
      </c>
      <c r="L6" s="3134" t="s">
        <v>157</v>
      </c>
      <c r="M6" s="3134" t="s">
        <v>158</v>
      </c>
      <c r="N6" s="3134" t="s">
        <v>159</v>
      </c>
      <c r="O6" s="3134" t="s">
        <v>160</v>
      </c>
      <c r="P6" s="3134" t="s">
        <v>2877</v>
      </c>
      <c r="Q6" s="3134" t="s">
        <v>2878</v>
      </c>
      <c r="R6" s="3134" t="s">
        <v>161</v>
      </c>
      <c r="S6" s="3134" t="s">
        <v>2879</v>
      </c>
      <c r="T6" s="3134" t="s">
        <v>2880</v>
      </c>
    </row>
    <row r="7" spans="1:20">
      <c r="A7" s="3134" t="s">
        <v>144</v>
      </c>
      <c r="B7" s="3135" t="s">
        <v>137</v>
      </c>
      <c r="C7" s="3134">
        <v>34850</v>
      </c>
      <c r="D7" s="3134">
        <v>34690</v>
      </c>
      <c r="E7" s="3134">
        <v>34550</v>
      </c>
      <c r="F7" s="3134">
        <v>14360</v>
      </c>
      <c r="G7" s="3134">
        <v>25620</v>
      </c>
      <c r="H7" s="3133"/>
      <c r="J7" s="3135" t="s">
        <v>162</v>
      </c>
      <c r="K7" s="3135" t="s">
        <v>163</v>
      </c>
      <c r="L7" s="3134" t="s">
        <v>164</v>
      </c>
      <c r="M7" s="3134" t="s">
        <v>165</v>
      </c>
      <c r="N7" s="3134" t="s">
        <v>166</v>
      </c>
      <c r="O7" s="3134" t="s">
        <v>167</v>
      </c>
      <c r="P7" s="3134" t="s">
        <v>2881</v>
      </c>
      <c r="Q7" s="3134" t="s">
        <v>2882</v>
      </c>
      <c r="R7" s="3134" t="s">
        <v>2883</v>
      </c>
      <c r="S7" s="3134" t="s">
        <v>2884</v>
      </c>
      <c r="T7" s="3134" t="s">
        <v>2885</v>
      </c>
    </row>
    <row r="8" spans="1:20" ht="12" thickBot="1">
      <c r="A8" s="3134" t="s">
        <v>144</v>
      </c>
      <c r="B8" s="3134" t="s">
        <v>145</v>
      </c>
      <c r="C8" s="3134">
        <v>32630</v>
      </c>
      <c r="D8" s="3134">
        <v>32510</v>
      </c>
      <c r="E8" s="3134">
        <v>32420</v>
      </c>
      <c r="F8" s="3134">
        <v>13300</v>
      </c>
      <c r="G8" s="3134">
        <v>24010</v>
      </c>
      <c r="H8" s="3133"/>
      <c r="J8" s="3135" t="s">
        <v>168</v>
      </c>
      <c r="K8" s="3135" t="s">
        <v>169</v>
      </c>
      <c r="L8" s="3134" t="s">
        <v>170</v>
      </c>
      <c r="M8" s="3134" t="s">
        <v>171</v>
      </c>
      <c r="N8" s="3134" t="s">
        <v>172</v>
      </c>
      <c r="O8" s="3134" t="s">
        <v>173</v>
      </c>
      <c r="P8" s="3134" t="s">
        <v>2886</v>
      </c>
      <c r="Q8" s="3134" t="s">
        <v>174</v>
      </c>
      <c r="R8" s="3134" t="s">
        <v>2887</v>
      </c>
      <c r="S8" s="3134" t="s">
        <v>2888</v>
      </c>
      <c r="T8" s="3141" t="s">
        <v>2889</v>
      </c>
    </row>
    <row r="9" spans="1:20" ht="12" thickBot="1">
      <c r="A9" s="3142" t="s">
        <v>144</v>
      </c>
      <c r="B9" s="3140" t="s">
        <v>154</v>
      </c>
      <c r="C9" s="3141">
        <v>36370</v>
      </c>
      <c r="D9" s="3141">
        <v>36210</v>
      </c>
      <c r="E9" s="3141">
        <v>36050</v>
      </c>
      <c r="F9" s="3141"/>
      <c r="G9" s="3141">
        <v>26740</v>
      </c>
      <c r="H9" s="3133"/>
      <c r="J9" s="3135" t="s">
        <v>175</v>
      </c>
      <c r="K9" s="3135" t="s">
        <v>176</v>
      </c>
      <c r="L9" s="3134" t="s">
        <v>177</v>
      </c>
      <c r="M9" s="3134" t="s">
        <v>178</v>
      </c>
      <c r="N9" s="3134" t="s">
        <v>179</v>
      </c>
      <c r="O9" s="3134" t="s">
        <v>180</v>
      </c>
      <c r="P9" s="3134" t="s">
        <v>2890</v>
      </c>
      <c r="Q9" s="3134" t="s">
        <v>182</v>
      </c>
      <c r="R9" s="3134" t="s">
        <v>183</v>
      </c>
      <c r="S9" s="3134" t="s">
        <v>200</v>
      </c>
    </row>
    <row r="10" spans="1:20">
      <c r="A10" s="3139" t="s">
        <v>184</v>
      </c>
      <c r="B10" s="3130" t="s">
        <v>2851</v>
      </c>
      <c r="C10" s="3134">
        <v>32350</v>
      </c>
      <c r="D10" s="3134">
        <v>31430</v>
      </c>
      <c r="E10" s="3134">
        <v>31320</v>
      </c>
      <c r="F10" s="3134">
        <v>10850</v>
      </c>
      <c r="G10" s="3134">
        <v>22860</v>
      </c>
      <c r="H10" s="3133"/>
      <c r="J10" s="3135" t="s">
        <v>185</v>
      </c>
      <c r="K10" s="3135" t="s">
        <v>186</v>
      </c>
      <c r="L10" s="3134" t="s">
        <v>187</v>
      </c>
      <c r="M10" s="3134" t="s">
        <v>188</v>
      </c>
      <c r="N10" s="3134" t="s">
        <v>189</v>
      </c>
      <c r="O10" s="3134" t="s">
        <v>190</v>
      </c>
      <c r="P10" s="3134" t="s">
        <v>181</v>
      </c>
      <c r="Q10" s="3134" t="s">
        <v>192</v>
      </c>
      <c r="R10" s="3134" t="s">
        <v>193</v>
      </c>
      <c r="S10" s="3134" t="s">
        <v>2891</v>
      </c>
    </row>
    <row r="11" spans="1:20">
      <c r="A11" s="3134" t="s">
        <v>184</v>
      </c>
      <c r="B11" s="3135" t="s">
        <v>128</v>
      </c>
      <c r="C11" s="3134">
        <v>31590</v>
      </c>
      <c r="D11" s="3134">
        <v>29490</v>
      </c>
      <c r="E11" s="3134">
        <v>28700</v>
      </c>
      <c r="F11" s="3134">
        <v>10410</v>
      </c>
      <c r="G11" s="3134">
        <v>21460</v>
      </c>
      <c r="H11" s="3133"/>
      <c r="J11" s="3135" t="s">
        <v>194</v>
      </c>
      <c r="K11" s="3135" t="s">
        <v>195</v>
      </c>
      <c r="L11" s="3134" t="s">
        <v>196</v>
      </c>
      <c r="M11" s="3134" t="s">
        <v>197</v>
      </c>
      <c r="N11" s="3134" t="s">
        <v>198</v>
      </c>
      <c r="O11" s="3134" t="s">
        <v>2892</v>
      </c>
      <c r="P11" s="3134" t="s">
        <v>191</v>
      </c>
      <c r="Q11" s="3134" t="s">
        <v>199</v>
      </c>
      <c r="R11" s="3134" t="s">
        <v>2893</v>
      </c>
      <c r="S11" s="3134" t="s">
        <v>2894</v>
      </c>
    </row>
    <row r="12" spans="1:20">
      <c r="A12" s="3134" t="s">
        <v>184</v>
      </c>
      <c r="B12" s="3135" t="s">
        <v>111</v>
      </c>
      <c r="C12" s="3134">
        <v>29640</v>
      </c>
      <c r="D12" s="3134">
        <v>27550</v>
      </c>
      <c r="E12" s="3134">
        <v>28010</v>
      </c>
      <c r="F12" s="3134">
        <v>8730</v>
      </c>
      <c r="G12" s="3134">
        <v>20050</v>
      </c>
      <c r="H12" s="3133"/>
      <c r="J12" s="3135" t="s">
        <v>201</v>
      </c>
      <c r="K12" s="3135" t="s">
        <v>202</v>
      </c>
      <c r="L12" s="3134" t="s">
        <v>203</v>
      </c>
      <c r="M12" s="3134" t="s">
        <v>204</v>
      </c>
      <c r="N12" s="3134" t="s">
        <v>205</v>
      </c>
      <c r="O12" s="3134" t="s">
        <v>2895</v>
      </c>
      <c r="P12" s="3134" t="s">
        <v>2896</v>
      </c>
      <c r="Q12" s="3134" t="s">
        <v>2897</v>
      </c>
      <c r="R12" s="3134" t="s">
        <v>2898</v>
      </c>
      <c r="S12" s="3134" t="s">
        <v>2899</v>
      </c>
    </row>
    <row r="13" spans="1:20">
      <c r="A13" s="3134" t="s">
        <v>184</v>
      </c>
      <c r="B13" s="3135" t="s">
        <v>146</v>
      </c>
      <c r="C13" s="3134">
        <v>29680</v>
      </c>
      <c r="D13" s="3134">
        <v>27660</v>
      </c>
      <c r="E13" s="3134">
        <v>28210</v>
      </c>
      <c r="F13" s="3134">
        <v>9590</v>
      </c>
      <c r="G13" s="3134">
        <v>20120</v>
      </c>
      <c r="H13" s="3133"/>
      <c r="J13" s="3135" t="s">
        <v>208</v>
      </c>
      <c r="K13" s="3135" t="s">
        <v>209</v>
      </c>
      <c r="L13" s="3134" t="s">
        <v>210</v>
      </c>
      <c r="M13" s="3134" t="s">
        <v>211</v>
      </c>
      <c r="N13" s="3134" t="s">
        <v>212</v>
      </c>
      <c r="O13" s="3134" t="s">
        <v>2900</v>
      </c>
      <c r="P13" s="3134" t="s">
        <v>206</v>
      </c>
      <c r="Q13" s="3134" t="s">
        <v>219</v>
      </c>
      <c r="R13" s="3134" t="s">
        <v>220</v>
      </c>
      <c r="S13" s="3134" t="s">
        <v>214</v>
      </c>
    </row>
    <row r="14" spans="1:20">
      <c r="A14" s="3134" t="s">
        <v>184</v>
      </c>
      <c r="B14" s="3135" t="s">
        <v>155</v>
      </c>
      <c r="C14" s="3134">
        <v>30520</v>
      </c>
      <c r="D14" s="3134">
        <v>29510</v>
      </c>
      <c r="E14" s="3134">
        <v>29400</v>
      </c>
      <c r="F14" s="3134">
        <v>9630</v>
      </c>
      <c r="G14" s="3134">
        <v>21480</v>
      </c>
      <c r="H14" s="3133"/>
      <c r="J14" s="3135" t="s">
        <v>2901</v>
      </c>
      <c r="K14" s="3135" t="s">
        <v>215</v>
      </c>
      <c r="L14" s="3134" t="s">
        <v>216</v>
      </c>
      <c r="M14" s="3134" t="s">
        <v>217</v>
      </c>
      <c r="N14" s="3134" t="s">
        <v>218</v>
      </c>
      <c r="O14" s="3134" t="s">
        <v>240</v>
      </c>
      <c r="P14" s="3134" t="s">
        <v>213</v>
      </c>
      <c r="Q14" s="3134" t="s">
        <v>2902</v>
      </c>
      <c r="R14" s="3134" t="s">
        <v>228</v>
      </c>
      <c r="S14" s="3134" t="s">
        <v>221</v>
      </c>
    </row>
    <row r="15" spans="1:20">
      <c r="A15" s="3134" t="s">
        <v>184</v>
      </c>
      <c r="B15" s="3135" t="s">
        <v>162</v>
      </c>
      <c r="C15" s="3134">
        <v>29090</v>
      </c>
      <c r="D15" s="3134">
        <v>27590</v>
      </c>
      <c r="E15" s="3134">
        <v>28120</v>
      </c>
      <c r="F15" s="3134">
        <v>9110</v>
      </c>
      <c r="G15" s="3134">
        <v>20070</v>
      </c>
      <c r="H15" s="3133"/>
      <c r="J15" s="3135" t="s">
        <v>222</v>
      </c>
      <c r="K15" s="3135" t="s">
        <v>223</v>
      </c>
      <c r="L15" s="3134" t="s">
        <v>224</v>
      </c>
      <c r="M15" s="3134" t="s">
        <v>225</v>
      </c>
      <c r="N15" s="3134" t="s">
        <v>226</v>
      </c>
      <c r="O15" s="3134" t="s">
        <v>2903</v>
      </c>
      <c r="P15" s="3134" t="s">
        <v>2904</v>
      </c>
      <c r="Q15" s="3134" t="s">
        <v>242</v>
      </c>
      <c r="R15" s="3134" t="s">
        <v>2905</v>
      </c>
      <c r="S15" s="3134" t="s">
        <v>229</v>
      </c>
    </row>
    <row r="16" spans="1:20">
      <c r="A16" s="3134" t="s">
        <v>184</v>
      </c>
      <c r="B16" s="3135" t="s">
        <v>168</v>
      </c>
      <c r="C16" s="3134">
        <v>26790</v>
      </c>
      <c r="D16" s="3134">
        <v>30370</v>
      </c>
      <c r="E16" s="3134">
        <v>30240</v>
      </c>
      <c r="F16" s="3134">
        <v>11590</v>
      </c>
      <c r="G16" s="3134">
        <v>22090</v>
      </c>
      <c r="H16" s="3133"/>
      <c r="J16" s="3135" t="s">
        <v>230</v>
      </c>
      <c r="K16" s="3135" t="s">
        <v>231</v>
      </c>
      <c r="L16" s="3134" t="s">
        <v>232</v>
      </c>
      <c r="M16" s="3134" t="s">
        <v>233</v>
      </c>
      <c r="N16" s="3134" t="s">
        <v>234</v>
      </c>
      <c r="O16" s="3134" t="s">
        <v>2906</v>
      </c>
      <c r="P16" s="3134" t="s">
        <v>227</v>
      </c>
      <c r="Q16" s="3134" t="s">
        <v>250</v>
      </c>
      <c r="R16" s="3134" t="s">
        <v>207</v>
      </c>
      <c r="S16" s="3134" t="s">
        <v>2907</v>
      </c>
    </row>
    <row r="17" spans="1:19" ht="14.25" customHeight="1">
      <c r="A17" s="3134" t="s">
        <v>184</v>
      </c>
      <c r="B17" s="3135" t="s">
        <v>175</v>
      </c>
      <c r="C17" s="3134">
        <v>29180</v>
      </c>
      <c r="D17" s="3134">
        <v>27620</v>
      </c>
      <c r="E17" s="3134">
        <v>28180</v>
      </c>
      <c r="F17" s="3134">
        <v>10790</v>
      </c>
      <c r="G17" s="3134">
        <v>20090</v>
      </c>
      <c r="H17" s="3133"/>
      <c r="J17" s="3135" t="s">
        <v>235</v>
      </c>
      <c r="K17" s="3135" t="s">
        <v>236</v>
      </c>
      <c r="L17" s="3134" t="s">
        <v>237</v>
      </c>
      <c r="M17" s="3134" t="s">
        <v>238</v>
      </c>
      <c r="N17" s="3134" t="s">
        <v>239</v>
      </c>
      <c r="O17" s="3134" t="s">
        <v>2908</v>
      </c>
      <c r="P17" s="3134" t="s">
        <v>2909</v>
      </c>
      <c r="Q17" s="3134" t="s">
        <v>256</v>
      </c>
      <c r="R17" s="3134" t="s">
        <v>2910</v>
      </c>
      <c r="S17" s="3134" t="s">
        <v>258</v>
      </c>
    </row>
    <row r="18" spans="1:19" ht="14.25" customHeight="1">
      <c r="A18" s="3134" t="s">
        <v>184</v>
      </c>
      <c r="B18" s="3135" t="s">
        <v>185</v>
      </c>
      <c r="C18" s="3134">
        <v>26840</v>
      </c>
      <c r="D18" s="3134">
        <v>28930</v>
      </c>
      <c r="E18" s="3134">
        <v>28820</v>
      </c>
      <c r="F18" s="3134"/>
      <c r="G18" s="3134">
        <v>21050</v>
      </c>
      <c r="H18" s="3133"/>
      <c r="J18" s="3135" t="s">
        <v>244</v>
      </c>
      <c r="K18" s="3135" t="s">
        <v>245</v>
      </c>
      <c r="L18" s="3134" t="s">
        <v>246</v>
      </c>
      <c r="M18" s="3134" t="s">
        <v>247</v>
      </c>
      <c r="N18" s="3134" t="s">
        <v>248</v>
      </c>
      <c r="O18" s="3134" t="s">
        <v>2911</v>
      </c>
      <c r="P18" s="3134" t="s">
        <v>241</v>
      </c>
      <c r="Q18" s="3134" t="s">
        <v>2912</v>
      </c>
      <c r="R18" s="3134" t="s">
        <v>257</v>
      </c>
      <c r="S18" s="3134" t="s">
        <v>266</v>
      </c>
    </row>
    <row r="19" spans="1:19" ht="14.25" customHeight="1">
      <c r="A19" s="3134" t="s">
        <v>184</v>
      </c>
      <c r="B19" s="3135" t="s">
        <v>194</v>
      </c>
      <c r="C19" s="3134">
        <v>27750</v>
      </c>
      <c r="D19" s="3134">
        <v>26680</v>
      </c>
      <c r="E19" s="3134">
        <v>26590</v>
      </c>
      <c r="F19" s="3134"/>
      <c r="G19" s="3134">
        <v>19420</v>
      </c>
      <c r="H19" s="3133"/>
      <c r="J19" s="3135" t="s">
        <v>251</v>
      </c>
      <c r="K19" s="3135" t="s">
        <v>252</v>
      </c>
      <c r="L19" s="3134" t="s">
        <v>253</v>
      </c>
      <c r="M19" s="3134" t="s">
        <v>254</v>
      </c>
      <c r="N19" s="3134" t="s">
        <v>255</v>
      </c>
      <c r="O19" s="3134" t="s">
        <v>2913</v>
      </c>
      <c r="P19" s="3134" t="s">
        <v>249</v>
      </c>
      <c r="Q19" s="3134" t="s">
        <v>2914</v>
      </c>
      <c r="R19" s="3134" t="s">
        <v>265</v>
      </c>
      <c r="S19" s="3134" t="s">
        <v>2915</v>
      </c>
    </row>
    <row r="20" spans="1:19" ht="14.25" customHeight="1">
      <c r="A20" s="3134" t="s">
        <v>184</v>
      </c>
      <c r="B20" s="3135" t="s">
        <v>201</v>
      </c>
      <c r="C20" s="3134">
        <v>27050</v>
      </c>
      <c r="D20" s="3134">
        <v>29010</v>
      </c>
      <c r="E20" s="3134">
        <v>28910</v>
      </c>
      <c r="F20" s="3134"/>
      <c r="G20" s="3134">
        <v>21110</v>
      </c>
      <c r="J20" s="3135" t="s">
        <v>259</v>
      </c>
      <c r="K20" s="3135" t="s">
        <v>260</v>
      </c>
      <c r="L20" s="3134" t="s">
        <v>261</v>
      </c>
      <c r="M20" s="3134" t="s">
        <v>262</v>
      </c>
      <c r="N20" s="3134" t="s">
        <v>263</v>
      </c>
      <c r="O20" s="3134" t="s">
        <v>2916</v>
      </c>
      <c r="P20" s="3134" t="s">
        <v>2917</v>
      </c>
      <c r="Q20" s="3134" t="s">
        <v>290</v>
      </c>
      <c r="R20" s="3134" t="s">
        <v>2918</v>
      </c>
      <c r="S20" s="3134" t="s">
        <v>277</v>
      </c>
    </row>
    <row r="21" spans="1:19" ht="14.25" customHeight="1" thickBot="1">
      <c r="A21" s="3134" t="s">
        <v>184</v>
      </c>
      <c r="B21" s="3135" t="s">
        <v>208</v>
      </c>
      <c r="C21" s="3134">
        <v>32370</v>
      </c>
      <c r="D21" s="3134">
        <v>26730</v>
      </c>
      <c r="E21" s="3134">
        <v>26640</v>
      </c>
      <c r="F21" s="3134"/>
      <c r="G21" s="3134">
        <v>19440</v>
      </c>
      <c r="J21" s="3141" t="s">
        <v>2919</v>
      </c>
      <c r="K21" s="3135" t="s">
        <v>267</v>
      </c>
      <c r="L21" s="3134" t="s">
        <v>268</v>
      </c>
      <c r="M21" s="3134" t="s">
        <v>269</v>
      </c>
      <c r="N21" s="3134" t="s">
        <v>270</v>
      </c>
      <c r="O21" s="3134" t="s">
        <v>264</v>
      </c>
      <c r="P21" s="3134" t="s">
        <v>283</v>
      </c>
      <c r="Q21" s="3134" t="s">
        <v>293</v>
      </c>
      <c r="R21" s="3134" t="s">
        <v>2920</v>
      </c>
      <c r="S21" s="3141" t="s">
        <v>2921</v>
      </c>
    </row>
    <row r="22" spans="1:19" ht="14.25" customHeight="1">
      <c r="A22" s="3134" t="s">
        <v>184</v>
      </c>
      <c r="B22" s="3135" t="s">
        <v>2901</v>
      </c>
      <c r="C22" s="3134">
        <v>29830</v>
      </c>
      <c r="D22" s="3134">
        <v>27600</v>
      </c>
      <c r="E22" s="3134">
        <v>28150</v>
      </c>
      <c r="F22" s="3134"/>
      <c r="G22" s="3134">
        <v>20080</v>
      </c>
      <c r="K22" s="3135" t="s">
        <v>2922</v>
      </c>
      <c r="L22" s="3134" t="s">
        <v>272</v>
      </c>
      <c r="M22" s="3134" t="s">
        <v>273</v>
      </c>
      <c r="N22" s="3134" t="s">
        <v>274</v>
      </c>
      <c r="O22" s="3134" t="s">
        <v>2923</v>
      </c>
      <c r="P22" s="3134" t="s">
        <v>286</v>
      </c>
      <c r="Q22" s="3134" t="s">
        <v>295</v>
      </c>
      <c r="R22" s="3134" t="s">
        <v>243</v>
      </c>
    </row>
    <row r="23" spans="1:19" ht="14.25" customHeight="1">
      <c r="A23" s="3134" t="s">
        <v>184</v>
      </c>
      <c r="B23" s="3135" t="s">
        <v>222</v>
      </c>
      <c r="C23" s="3134">
        <v>27800</v>
      </c>
      <c r="D23" s="3134">
        <v>26900</v>
      </c>
      <c r="E23" s="3134">
        <v>27170</v>
      </c>
      <c r="F23" s="3134"/>
      <c r="G23" s="3134">
        <v>19570</v>
      </c>
      <c r="K23" s="3135" t="s">
        <v>2924</v>
      </c>
      <c r="L23" s="3134" t="s">
        <v>278</v>
      </c>
      <c r="M23" s="3134" t="s">
        <v>279</v>
      </c>
      <c r="N23" s="3134" t="s">
        <v>2925</v>
      </c>
      <c r="O23" s="3134" t="s">
        <v>2926</v>
      </c>
      <c r="P23" s="3134" t="s">
        <v>289</v>
      </c>
      <c r="Q23" s="3134" t="s">
        <v>298</v>
      </c>
      <c r="R23" s="3134" t="s">
        <v>2927</v>
      </c>
    </row>
    <row r="24" spans="1:19" ht="14.25" customHeight="1">
      <c r="A24" s="3134" t="s">
        <v>184</v>
      </c>
      <c r="B24" s="3135" t="s">
        <v>230</v>
      </c>
      <c r="C24" s="3134">
        <v>27930</v>
      </c>
      <c r="D24" s="3134">
        <v>32260</v>
      </c>
      <c r="E24" s="3134">
        <v>32120</v>
      </c>
      <c r="F24" s="3134"/>
      <c r="G24" s="3134">
        <v>23470</v>
      </c>
      <c r="K24" s="3135" t="s">
        <v>2928</v>
      </c>
      <c r="L24" s="3134" t="s">
        <v>281</v>
      </c>
      <c r="M24" s="3134" t="s">
        <v>282</v>
      </c>
      <c r="N24" s="3134" t="s">
        <v>2929</v>
      </c>
      <c r="O24" s="3134" t="s">
        <v>285</v>
      </c>
      <c r="P24" s="3134" t="s">
        <v>2930</v>
      </c>
      <c r="Q24" s="3143" t="s">
        <v>2931</v>
      </c>
      <c r="R24" s="3134" t="s">
        <v>2932</v>
      </c>
    </row>
    <row r="25" spans="1:19" ht="14.25" customHeight="1">
      <c r="A25" s="3134" t="s">
        <v>184</v>
      </c>
      <c r="B25" s="3135" t="s">
        <v>235</v>
      </c>
      <c r="C25" s="3134">
        <v>32230</v>
      </c>
      <c r="D25" s="3134">
        <v>29640</v>
      </c>
      <c r="E25" s="3134">
        <v>29510</v>
      </c>
      <c r="F25" s="3134"/>
      <c r="G25" s="3134">
        <v>21560</v>
      </c>
      <c r="K25" s="3135" t="s">
        <v>2933</v>
      </c>
      <c r="L25" s="3134" t="s">
        <v>2934</v>
      </c>
      <c r="M25" s="3134" t="s">
        <v>284</v>
      </c>
      <c r="N25" s="3134" t="s">
        <v>292</v>
      </c>
      <c r="O25" s="3134" t="s">
        <v>288</v>
      </c>
      <c r="P25" s="3134" t="s">
        <v>275</v>
      </c>
      <c r="Q25" s="3143" t="s">
        <v>271</v>
      </c>
      <c r="R25" s="3134" t="s">
        <v>2935</v>
      </c>
    </row>
    <row r="26" spans="1:19" ht="14.25" customHeight="1" thickBot="1">
      <c r="A26" s="3134" t="s">
        <v>184</v>
      </c>
      <c r="B26" s="3135" t="s">
        <v>244</v>
      </c>
      <c r="C26" s="3134">
        <v>31690</v>
      </c>
      <c r="D26" s="3134">
        <v>27650</v>
      </c>
      <c r="E26" s="3134">
        <v>28200</v>
      </c>
      <c r="F26" s="3134"/>
      <c r="G26" s="3134">
        <v>20110</v>
      </c>
      <c r="K26" s="3140" t="s">
        <v>2936</v>
      </c>
      <c r="L26" s="3134" t="s">
        <v>2937</v>
      </c>
      <c r="M26" s="3134" t="s">
        <v>287</v>
      </c>
      <c r="N26" s="3134" t="s">
        <v>294</v>
      </c>
      <c r="O26" s="3134" t="s">
        <v>2938</v>
      </c>
      <c r="P26" s="3134" t="s">
        <v>2939</v>
      </c>
      <c r="Q26" s="3143" t="s">
        <v>276</v>
      </c>
      <c r="R26" s="3134" t="s">
        <v>2940</v>
      </c>
    </row>
    <row r="27" spans="1:19" ht="14.25" customHeight="1">
      <c r="A27" s="3134" t="s">
        <v>184</v>
      </c>
      <c r="B27" s="3135" t="s">
        <v>251</v>
      </c>
      <c r="C27" s="3134">
        <v>29610</v>
      </c>
      <c r="D27" s="3134">
        <v>27770</v>
      </c>
      <c r="E27" s="3134">
        <v>28300</v>
      </c>
      <c r="F27" s="3134"/>
      <c r="G27" s="3134">
        <v>20210</v>
      </c>
      <c r="L27" s="3134" t="s">
        <v>2941</v>
      </c>
      <c r="M27" s="3134" t="s">
        <v>291</v>
      </c>
      <c r="N27" s="3134" t="s">
        <v>297</v>
      </c>
      <c r="O27" s="3134" t="s">
        <v>2942</v>
      </c>
      <c r="P27" s="3134" t="s">
        <v>2943</v>
      </c>
      <c r="Q27" s="3134" t="s">
        <v>2944</v>
      </c>
      <c r="R27" s="3134" t="s">
        <v>2945</v>
      </c>
    </row>
    <row r="28" spans="1:19" ht="14.25" customHeight="1">
      <c r="A28" s="3134" t="s">
        <v>184</v>
      </c>
      <c r="B28" s="3135" t="s">
        <v>259</v>
      </c>
      <c r="C28" s="3134"/>
      <c r="D28" s="3134">
        <v>31520</v>
      </c>
      <c r="E28" s="3134">
        <v>31410</v>
      </c>
      <c r="F28" s="3134"/>
      <c r="G28" s="3134">
        <v>22940</v>
      </c>
      <c r="L28" s="3134" t="s">
        <v>2946</v>
      </c>
      <c r="M28" s="3134" t="s">
        <v>2947</v>
      </c>
      <c r="N28" s="3134" t="s">
        <v>2948</v>
      </c>
      <c r="O28" s="3134" t="s">
        <v>2949</v>
      </c>
      <c r="P28" s="3134" t="s">
        <v>2950</v>
      </c>
      <c r="Q28" s="3134" t="s">
        <v>2951</v>
      </c>
      <c r="R28" s="3134" t="s">
        <v>2952</v>
      </c>
    </row>
    <row r="29" spans="1:19" ht="14.25" customHeight="1" thickBot="1">
      <c r="A29" s="3142" t="s">
        <v>184</v>
      </c>
      <c r="B29" s="3144" t="s">
        <v>2919</v>
      </c>
      <c r="C29" s="3145"/>
      <c r="D29" s="3145">
        <v>29460</v>
      </c>
      <c r="E29" s="3145">
        <v>28640</v>
      </c>
      <c r="F29" s="3145"/>
      <c r="G29" s="3145">
        <v>21430</v>
      </c>
      <c r="L29" s="3134" t="s">
        <v>2953</v>
      </c>
      <c r="M29" s="3134" t="s">
        <v>2954</v>
      </c>
      <c r="N29" s="3134" t="s">
        <v>2955</v>
      </c>
      <c r="O29" s="3134" t="s">
        <v>2956</v>
      </c>
      <c r="P29" s="3134" t="s">
        <v>2957</v>
      </c>
      <c r="Q29" s="3134" t="s">
        <v>2958</v>
      </c>
      <c r="R29" s="3134" t="s">
        <v>280</v>
      </c>
    </row>
    <row r="30" spans="1:19" ht="14.25" customHeight="1">
      <c r="A30" s="3139" t="s">
        <v>296</v>
      </c>
      <c r="B30" s="3130" t="s">
        <v>2852</v>
      </c>
      <c r="C30" s="3130">
        <v>26890</v>
      </c>
      <c r="D30" s="3130">
        <v>26770</v>
      </c>
      <c r="E30" s="3130">
        <v>25700</v>
      </c>
      <c r="F30" s="3130">
        <v>8180</v>
      </c>
      <c r="G30" s="3146">
        <v>18740</v>
      </c>
      <c r="L30" s="3134" t="s">
        <v>2959</v>
      </c>
      <c r="M30" s="3134" t="s">
        <v>2960</v>
      </c>
      <c r="N30" s="3134" t="s">
        <v>2961</v>
      </c>
      <c r="O30" s="3134" t="s">
        <v>2962</v>
      </c>
      <c r="P30" s="3134" t="s">
        <v>2963</v>
      </c>
      <c r="Q30" s="3134" t="s">
        <v>2964</v>
      </c>
      <c r="R30" s="3134" t="s">
        <v>2965</v>
      </c>
    </row>
    <row r="31" spans="1:19" ht="14.25" customHeight="1">
      <c r="A31" s="3134" t="s">
        <v>296</v>
      </c>
      <c r="B31" s="3135" t="s">
        <v>129</v>
      </c>
      <c r="C31" s="3134">
        <v>24550</v>
      </c>
      <c r="D31" s="3134">
        <v>23990</v>
      </c>
      <c r="E31" s="3134">
        <v>22930</v>
      </c>
      <c r="F31" s="3134">
        <v>7470</v>
      </c>
      <c r="G31" s="3147">
        <v>16790</v>
      </c>
      <c r="L31" s="3134" t="s">
        <v>2966</v>
      </c>
      <c r="M31" s="3134" t="s">
        <v>2967</v>
      </c>
      <c r="N31" s="3134" t="s">
        <v>2968</v>
      </c>
      <c r="O31" s="3134" t="s">
        <v>2969</v>
      </c>
      <c r="P31" s="3134" t="s">
        <v>2970</v>
      </c>
      <c r="Q31" s="3134" t="s">
        <v>2971</v>
      </c>
      <c r="R31" s="3134" t="s">
        <v>2972</v>
      </c>
    </row>
    <row r="32" spans="1:19" ht="14.25" customHeight="1" thickBot="1">
      <c r="A32" s="3134" t="s">
        <v>296</v>
      </c>
      <c r="B32" s="3135" t="s">
        <v>138</v>
      </c>
      <c r="C32" s="3134">
        <v>27210</v>
      </c>
      <c r="D32" s="3134">
        <v>23240</v>
      </c>
      <c r="E32" s="3134">
        <v>23260</v>
      </c>
      <c r="F32" s="3134">
        <v>7130</v>
      </c>
      <c r="G32" s="3147">
        <v>16270</v>
      </c>
      <c r="L32" s="3134" t="s">
        <v>2973</v>
      </c>
      <c r="M32" s="3134" t="s">
        <v>2974</v>
      </c>
      <c r="N32" s="3134" t="s">
        <v>300</v>
      </c>
      <c r="O32" s="3134" t="s">
        <v>2975</v>
      </c>
      <c r="P32" s="3134" t="s">
        <v>299</v>
      </c>
      <c r="Q32" s="3134" t="s">
        <v>2976</v>
      </c>
      <c r="R32" s="3141" t="s">
        <v>2977</v>
      </c>
    </row>
    <row r="33" spans="1:17" ht="14.25" customHeight="1" thickBot="1">
      <c r="A33" s="3134" t="s">
        <v>296</v>
      </c>
      <c r="B33" s="3135" t="s">
        <v>147</v>
      </c>
      <c r="C33" s="3134">
        <v>27300</v>
      </c>
      <c r="D33" s="3134">
        <v>22980</v>
      </c>
      <c r="E33" s="3134">
        <v>24260</v>
      </c>
      <c r="F33" s="3134">
        <v>5860</v>
      </c>
      <c r="G33" s="3147">
        <v>16090</v>
      </c>
      <c r="L33" s="3141" t="s">
        <v>2978</v>
      </c>
      <c r="M33" s="3134" t="s">
        <v>2979</v>
      </c>
      <c r="N33" s="3134" t="s">
        <v>301</v>
      </c>
      <c r="O33" s="3134" t="s">
        <v>2980</v>
      </c>
      <c r="P33" s="3134" t="s">
        <v>2981</v>
      </c>
      <c r="Q33" s="3134" t="s">
        <v>2982</v>
      </c>
    </row>
    <row r="34" spans="1:17" ht="14.25" customHeight="1">
      <c r="A34" s="3134" t="s">
        <v>296</v>
      </c>
      <c r="B34" s="3135" t="s">
        <v>156</v>
      </c>
      <c r="C34" s="3134">
        <v>23090</v>
      </c>
      <c r="D34" s="3134">
        <v>23390</v>
      </c>
      <c r="E34" s="3134">
        <v>23510</v>
      </c>
      <c r="F34" s="3134">
        <v>6700</v>
      </c>
      <c r="G34" s="3147">
        <v>16370</v>
      </c>
      <c r="M34" s="3134" t="s">
        <v>2983</v>
      </c>
      <c r="N34" s="3134" t="s">
        <v>302</v>
      </c>
      <c r="O34" s="3134" t="s">
        <v>2984</v>
      </c>
      <c r="P34" s="3134" t="s">
        <v>2985</v>
      </c>
      <c r="Q34" s="3134" t="s">
        <v>2986</v>
      </c>
    </row>
    <row r="35" spans="1:17" ht="14.25" customHeight="1">
      <c r="A35" s="3134" t="s">
        <v>296</v>
      </c>
      <c r="B35" s="3135" t="s">
        <v>163</v>
      </c>
      <c r="C35" s="3134">
        <v>27270</v>
      </c>
      <c r="D35" s="3134">
        <v>24270</v>
      </c>
      <c r="E35" s="3134">
        <v>24950</v>
      </c>
      <c r="F35" s="3134">
        <v>6600</v>
      </c>
      <c r="G35" s="3147">
        <v>16990</v>
      </c>
      <c r="M35" s="3134" t="s">
        <v>2987</v>
      </c>
      <c r="N35" s="3134" t="s">
        <v>2988</v>
      </c>
      <c r="O35" s="3134" t="s">
        <v>2989</v>
      </c>
      <c r="P35" s="3134" t="s">
        <v>2990</v>
      </c>
      <c r="Q35" s="3134" t="s">
        <v>2991</v>
      </c>
    </row>
    <row r="36" spans="1:17" ht="14.25" customHeight="1">
      <c r="A36" s="3134" t="s">
        <v>296</v>
      </c>
      <c r="B36" s="3135" t="s">
        <v>169</v>
      </c>
      <c r="C36" s="3134">
        <v>23490</v>
      </c>
      <c r="D36" s="3134">
        <v>23020</v>
      </c>
      <c r="E36" s="3134">
        <v>25230</v>
      </c>
      <c r="F36" s="3134">
        <v>6780</v>
      </c>
      <c r="G36" s="3147">
        <v>16120</v>
      </c>
      <c r="M36" s="3134" t="s">
        <v>2992</v>
      </c>
      <c r="N36" s="3134" t="s">
        <v>2993</v>
      </c>
      <c r="O36" s="3134" t="s">
        <v>2994</v>
      </c>
      <c r="P36" s="3134" t="s">
        <v>2995</v>
      </c>
      <c r="Q36" s="3134" t="s">
        <v>2996</v>
      </c>
    </row>
    <row r="37" spans="1:17" ht="14.25" customHeight="1">
      <c r="A37" s="3134" t="s">
        <v>296</v>
      </c>
      <c r="B37" s="3135" t="s">
        <v>176</v>
      </c>
      <c r="C37" s="3134">
        <v>24380</v>
      </c>
      <c r="D37" s="3134">
        <v>22240</v>
      </c>
      <c r="E37" s="3134">
        <v>25980</v>
      </c>
      <c r="F37" s="3134">
        <v>8160</v>
      </c>
      <c r="G37" s="3147">
        <v>15570</v>
      </c>
      <c r="M37" s="3134" t="s">
        <v>2997</v>
      </c>
      <c r="N37" s="3134" t="s">
        <v>2998</v>
      </c>
      <c r="O37" s="3134" t="s">
        <v>2999</v>
      </c>
      <c r="P37" s="3134" t="s">
        <v>3000</v>
      </c>
      <c r="Q37" s="3134" t="s">
        <v>3001</v>
      </c>
    </row>
    <row r="38" spans="1:17" ht="14.25" customHeight="1">
      <c r="A38" s="3134" t="s">
        <v>296</v>
      </c>
      <c r="B38" s="3135" t="s">
        <v>186</v>
      </c>
      <c r="C38" s="3134">
        <v>23120</v>
      </c>
      <c r="D38" s="3134">
        <v>24630</v>
      </c>
      <c r="E38" s="3134">
        <v>25030</v>
      </c>
      <c r="F38" s="3134">
        <v>7710</v>
      </c>
      <c r="G38" s="3147">
        <v>17240</v>
      </c>
      <c r="M38" s="3134" t="s">
        <v>3002</v>
      </c>
      <c r="N38" s="3134" t="s">
        <v>3003</v>
      </c>
      <c r="O38" s="3134" t="s">
        <v>3004</v>
      </c>
      <c r="P38" s="3134" t="s">
        <v>3005</v>
      </c>
      <c r="Q38" s="3134" t="s">
        <v>3006</v>
      </c>
    </row>
    <row r="39" spans="1:17" ht="14.25" customHeight="1">
      <c r="A39" s="3134" t="s">
        <v>296</v>
      </c>
      <c r="B39" s="3135" t="s">
        <v>195</v>
      </c>
      <c r="C39" s="3134">
        <v>22330</v>
      </c>
      <c r="D39" s="3134">
        <v>21140</v>
      </c>
      <c r="E39" s="3134">
        <v>23970</v>
      </c>
      <c r="F39" s="3134">
        <v>7940</v>
      </c>
      <c r="G39" s="3147">
        <v>14790</v>
      </c>
      <c r="M39" s="3134" t="s">
        <v>3007</v>
      </c>
      <c r="N39" s="3134" t="s">
        <v>3008</v>
      </c>
      <c r="O39" s="3134" t="s">
        <v>3009</v>
      </c>
      <c r="P39" s="3134" t="s">
        <v>3010</v>
      </c>
      <c r="Q39" s="3134" t="s">
        <v>3011</v>
      </c>
    </row>
    <row r="40" spans="1:17" ht="14.25" customHeight="1">
      <c r="A40" s="3134" t="s">
        <v>296</v>
      </c>
      <c r="B40" s="3135" t="s">
        <v>202</v>
      </c>
      <c r="C40" s="3134">
        <v>24740</v>
      </c>
      <c r="D40" s="3134">
        <v>24690</v>
      </c>
      <c r="E40" s="3134">
        <v>22610</v>
      </c>
      <c r="F40" s="3134"/>
      <c r="G40" s="3147">
        <v>17280</v>
      </c>
      <c r="M40" s="3134" t="s">
        <v>3012</v>
      </c>
      <c r="N40" s="3134" t="s">
        <v>3013</v>
      </c>
      <c r="O40" s="3134" t="s">
        <v>3014</v>
      </c>
      <c r="P40" s="3134" t="s">
        <v>3015</v>
      </c>
      <c r="Q40" s="3134" t="s">
        <v>3016</v>
      </c>
    </row>
    <row r="41" spans="1:17" ht="14.25" customHeight="1" thickBot="1">
      <c r="A41" s="3134" t="s">
        <v>296</v>
      </c>
      <c r="B41" s="3135" t="s">
        <v>209</v>
      </c>
      <c r="C41" s="3134">
        <v>21220</v>
      </c>
      <c r="D41" s="3134">
        <v>21120</v>
      </c>
      <c r="E41" s="3134">
        <v>22590</v>
      </c>
      <c r="F41" s="3134"/>
      <c r="G41" s="3147">
        <v>14780</v>
      </c>
      <c r="M41" s="3141" t="s">
        <v>3017</v>
      </c>
      <c r="N41" s="3134" t="s">
        <v>3018</v>
      </c>
      <c r="O41" s="3134" t="s">
        <v>3019</v>
      </c>
      <c r="P41" s="3134" t="s">
        <v>3020</v>
      </c>
      <c r="Q41" s="3134" t="s">
        <v>3021</v>
      </c>
    </row>
    <row r="42" spans="1:17" ht="14.25" customHeight="1">
      <c r="A42" s="3134" t="s">
        <v>296</v>
      </c>
      <c r="B42" s="3135" t="s">
        <v>215</v>
      </c>
      <c r="C42" s="3134">
        <v>24800</v>
      </c>
      <c r="D42" s="3134">
        <v>22280</v>
      </c>
      <c r="E42" s="3134">
        <v>24350</v>
      </c>
      <c r="F42" s="3134"/>
      <c r="G42" s="3147">
        <v>15590</v>
      </c>
      <c r="N42" s="3134" t="s">
        <v>3022</v>
      </c>
      <c r="O42" s="3134" t="s">
        <v>3023</v>
      </c>
      <c r="P42" s="3134" t="s">
        <v>3024</v>
      </c>
      <c r="Q42" s="3134" t="s">
        <v>3025</v>
      </c>
    </row>
    <row r="43" spans="1:17" ht="14.25" customHeight="1">
      <c r="A43" s="3134" t="s">
        <v>3026</v>
      </c>
      <c r="B43" s="3135" t="s">
        <v>223</v>
      </c>
      <c r="C43" s="3134">
        <v>21210</v>
      </c>
      <c r="D43" s="3134">
        <v>21160</v>
      </c>
      <c r="E43" s="3134">
        <v>22650</v>
      </c>
      <c r="F43" s="3134"/>
      <c r="G43" s="3147">
        <v>14800</v>
      </c>
      <c r="N43" s="3134" t="s">
        <v>3027</v>
      </c>
      <c r="O43" s="3134" t="s">
        <v>3028</v>
      </c>
      <c r="P43" s="3134" t="s">
        <v>3029</v>
      </c>
      <c r="Q43" s="3134" t="s">
        <v>3030</v>
      </c>
    </row>
    <row r="44" spans="1:17" ht="14.25" customHeight="1" thickBot="1">
      <c r="A44" s="3134" t="s">
        <v>296</v>
      </c>
      <c r="B44" s="3135" t="s">
        <v>231</v>
      </c>
      <c r="C44" s="3134">
        <v>22370</v>
      </c>
      <c r="D44" s="3134">
        <v>23140</v>
      </c>
      <c r="E44" s="3134">
        <v>25090</v>
      </c>
      <c r="F44" s="3134"/>
      <c r="G44" s="3147">
        <v>16190</v>
      </c>
      <c r="N44" s="3134" t="s">
        <v>3031</v>
      </c>
      <c r="O44" s="3134" t="s">
        <v>3032</v>
      </c>
      <c r="P44" s="3141" t="s">
        <v>3033</v>
      </c>
      <c r="Q44" s="3134" t="s">
        <v>3034</v>
      </c>
    </row>
    <row r="45" spans="1:17" ht="14.25" customHeight="1" thickBot="1">
      <c r="A45" s="3134" t="s">
        <v>296</v>
      </c>
      <c r="B45" s="3135" t="s">
        <v>236</v>
      </c>
      <c r="C45" s="3134">
        <v>21240</v>
      </c>
      <c r="D45" s="3134">
        <v>27050</v>
      </c>
      <c r="E45" s="3134">
        <v>28000</v>
      </c>
      <c r="F45" s="3134"/>
      <c r="G45" s="3147">
        <v>18940</v>
      </c>
      <c r="N45" s="3134" t="s">
        <v>3035</v>
      </c>
      <c r="O45" s="3141" t="s">
        <v>3036</v>
      </c>
      <c r="Q45" s="3134" t="s">
        <v>3037</v>
      </c>
    </row>
    <row r="46" spans="1:17" ht="14.25" customHeight="1">
      <c r="A46" s="3134" t="s">
        <v>296</v>
      </c>
      <c r="B46" s="3135" t="s">
        <v>245</v>
      </c>
      <c r="C46" s="3134">
        <v>23240</v>
      </c>
      <c r="D46" s="3134">
        <v>23000</v>
      </c>
      <c r="E46" s="3134">
        <v>24980</v>
      </c>
      <c r="F46" s="3134"/>
      <c r="G46" s="3147">
        <v>16100</v>
      </c>
      <c r="N46" s="3134" t="s">
        <v>3038</v>
      </c>
      <c r="Q46" s="3134" t="s">
        <v>3039</v>
      </c>
    </row>
    <row r="47" spans="1:17" ht="14.25" customHeight="1">
      <c r="A47" s="3134" t="s">
        <v>296</v>
      </c>
      <c r="B47" s="3135" t="s">
        <v>252</v>
      </c>
      <c r="C47" s="3134">
        <v>27150</v>
      </c>
      <c r="D47" s="3134">
        <v>23310</v>
      </c>
      <c r="E47" s="3134">
        <v>25150</v>
      </c>
      <c r="F47" s="3134"/>
      <c r="G47" s="3147">
        <v>16310</v>
      </c>
      <c r="N47" s="3134" t="s">
        <v>3040</v>
      </c>
      <c r="Q47" s="3134" t="s">
        <v>3041</v>
      </c>
    </row>
    <row r="48" spans="1:17" ht="14.25" customHeight="1">
      <c r="A48" s="3134" t="s">
        <v>296</v>
      </c>
      <c r="B48" s="3135" t="s">
        <v>260</v>
      </c>
      <c r="C48" s="3134">
        <v>23100</v>
      </c>
      <c r="D48" s="3134">
        <v>21110</v>
      </c>
      <c r="E48" s="3134">
        <v>23080</v>
      </c>
      <c r="F48" s="3134"/>
      <c r="G48" s="3147">
        <v>14780</v>
      </c>
      <c r="N48" s="3134" t="s">
        <v>3042</v>
      </c>
      <c r="Q48" s="3134" t="s">
        <v>3043</v>
      </c>
    </row>
    <row r="49" spans="1:17" ht="14.25" customHeight="1">
      <c r="A49" s="3134" t="s">
        <v>296</v>
      </c>
      <c r="B49" s="3135" t="s">
        <v>267</v>
      </c>
      <c r="C49" s="3134">
        <v>23400</v>
      </c>
      <c r="D49" s="3134">
        <v>22920</v>
      </c>
      <c r="E49" s="3134">
        <v>24900</v>
      </c>
      <c r="F49" s="3134"/>
      <c r="G49" s="3147">
        <v>16040</v>
      </c>
      <c r="N49" s="3134" t="s">
        <v>3044</v>
      </c>
      <c r="Q49" s="3134" t="s">
        <v>3045</v>
      </c>
    </row>
    <row r="50" spans="1:17" ht="14.25" customHeight="1">
      <c r="A50" s="3134" t="s">
        <v>296</v>
      </c>
      <c r="B50" s="3135" t="s">
        <v>2922</v>
      </c>
      <c r="C50" s="3134">
        <v>21200</v>
      </c>
      <c r="D50" s="3134">
        <v>26540</v>
      </c>
      <c r="E50" s="3134">
        <v>23200</v>
      </c>
      <c r="F50" s="3134"/>
      <c r="G50" s="3147">
        <v>18580</v>
      </c>
      <c r="N50" s="3134" t="s">
        <v>3046</v>
      </c>
      <c r="Q50" s="3135" t="s">
        <v>3047</v>
      </c>
    </row>
    <row r="51" spans="1:17" ht="14.25" customHeight="1" thickBot="1">
      <c r="A51" s="3134" t="s">
        <v>296</v>
      </c>
      <c r="B51" s="3135" t="s">
        <v>2924</v>
      </c>
      <c r="C51" s="3134">
        <v>23000</v>
      </c>
      <c r="D51" s="3134">
        <v>23460</v>
      </c>
      <c r="E51" s="3134">
        <v>25290</v>
      </c>
      <c r="F51" s="3134"/>
      <c r="G51" s="3147">
        <v>16420</v>
      </c>
      <c r="N51" s="3134" t="s">
        <v>3048</v>
      </c>
      <c r="Q51" s="3141" t="s">
        <v>3049</v>
      </c>
    </row>
    <row r="52" spans="1:17" ht="14.25" customHeight="1">
      <c r="A52" s="3134" t="s">
        <v>296</v>
      </c>
      <c r="B52" s="3135" t="s">
        <v>2928</v>
      </c>
      <c r="C52" s="3134">
        <v>26660</v>
      </c>
      <c r="D52" s="3134">
        <v>22350</v>
      </c>
      <c r="E52" s="3134">
        <v>22920</v>
      </c>
      <c r="F52" s="3134"/>
      <c r="G52" s="3147">
        <v>15640</v>
      </c>
      <c r="N52" s="3134" t="s">
        <v>3050</v>
      </c>
    </row>
    <row r="53" spans="1:17" ht="14.25" customHeight="1">
      <c r="A53" s="3134" t="s">
        <v>296</v>
      </c>
      <c r="B53" s="3135" t="s">
        <v>2933</v>
      </c>
      <c r="C53" s="3134">
        <v>23580</v>
      </c>
      <c r="D53" s="3134"/>
      <c r="E53" s="3134">
        <v>24280</v>
      </c>
      <c r="F53" s="3134"/>
      <c r="G53" s="3147"/>
      <c r="N53" s="3134" t="s">
        <v>3051</v>
      </c>
    </row>
    <row r="54" spans="1:17" ht="14.25" customHeight="1" thickBot="1">
      <c r="A54" s="3148" t="s">
        <v>296</v>
      </c>
      <c r="B54" s="3140" t="s">
        <v>2936</v>
      </c>
      <c r="C54" s="3141">
        <v>22460</v>
      </c>
      <c r="D54" s="3141"/>
      <c r="E54" s="3141"/>
      <c r="F54" s="3141"/>
      <c r="G54" s="3149"/>
      <c r="N54" s="3134" t="s">
        <v>3052</v>
      </c>
    </row>
    <row r="55" spans="1:17" ht="14.25" customHeight="1">
      <c r="A55" s="3139" t="s">
        <v>110</v>
      </c>
      <c r="B55" s="3130" t="s">
        <v>3053</v>
      </c>
      <c r="C55" s="3134">
        <v>21970</v>
      </c>
      <c r="D55" s="3134">
        <v>20370</v>
      </c>
      <c r="E55" s="3134">
        <v>20180</v>
      </c>
      <c r="F55" s="3134">
        <v>5730</v>
      </c>
      <c r="G55" s="3134">
        <v>13820</v>
      </c>
      <c r="N55" s="3134" t="s">
        <v>3054</v>
      </c>
    </row>
    <row r="56" spans="1:17" ht="14.25" customHeight="1">
      <c r="A56" s="3134" t="s">
        <v>110</v>
      </c>
      <c r="B56" s="3134" t="s">
        <v>130</v>
      </c>
      <c r="C56" s="3134">
        <v>20470</v>
      </c>
      <c r="D56" s="3134">
        <v>20700</v>
      </c>
      <c r="E56" s="3134">
        <v>20380</v>
      </c>
      <c r="F56" s="3134">
        <v>4760</v>
      </c>
      <c r="G56" s="3134">
        <v>14050</v>
      </c>
      <c r="N56" s="3134" t="s">
        <v>3055</v>
      </c>
    </row>
    <row r="57" spans="1:17" ht="14.25" customHeight="1">
      <c r="A57" s="3134" t="s">
        <v>110</v>
      </c>
      <c r="B57" s="3134" t="s">
        <v>139</v>
      </c>
      <c r="C57" s="3134">
        <v>20790</v>
      </c>
      <c r="D57" s="3134">
        <v>21370</v>
      </c>
      <c r="E57" s="3134">
        <v>20890</v>
      </c>
      <c r="F57" s="3134">
        <v>4910</v>
      </c>
      <c r="G57" s="3134">
        <v>14510</v>
      </c>
      <c r="N57" s="3134" t="s">
        <v>3056</v>
      </c>
    </row>
    <row r="58" spans="1:17" ht="14.25" customHeight="1">
      <c r="A58" s="3134" t="s">
        <v>110</v>
      </c>
      <c r="B58" s="3134" t="s">
        <v>148</v>
      </c>
      <c r="C58" s="3134">
        <v>21460</v>
      </c>
      <c r="D58" s="3134">
        <v>20920</v>
      </c>
      <c r="E58" s="3134">
        <v>23410</v>
      </c>
      <c r="F58" s="3134">
        <v>5100</v>
      </c>
      <c r="G58" s="3134">
        <v>14200</v>
      </c>
      <c r="N58" s="3134" t="s">
        <v>3057</v>
      </c>
    </row>
    <row r="59" spans="1:17" ht="14.25" customHeight="1">
      <c r="A59" s="3134" t="s">
        <v>110</v>
      </c>
      <c r="B59" s="3134" t="s">
        <v>157</v>
      </c>
      <c r="C59" s="3134">
        <v>21000</v>
      </c>
      <c r="D59" s="3134">
        <v>21550</v>
      </c>
      <c r="E59" s="3134">
        <v>21150</v>
      </c>
      <c r="F59" s="3134">
        <v>5250</v>
      </c>
      <c r="G59" s="3134">
        <v>14630</v>
      </c>
      <c r="N59" s="3134" t="s">
        <v>3058</v>
      </c>
    </row>
    <row r="60" spans="1:17" ht="14.25" customHeight="1">
      <c r="A60" s="3134" t="s">
        <v>110</v>
      </c>
      <c r="B60" s="3134" t="s">
        <v>164</v>
      </c>
      <c r="C60" s="3134">
        <v>21640</v>
      </c>
      <c r="D60" s="3134">
        <v>21260</v>
      </c>
      <c r="E60" s="3134">
        <v>24040</v>
      </c>
      <c r="F60" s="3134">
        <v>4470</v>
      </c>
      <c r="G60" s="3134">
        <v>14430</v>
      </c>
      <c r="N60" s="3134" t="s">
        <v>3059</v>
      </c>
    </row>
    <row r="61" spans="1:17" ht="14.25" customHeight="1">
      <c r="A61" s="3134" t="s">
        <v>110</v>
      </c>
      <c r="B61" s="3134" t="s">
        <v>170</v>
      </c>
      <c r="C61" s="3134">
        <v>21330</v>
      </c>
      <c r="D61" s="3134">
        <v>18640</v>
      </c>
      <c r="E61" s="3134">
        <v>21190</v>
      </c>
      <c r="F61" s="3134">
        <v>4180</v>
      </c>
      <c r="G61" s="3134">
        <v>12650</v>
      </c>
      <c r="N61" s="3134" t="s">
        <v>3060</v>
      </c>
    </row>
    <row r="62" spans="1:17" ht="14.25" customHeight="1">
      <c r="A62" s="3134" t="s">
        <v>110</v>
      </c>
      <c r="B62" s="3134" t="s">
        <v>177</v>
      </c>
      <c r="C62" s="3134">
        <v>18710</v>
      </c>
      <c r="D62" s="3134">
        <v>19400</v>
      </c>
      <c r="E62" s="3134">
        <v>23750</v>
      </c>
      <c r="F62" s="3134">
        <v>4860</v>
      </c>
      <c r="G62" s="3134">
        <v>13170</v>
      </c>
      <c r="N62" s="3134" t="s">
        <v>3061</v>
      </c>
    </row>
    <row r="63" spans="1:17" ht="14.25" customHeight="1">
      <c r="A63" s="3134" t="s">
        <v>110</v>
      </c>
      <c r="B63" s="3134" t="s">
        <v>187</v>
      </c>
      <c r="C63" s="3134">
        <v>19480</v>
      </c>
      <c r="D63" s="3134">
        <v>16830</v>
      </c>
      <c r="E63" s="3134">
        <v>21590</v>
      </c>
      <c r="F63" s="3134">
        <v>4560</v>
      </c>
      <c r="G63" s="3134">
        <v>11420</v>
      </c>
      <c r="N63" s="3134" t="s">
        <v>3062</v>
      </c>
    </row>
    <row r="64" spans="1:17" ht="14.25" customHeight="1" thickBot="1">
      <c r="A64" s="3134" t="s">
        <v>110</v>
      </c>
      <c r="B64" s="3134" t="s">
        <v>196</v>
      </c>
      <c r="C64" s="3134">
        <v>16920</v>
      </c>
      <c r="D64" s="3134">
        <v>19190</v>
      </c>
      <c r="E64" s="3134">
        <v>22200</v>
      </c>
      <c r="F64" s="3134">
        <v>4390</v>
      </c>
      <c r="G64" s="3134">
        <v>13030</v>
      </c>
      <c r="N64" s="3141" t="s">
        <v>3063</v>
      </c>
    </row>
    <row r="65" spans="1:7" s="3123" customFormat="1" ht="14.25" customHeight="1">
      <c r="A65" s="3134" t="s">
        <v>110</v>
      </c>
      <c r="B65" s="3134" t="s">
        <v>203</v>
      </c>
      <c r="C65" s="3134">
        <v>19290</v>
      </c>
      <c r="D65" s="3134">
        <v>17020</v>
      </c>
      <c r="E65" s="3134">
        <v>19880</v>
      </c>
      <c r="F65" s="3134">
        <v>4070</v>
      </c>
      <c r="G65" s="3134">
        <v>11550</v>
      </c>
    </row>
    <row r="66" spans="1:7" s="3123" customFormat="1" ht="14.25" customHeight="1">
      <c r="A66" s="3134" t="s">
        <v>110</v>
      </c>
      <c r="B66" s="3134" t="s">
        <v>210</v>
      </c>
      <c r="C66" s="3134">
        <v>17090</v>
      </c>
      <c r="D66" s="3134">
        <v>18340</v>
      </c>
      <c r="E66" s="3134">
        <v>21830</v>
      </c>
      <c r="F66" s="3134">
        <v>4690</v>
      </c>
      <c r="G66" s="3134">
        <v>12450</v>
      </c>
    </row>
    <row r="67" spans="1:7" s="3123" customFormat="1" ht="14.25" customHeight="1">
      <c r="A67" s="3134" t="s">
        <v>110</v>
      </c>
      <c r="B67" s="3134" t="s">
        <v>216</v>
      </c>
      <c r="C67" s="3134">
        <v>18420</v>
      </c>
      <c r="D67" s="3134">
        <v>16360</v>
      </c>
      <c r="E67" s="3134">
        <v>20020</v>
      </c>
      <c r="F67" s="3134">
        <v>5150</v>
      </c>
      <c r="G67" s="3134">
        <v>11110</v>
      </c>
    </row>
    <row r="68" spans="1:7" s="3123" customFormat="1" ht="14.25" customHeight="1">
      <c r="A68" s="3134" t="s">
        <v>110</v>
      </c>
      <c r="B68" s="3134" t="s">
        <v>224</v>
      </c>
      <c r="C68" s="3134">
        <v>16450</v>
      </c>
      <c r="D68" s="3134">
        <v>18430</v>
      </c>
      <c r="E68" s="3134">
        <v>21010</v>
      </c>
      <c r="F68" s="3134">
        <v>4720</v>
      </c>
      <c r="G68" s="3134">
        <v>12510</v>
      </c>
    </row>
    <row r="69" spans="1:7" s="3123" customFormat="1" ht="14.25" customHeight="1">
      <c r="A69" s="3134" t="s">
        <v>110</v>
      </c>
      <c r="B69" s="3134" t="s">
        <v>232</v>
      </c>
      <c r="C69" s="3134">
        <v>18510</v>
      </c>
      <c r="D69" s="3134">
        <v>16300</v>
      </c>
      <c r="E69" s="3134">
        <v>18830</v>
      </c>
      <c r="F69" s="3134">
        <v>5400</v>
      </c>
      <c r="G69" s="3134">
        <v>11070</v>
      </c>
    </row>
    <row r="70" spans="1:7" s="3123" customFormat="1" ht="14.25" customHeight="1">
      <c r="A70" s="3134" t="s">
        <v>110</v>
      </c>
      <c r="B70" s="3134" t="s">
        <v>237</v>
      </c>
      <c r="C70" s="3134">
        <v>16370</v>
      </c>
      <c r="D70" s="3134">
        <v>18620</v>
      </c>
      <c r="E70" s="3134">
        <v>21100</v>
      </c>
      <c r="F70" s="3134">
        <v>5700</v>
      </c>
      <c r="G70" s="3134">
        <v>12640</v>
      </c>
    </row>
    <row r="71" spans="1:7" s="3123" customFormat="1" ht="14.25" customHeight="1">
      <c r="A71" s="3134" t="s">
        <v>110</v>
      </c>
      <c r="B71" s="3134" t="s">
        <v>246</v>
      </c>
      <c r="C71" s="3134">
        <v>18700</v>
      </c>
      <c r="D71" s="3134">
        <v>16290</v>
      </c>
      <c r="E71" s="3134">
        <v>18760</v>
      </c>
      <c r="F71" s="3134">
        <v>4780</v>
      </c>
      <c r="G71" s="3134">
        <v>11050</v>
      </c>
    </row>
    <row r="72" spans="1:7" s="3123" customFormat="1" ht="14.25" customHeight="1">
      <c r="A72" s="3134" t="s">
        <v>110</v>
      </c>
      <c r="B72" s="3134" t="s">
        <v>253</v>
      </c>
      <c r="C72" s="3134">
        <v>16340</v>
      </c>
      <c r="D72" s="3134">
        <v>17520</v>
      </c>
      <c r="E72" s="3134">
        <v>21170</v>
      </c>
      <c r="F72" s="3134"/>
      <c r="G72" s="3134">
        <v>11900</v>
      </c>
    </row>
    <row r="73" spans="1:7" s="3123" customFormat="1" ht="14.25" customHeight="1">
      <c r="A73" s="3134" t="s">
        <v>110</v>
      </c>
      <c r="B73" s="3134" t="s">
        <v>261</v>
      </c>
      <c r="C73" s="3134">
        <v>17610</v>
      </c>
      <c r="D73" s="3134">
        <v>18520</v>
      </c>
      <c r="E73" s="3134">
        <v>18720</v>
      </c>
      <c r="F73" s="3134"/>
      <c r="G73" s="3134">
        <v>12570</v>
      </c>
    </row>
    <row r="74" spans="1:7" s="3123" customFormat="1" ht="14.25" customHeight="1">
      <c r="A74" s="3134" t="s">
        <v>110</v>
      </c>
      <c r="B74" s="3134" t="s">
        <v>268</v>
      </c>
      <c r="C74" s="3134">
        <v>18600</v>
      </c>
      <c r="D74" s="3134">
        <v>16480</v>
      </c>
      <c r="E74" s="3134">
        <v>20100</v>
      </c>
      <c r="F74" s="3134"/>
      <c r="G74" s="3134">
        <v>11190</v>
      </c>
    </row>
    <row r="75" spans="1:7" s="3123" customFormat="1" ht="14.25" customHeight="1">
      <c r="A75" s="3134" t="s">
        <v>110</v>
      </c>
      <c r="B75" s="3134" t="s">
        <v>272</v>
      </c>
      <c r="C75" s="3134">
        <v>16570</v>
      </c>
      <c r="D75" s="3134">
        <v>17530</v>
      </c>
      <c r="E75" s="3134">
        <v>21030</v>
      </c>
      <c r="F75" s="3134"/>
      <c r="G75" s="3134">
        <v>11900</v>
      </c>
    </row>
    <row r="76" spans="1:7" s="3123" customFormat="1" ht="14.25" customHeight="1">
      <c r="A76" s="3134" t="s">
        <v>110</v>
      </c>
      <c r="B76" s="3134" t="s">
        <v>278</v>
      </c>
      <c r="C76" s="3134">
        <v>17610</v>
      </c>
      <c r="D76" s="3134">
        <v>20800</v>
      </c>
      <c r="E76" s="3134">
        <v>18920</v>
      </c>
      <c r="F76" s="3134"/>
      <c r="G76" s="3134">
        <v>14120</v>
      </c>
    </row>
    <row r="77" spans="1:7" s="3123" customFormat="1" ht="14.25" customHeight="1">
      <c r="A77" s="3134" t="s">
        <v>110</v>
      </c>
      <c r="B77" s="3134" t="s">
        <v>281</v>
      </c>
      <c r="C77" s="3134">
        <v>20890</v>
      </c>
      <c r="D77" s="3134">
        <v>19740</v>
      </c>
      <c r="E77" s="3134">
        <v>20110</v>
      </c>
      <c r="F77" s="3134"/>
      <c r="G77" s="3134">
        <v>13400</v>
      </c>
    </row>
    <row r="78" spans="1:7" s="3123" customFormat="1" ht="14.25" customHeight="1">
      <c r="A78" s="3134" t="s">
        <v>110</v>
      </c>
      <c r="B78" s="3134" t="s">
        <v>2934</v>
      </c>
      <c r="C78" s="3134">
        <v>19820</v>
      </c>
      <c r="D78" s="3134">
        <v>19780</v>
      </c>
      <c r="E78" s="3134">
        <v>18560</v>
      </c>
      <c r="F78" s="3134"/>
      <c r="G78" s="3134">
        <v>13430</v>
      </c>
    </row>
    <row r="79" spans="1:7" s="3123" customFormat="1" ht="14.25" customHeight="1">
      <c r="A79" s="3134" t="s">
        <v>110</v>
      </c>
      <c r="B79" s="3134" t="s">
        <v>2937</v>
      </c>
      <c r="C79" s="3134">
        <v>21660</v>
      </c>
      <c r="D79" s="3134">
        <v>18000</v>
      </c>
      <c r="E79" s="3134">
        <v>22570</v>
      </c>
      <c r="F79" s="3134"/>
      <c r="G79" s="3134">
        <v>12220</v>
      </c>
    </row>
    <row r="80" spans="1:7" s="3123" customFormat="1" ht="14.25" customHeight="1">
      <c r="A80" s="3134" t="s">
        <v>110</v>
      </c>
      <c r="B80" s="3134" t="s">
        <v>2941</v>
      </c>
      <c r="C80" s="3134">
        <v>19850</v>
      </c>
      <c r="D80" s="3134"/>
      <c r="E80" s="3134">
        <v>21700</v>
      </c>
      <c r="F80" s="3134"/>
      <c r="G80" s="3134"/>
    </row>
    <row r="81" spans="1:7" s="3123" customFormat="1" ht="14.25" customHeight="1">
      <c r="A81" s="3134" t="s">
        <v>110</v>
      </c>
      <c r="B81" s="3134" t="s">
        <v>2946</v>
      </c>
      <c r="C81" s="3134">
        <v>18080</v>
      </c>
      <c r="D81" s="3134"/>
      <c r="E81" s="3134">
        <v>20900</v>
      </c>
      <c r="F81" s="3134"/>
      <c r="G81" s="3134"/>
    </row>
    <row r="82" spans="1:7" s="3123" customFormat="1" ht="14.25" customHeight="1">
      <c r="A82" s="3134" t="s">
        <v>110</v>
      </c>
      <c r="B82" s="3134" t="s">
        <v>2953</v>
      </c>
      <c r="C82" s="3134"/>
      <c r="D82" s="3134"/>
      <c r="E82" s="3134">
        <v>20840</v>
      </c>
      <c r="F82" s="3134"/>
      <c r="G82" s="3134"/>
    </row>
    <row r="83" spans="1:7" s="3123" customFormat="1" ht="14.25" customHeight="1">
      <c r="A83" s="3134" t="s">
        <v>110</v>
      </c>
      <c r="B83" s="3134" t="s">
        <v>3064</v>
      </c>
      <c r="C83" s="3134"/>
      <c r="D83" s="3134"/>
      <c r="E83" s="3134"/>
      <c r="F83" s="3134">
        <v>4770</v>
      </c>
      <c r="G83" s="3134"/>
    </row>
    <row r="84" spans="1:7" s="3123" customFormat="1" ht="14.25" customHeight="1">
      <c r="A84" s="3134" t="s">
        <v>110</v>
      </c>
      <c r="B84" s="3134" t="s">
        <v>3065</v>
      </c>
      <c r="C84" s="3134"/>
      <c r="D84" s="3134"/>
      <c r="E84" s="3134"/>
      <c r="F84" s="3134">
        <v>4600</v>
      </c>
      <c r="G84" s="3134"/>
    </row>
    <row r="85" spans="1:7" s="3123" customFormat="1" ht="14.25" customHeight="1">
      <c r="A85" s="3134" t="s">
        <v>110</v>
      </c>
      <c r="B85" s="3134" t="s">
        <v>3066</v>
      </c>
      <c r="C85" s="3134"/>
      <c r="D85" s="3134"/>
      <c r="E85" s="3134"/>
      <c r="F85" s="3134">
        <v>4680</v>
      </c>
      <c r="G85" s="3134"/>
    </row>
    <row r="86" spans="1:7" s="3123" customFormat="1" ht="14.25" customHeight="1" thickBot="1">
      <c r="A86" s="3142" t="s">
        <v>110</v>
      </c>
      <c r="B86" s="3144" t="s">
        <v>3067</v>
      </c>
      <c r="C86" s="3145">
        <v>16610</v>
      </c>
      <c r="D86" s="3145">
        <v>16540</v>
      </c>
      <c r="E86" s="3145">
        <v>18850</v>
      </c>
      <c r="F86" s="3145"/>
      <c r="G86" s="3145">
        <v>11220</v>
      </c>
    </row>
    <row r="87" spans="1:7" s="3123" customFormat="1" ht="14.25" customHeight="1">
      <c r="A87" s="3139" t="s">
        <v>303</v>
      </c>
      <c r="B87" s="3130" t="s">
        <v>3068</v>
      </c>
      <c r="C87" s="3130">
        <v>15240</v>
      </c>
      <c r="D87" s="3130">
        <v>15170</v>
      </c>
      <c r="E87" s="3130">
        <v>18260</v>
      </c>
      <c r="F87" s="3130">
        <v>3830</v>
      </c>
      <c r="G87" s="3146">
        <v>10020</v>
      </c>
    </row>
    <row r="88" spans="1:7" s="3123" customFormat="1" ht="14.25" customHeight="1">
      <c r="A88" s="3134" t="s">
        <v>303</v>
      </c>
      <c r="B88" s="3134" t="s">
        <v>131</v>
      </c>
      <c r="C88" s="3134">
        <v>17310</v>
      </c>
      <c r="D88" s="3134">
        <v>17220</v>
      </c>
      <c r="E88" s="3134">
        <v>18610</v>
      </c>
      <c r="F88" s="3134">
        <v>3990</v>
      </c>
      <c r="G88" s="3147">
        <v>11380</v>
      </c>
    </row>
    <row r="89" spans="1:7" s="3123" customFormat="1" ht="14.25" customHeight="1">
      <c r="A89" s="3134" t="s">
        <v>303</v>
      </c>
      <c r="B89" s="3134" t="s">
        <v>140</v>
      </c>
      <c r="C89" s="3134">
        <v>15600</v>
      </c>
      <c r="D89" s="3134">
        <v>15550</v>
      </c>
      <c r="E89" s="3134">
        <v>19200</v>
      </c>
      <c r="F89" s="3134">
        <v>4110</v>
      </c>
      <c r="G89" s="3147">
        <v>10270</v>
      </c>
    </row>
    <row r="90" spans="1:7" s="3123" customFormat="1" ht="14.25" customHeight="1">
      <c r="A90" s="3134" t="s">
        <v>303</v>
      </c>
      <c r="B90" s="3134" t="s">
        <v>149</v>
      </c>
      <c r="C90" s="3134">
        <v>17330</v>
      </c>
      <c r="D90" s="3134">
        <v>17240</v>
      </c>
      <c r="E90" s="3134">
        <v>18570</v>
      </c>
      <c r="F90" s="3134">
        <v>4070</v>
      </c>
      <c r="G90" s="3147">
        <v>11390</v>
      </c>
    </row>
    <row r="91" spans="1:7" s="3123" customFormat="1" ht="14.25" customHeight="1">
      <c r="A91" s="3134" t="s">
        <v>303</v>
      </c>
      <c r="B91" s="3134" t="s">
        <v>158</v>
      </c>
      <c r="C91" s="3134">
        <v>16330</v>
      </c>
      <c r="D91" s="3134">
        <v>16260</v>
      </c>
      <c r="E91" s="3134">
        <v>16800</v>
      </c>
      <c r="F91" s="3134">
        <v>3410</v>
      </c>
      <c r="G91" s="3147">
        <v>10740</v>
      </c>
    </row>
    <row r="92" spans="1:7" s="3123" customFormat="1" ht="14.25" customHeight="1">
      <c r="A92" s="3134" t="s">
        <v>303</v>
      </c>
      <c r="B92" s="3134" t="s">
        <v>165</v>
      </c>
      <c r="C92" s="3134">
        <v>15570</v>
      </c>
      <c r="D92" s="3134">
        <v>15500</v>
      </c>
      <c r="E92" s="3134">
        <v>17360</v>
      </c>
      <c r="F92" s="3134">
        <v>3510</v>
      </c>
      <c r="G92" s="3147">
        <v>10240</v>
      </c>
    </row>
    <row r="93" spans="1:7" s="3123" customFormat="1" ht="14.25" customHeight="1">
      <c r="A93" s="3134" t="s">
        <v>303</v>
      </c>
      <c r="B93" s="3134" t="s">
        <v>171</v>
      </c>
      <c r="C93" s="3134">
        <v>14000</v>
      </c>
      <c r="D93" s="3134">
        <v>13930</v>
      </c>
      <c r="E93" s="3134">
        <v>18200</v>
      </c>
      <c r="F93" s="3134">
        <v>3640</v>
      </c>
      <c r="G93" s="3147">
        <v>9210</v>
      </c>
    </row>
    <row r="94" spans="1:7" s="3123" customFormat="1" ht="14.25" customHeight="1">
      <c r="A94" s="3134" t="s">
        <v>303</v>
      </c>
      <c r="B94" s="3134" t="s">
        <v>178</v>
      </c>
      <c r="C94" s="3134">
        <v>14530</v>
      </c>
      <c r="D94" s="3134">
        <v>14470</v>
      </c>
      <c r="E94" s="3134">
        <v>18240</v>
      </c>
      <c r="F94" s="3134">
        <v>3180</v>
      </c>
      <c r="G94" s="3147">
        <v>9560</v>
      </c>
    </row>
    <row r="95" spans="1:7" s="3123" customFormat="1" ht="14.25" customHeight="1">
      <c r="A95" s="3134" t="s">
        <v>303</v>
      </c>
      <c r="B95" s="3134" t="s">
        <v>188</v>
      </c>
      <c r="C95" s="3134">
        <v>17330</v>
      </c>
      <c r="D95" s="3134">
        <v>17260</v>
      </c>
      <c r="E95" s="3134">
        <v>18420</v>
      </c>
      <c r="F95" s="3134">
        <v>3060</v>
      </c>
      <c r="G95" s="3147">
        <v>11410</v>
      </c>
    </row>
    <row r="96" spans="1:7" s="3123" customFormat="1" ht="14.25" customHeight="1">
      <c r="A96" s="3134" t="s">
        <v>303</v>
      </c>
      <c r="B96" s="3134" t="s">
        <v>197</v>
      </c>
      <c r="C96" s="3134">
        <v>15030</v>
      </c>
      <c r="D96" s="3134">
        <v>14970</v>
      </c>
      <c r="E96" s="3134">
        <v>17580</v>
      </c>
      <c r="F96" s="3134">
        <v>2970</v>
      </c>
      <c r="G96" s="3147">
        <v>9890</v>
      </c>
    </row>
    <row r="97" spans="1:7" s="3123" customFormat="1" ht="14.25" customHeight="1">
      <c r="A97" s="3134" t="s">
        <v>303</v>
      </c>
      <c r="B97" s="3134" t="s">
        <v>204</v>
      </c>
      <c r="C97" s="3134">
        <v>17400</v>
      </c>
      <c r="D97" s="3134">
        <v>17330</v>
      </c>
      <c r="E97" s="3134">
        <v>16430</v>
      </c>
      <c r="F97" s="3134">
        <v>2950</v>
      </c>
      <c r="G97" s="3147">
        <v>11450</v>
      </c>
    </row>
    <row r="98" spans="1:7" s="3123" customFormat="1" ht="14.25" customHeight="1">
      <c r="A98" s="3134" t="s">
        <v>303</v>
      </c>
      <c r="B98" s="3134" t="s">
        <v>211</v>
      </c>
      <c r="C98" s="3134">
        <v>15200</v>
      </c>
      <c r="D98" s="3134">
        <v>15120</v>
      </c>
      <c r="E98" s="3134">
        <v>17550</v>
      </c>
      <c r="F98" s="3134">
        <v>3080</v>
      </c>
      <c r="G98" s="3147">
        <v>9990</v>
      </c>
    </row>
    <row r="99" spans="1:7" s="3123" customFormat="1" ht="14.25" customHeight="1">
      <c r="A99" s="3134" t="s">
        <v>303</v>
      </c>
      <c r="B99" s="3134" t="s">
        <v>217</v>
      </c>
      <c r="C99" s="3134">
        <v>17520</v>
      </c>
      <c r="D99" s="3134">
        <v>17430</v>
      </c>
      <c r="E99" s="3134">
        <v>16350</v>
      </c>
      <c r="F99" s="3134">
        <v>3260</v>
      </c>
      <c r="G99" s="3147">
        <v>11510</v>
      </c>
    </row>
    <row r="100" spans="1:7" s="3123" customFormat="1" ht="14.25" customHeight="1">
      <c r="A100" s="3134" t="s">
        <v>303</v>
      </c>
      <c r="B100" s="3134" t="s">
        <v>225</v>
      </c>
      <c r="C100" s="3134">
        <v>15340</v>
      </c>
      <c r="D100" s="3134">
        <v>15260</v>
      </c>
      <c r="E100" s="3134">
        <v>15930</v>
      </c>
      <c r="F100" s="3134">
        <v>2740</v>
      </c>
      <c r="G100" s="3147">
        <v>10080</v>
      </c>
    </row>
    <row r="101" spans="1:7" s="3123" customFormat="1" ht="14.25" customHeight="1">
      <c r="A101" s="3134" t="s">
        <v>303</v>
      </c>
      <c r="B101" s="3134" t="s">
        <v>233</v>
      </c>
      <c r="C101" s="3134">
        <v>14620</v>
      </c>
      <c r="D101" s="3134">
        <v>14560</v>
      </c>
      <c r="E101" s="3134">
        <v>15570</v>
      </c>
      <c r="F101" s="3134">
        <v>3500</v>
      </c>
      <c r="G101" s="3147">
        <v>9630</v>
      </c>
    </row>
    <row r="102" spans="1:7" s="3123" customFormat="1" ht="14.25" customHeight="1">
      <c r="A102" s="3134" t="s">
        <v>303</v>
      </c>
      <c r="B102" s="3134" t="s">
        <v>238</v>
      </c>
      <c r="C102" s="3134">
        <v>13680</v>
      </c>
      <c r="D102" s="3134">
        <v>13610</v>
      </c>
      <c r="E102" s="3134">
        <v>15690</v>
      </c>
      <c r="F102" s="3134">
        <v>2870</v>
      </c>
      <c r="G102" s="3147">
        <v>8990</v>
      </c>
    </row>
    <row r="103" spans="1:7" s="3123" customFormat="1" ht="14.25" customHeight="1">
      <c r="A103" s="3134" t="s">
        <v>303</v>
      </c>
      <c r="B103" s="3134" t="s">
        <v>247</v>
      </c>
      <c r="C103" s="3134">
        <v>14620</v>
      </c>
      <c r="D103" s="3134">
        <v>14540</v>
      </c>
      <c r="E103" s="3134">
        <v>15240</v>
      </c>
      <c r="F103" s="3134">
        <v>2840</v>
      </c>
      <c r="G103" s="3147">
        <v>9610</v>
      </c>
    </row>
    <row r="104" spans="1:7" s="3123" customFormat="1" ht="14.25" customHeight="1">
      <c r="A104" s="3134" t="s">
        <v>303</v>
      </c>
      <c r="B104" s="3134" t="s">
        <v>254</v>
      </c>
      <c r="C104" s="3134">
        <v>13610</v>
      </c>
      <c r="D104" s="3134">
        <v>13540</v>
      </c>
      <c r="E104" s="3134">
        <v>15750</v>
      </c>
      <c r="F104" s="3134">
        <v>2770</v>
      </c>
      <c r="G104" s="3147">
        <v>8940</v>
      </c>
    </row>
    <row r="105" spans="1:7" s="3123" customFormat="1" ht="14.25" customHeight="1">
      <c r="A105" s="3134" t="s">
        <v>303</v>
      </c>
      <c r="B105" s="3134" t="s">
        <v>262</v>
      </c>
      <c r="C105" s="3134">
        <v>13310</v>
      </c>
      <c r="D105" s="3134">
        <v>13240</v>
      </c>
      <c r="E105" s="3134">
        <v>16280</v>
      </c>
      <c r="F105" s="3134">
        <v>3210</v>
      </c>
      <c r="G105" s="3147">
        <v>8750</v>
      </c>
    </row>
    <row r="106" spans="1:7" s="3123" customFormat="1" ht="14.25" customHeight="1">
      <c r="A106" s="3134" t="s">
        <v>303</v>
      </c>
      <c r="B106" s="3134" t="s">
        <v>269</v>
      </c>
      <c r="C106" s="3134">
        <v>13010</v>
      </c>
      <c r="D106" s="3134">
        <v>12930</v>
      </c>
      <c r="E106" s="3134">
        <v>14960</v>
      </c>
      <c r="F106" s="3134">
        <v>3530</v>
      </c>
      <c r="G106" s="3147">
        <v>8550</v>
      </c>
    </row>
    <row r="107" spans="1:7" s="3123" customFormat="1" ht="14.25" customHeight="1">
      <c r="A107" s="3134" t="s">
        <v>303</v>
      </c>
      <c r="B107" s="3134" t="s">
        <v>273</v>
      </c>
      <c r="C107" s="3134">
        <v>13070</v>
      </c>
      <c r="D107" s="3134">
        <v>13000</v>
      </c>
      <c r="E107" s="3134">
        <v>15910</v>
      </c>
      <c r="F107" s="3134">
        <v>3990</v>
      </c>
      <c r="G107" s="3147">
        <v>8580</v>
      </c>
    </row>
    <row r="108" spans="1:7" s="3123" customFormat="1" ht="14.25" customHeight="1">
      <c r="A108" s="3134" t="s">
        <v>303</v>
      </c>
      <c r="B108" s="3134" t="s">
        <v>279</v>
      </c>
      <c r="C108" s="3134">
        <v>12640</v>
      </c>
      <c r="D108" s="3134">
        <v>12580</v>
      </c>
      <c r="E108" s="3134">
        <v>15730</v>
      </c>
      <c r="F108" s="3134"/>
      <c r="G108" s="3147">
        <v>8310</v>
      </c>
    </row>
    <row r="109" spans="1:7" s="3123" customFormat="1" ht="14.25" customHeight="1">
      <c r="A109" s="3134" t="s">
        <v>303</v>
      </c>
      <c r="B109" s="3134" t="s">
        <v>282</v>
      </c>
      <c r="C109" s="3134">
        <v>13130</v>
      </c>
      <c r="D109" s="3134">
        <v>13070</v>
      </c>
      <c r="E109" s="3134">
        <v>15000</v>
      </c>
      <c r="F109" s="3134"/>
      <c r="G109" s="3147">
        <v>8630</v>
      </c>
    </row>
    <row r="110" spans="1:7" s="3123" customFormat="1" ht="14.25" customHeight="1">
      <c r="A110" s="3134" t="s">
        <v>303</v>
      </c>
      <c r="B110" s="3134" t="s">
        <v>284</v>
      </c>
      <c r="C110" s="3134">
        <v>13560</v>
      </c>
      <c r="D110" s="3134">
        <v>13490</v>
      </c>
      <c r="E110" s="3134">
        <v>16300</v>
      </c>
      <c r="F110" s="3134"/>
      <c r="G110" s="3147">
        <v>8920</v>
      </c>
    </row>
    <row r="111" spans="1:7" s="3123" customFormat="1" ht="14.25" customHeight="1">
      <c r="A111" s="3134" t="s">
        <v>303</v>
      </c>
      <c r="B111" s="3134" t="s">
        <v>287</v>
      </c>
      <c r="C111" s="3134">
        <v>12440</v>
      </c>
      <c r="D111" s="3134">
        <v>12380</v>
      </c>
      <c r="E111" s="3134">
        <v>17850</v>
      </c>
      <c r="F111" s="3134"/>
      <c r="G111" s="3147">
        <v>8180</v>
      </c>
    </row>
    <row r="112" spans="1:7" s="3123" customFormat="1" ht="14.25" customHeight="1">
      <c r="A112" s="3134" t="s">
        <v>303</v>
      </c>
      <c r="B112" s="3134" t="s">
        <v>291</v>
      </c>
      <c r="C112" s="3134">
        <v>13260</v>
      </c>
      <c r="D112" s="3134">
        <v>13180</v>
      </c>
      <c r="E112" s="3134">
        <v>19740</v>
      </c>
      <c r="F112" s="3134"/>
      <c r="G112" s="3147">
        <v>8710</v>
      </c>
    </row>
    <row r="113" spans="1:7" s="3123" customFormat="1" ht="14.25" customHeight="1">
      <c r="A113" s="3134" t="s">
        <v>303</v>
      </c>
      <c r="B113" s="3134" t="s">
        <v>2947</v>
      </c>
      <c r="C113" s="3134">
        <v>15520</v>
      </c>
      <c r="D113" s="3134">
        <v>15450</v>
      </c>
      <c r="E113" s="3134"/>
      <c r="F113" s="3134"/>
      <c r="G113" s="3147">
        <v>10210</v>
      </c>
    </row>
    <row r="114" spans="1:7" s="3123" customFormat="1" ht="14.25" customHeight="1">
      <c r="A114" s="3134" t="s">
        <v>303</v>
      </c>
      <c r="B114" s="3134" t="s">
        <v>2954</v>
      </c>
      <c r="C114" s="3134">
        <v>13110</v>
      </c>
      <c r="D114" s="3134">
        <v>13050</v>
      </c>
      <c r="E114" s="3134"/>
      <c r="F114" s="3134"/>
      <c r="G114" s="3147">
        <v>8620</v>
      </c>
    </row>
    <row r="115" spans="1:7" s="3123" customFormat="1" ht="14.25" customHeight="1">
      <c r="A115" s="3134" t="s">
        <v>303</v>
      </c>
      <c r="B115" s="3134" t="s">
        <v>2960</v>
      </c>
      <c r="C115" s="3134">
        <v>12460</v>
      </c>
      <c r="D115" s="3134">
        <v>12390</v>
      </c>
      <c r="E115" s="3134"/>
      <c r="F115" s="3134"/>
      <c r="G115" s="3147">
        <v>8190</v>
      </c>
    </row>
    <row r="116" spans="1:7" s="3123" customFormat="1" ht="14.25" customHeight="1">
      <c r="A116" s="3134" t="s">
        <v>303</v>
      </c>
      <c r="B116" s="3134" t="s">
        <v>2967</v>
      </c>
      <c r="C116" s="3134">
        <v>13580</v>
      </c>
      <c r="D116" s="3134">
        <v>13520</v>
      </c>
      <c r="E116" s="3134"/>
      <c r="F116" s="3134"/>
      <c r="G116" s="3147">
        <v>8930</v>
      </c>
    </row>
    <row r="117" spans="1:7" s="3123" customFormat="1" ht="14.25" customHeight="1">
      <c r="A117" s="3134" t="s">
        <v>303</v>
      </c>
      <c r="B117" s="3134" t="s">
        <v>2974</v>
      </c>
      <c r="C117" s="3134">
        <v>17120</v>
      </c>
      <c r="D117" s="3134">
        <v>17040</v>
      </c>
      <c r="E117" s="3134"/>
      <c r="F117" s="3134"/>
      <c r="G117" s="3147">
        <v>11260</v>
      </c>
    </row>
    <row r="118" spans="1:7" s="3123" customFormat="1" ht="14.25" customHeight="1">
      <c r="A118" s="3134" t="s">
        <v>303</v>
      </c>
      <c r="B118" s="3134" t="s">
        <v>2979</v>
      </c>
      <c r="C118" s="3134">
        <v>14860</v>
      </c>
      <c r="D118" s="3134">
        <v>14790</v>
      </c>
      <c r="E118" s="3134"/>
      <c r="F118" s="3134"/>
      <c r="G118" s="3147">
        <v>9780</v>
      </c>
    </row>
    <row r="119" spans="1:7" s="3123" customFormat="1" ht="14.25" customHeight="1">
      <c r="A119" s="3134" t="s">
        <v>303</v>
      </c>
      <c r="B119" s="3134" t="s">
        <v>2983</v>
      </c>
      <c r="C119" s="3134">
        <v>16470</v>
      </c>
      <c r="D119" s="3134">
        <v>16400</v>
      </c>
      <c r="E119" s="3134"/>
      <c r="F119" s="3134"/>
      <c r="G119" s="3147">
        <v>10840</v>
      </c>
    </row>
    <row r="120" spans="1:7" s="3123" customFormat="1" ht="14.25" customHeight="1">
      <c r="A120" s="3134" t="s">
        <v>303</v>
      </c>
      <c r="B120" s="3134" t="s">
        <v>3069</v>
      </c>
      <c r="C120" s="3134"/>
      <c r="D120" s="3134"/>
      <c r="E120" s="3134"/>
      <c r="F120" s="3134">
        <v>4160</v>
      </c>
      <c r="G120" s="3147"/>
    </row>
    <row r="121" spans="1:7" s="3123" customFormat="1" ht="14.25" customHeight="1">
      <c r="A121" s="3134" t="s">
        <v>303</v>
      </c>
      <c r="B121" s="3134" t="s">
        <v>3070</v>
      </c>
      <c r="C121" s="3134"/>
      <c r="D121" s="3134"/>
      <c r="E121" s="3134"/>
      <c r="F121" s="3134">
        <v>3880</v>
      </c>
      <c r="G121" s="3147"/>
    </row>
    <row r="122" spans="1:7" s="3123" customFormat="1" ht="14.25" customHeight="1">
      <c r="A122" s="3134" t="s">
        <v>303</v>
      </c>
      <c r="B122" s="3134" t="s">
        <v>3071</v>
      </c>
      <c r="C122" s="3134">
        <v>13750</v>
      </c>
      <c r="D122" s="3134">
        <v>13680</v>
      </c>
      <c r="E122" s="3134">
        <v>16460</v>
      </c>
      <c r="F122" s="3134">
        <v>2880</v>
      </c>
      <c r="G122" s="3147">
        <v>9040</v>
      </c>
    </row>
    <row r="123" spans="1:7" s="3123" customFormat="1" ht="14.25" customHeight="1">
      <c r="A123" s="3134" t="s">
        <v>303</v>
      </c>
      <c r="B123" s="3134" t="s">
        <v>3002</v>
      </c>
      <c r="C123" s="3134">
        <v>13590</v>
      </c>
      <c r="D123" s="3134">
        <v>13520</v>
      </c>
      <c r="E123" s="3134">
        <v>16290</v>
      </c>
      <c r="F123" s="3134">
        <v>2790</v>
      </c>
      <c r="G123" s="3147">
        <v>8930</v>
      </c>
    </row>
    <row r="124" spans="1:7" s="3123" customFormat="1" ht="14.25" customHeight="1">
      <c r="A124" s="3134" t="s">
        <v>303</v>
      </c>
      <c r="B124" s="3134" t="s">
        <v>3007</v>
      </c>
      <c r="C124" s="3134">
        <v>13400</v>
      </c>
      <c r="D124" s="3134">
        <v>13320</v>
      </c>
      <c r="E124" s="3134">
        <v>16100</v>
      </c>
      <c r="F124" s="3134">
        <v>2320</v>
      </c>
      <c r="G124" s="3147">
        <v>8800</v>
      </c>
    </row>
    <row r="125" spans="1:7" s="3123" customFormat="1" ht="14.25" customHeight="1">
      <c r="A125" s="3134" t="s">
        <v>303</v>
      </c>
      <c r="B125" s="3134" t="s">
        <v>3012</v>
      </c>
      <c r="C125" s="3134">
        <v>12860</v>
      </c>
      <c r="D125" s="3134">
        <v>12790</v>
      </c>
      <c r="E125" s="3134">
        <v>15370</v>
      </c>
      <c r="F125" s="3134">
        <v>2280</v>
      </c>
      <c r="G125" s="3147">
        <v>8450</v>
      </c>
    </row>
    <row r="126" spans="1:7" s="3123" customFormat="1" ht="14.25" customHeight="1" thickBot="1">
      <c r="A126" s="3148" t="s">
        <v>303</v>
      </c>
      <c r="B126" s="3141" t="s">
        <v>3017</v>
      </c>
      <c r="C126" s="3141">
        <v>12960</v>
      </c>
      <c r="D126" s="3141">
        <v>12890</v>
      </c>
      <c r="E126" s="3141">
        <v>15530</v>
      </c>
      <c r="F126" s="3141">
        <v>2910</v>
      </c>
      <c r="G126" s="3149">
        <v>8520</v>
      </c>
    </row>
    <row r="127" spans="1:7" s="3123" customFormat="1" ht="14.25" customHeight="1">
      <c r="A127" s="3139" t="s">
        <v>29</v>
      </c>
      <c r="B127" s="3130" t="s">
        <v>3072</v>
      </c>
      <c r="C127" s="3134">
        <v>12280</v>
      </c>
      <c r="D127" s="3134">
        <v>12250</v>
      </c>
      <c r="E127" s="3134">
        <v>15130</v>
      </c>
      <c r="F127" s="3134">
        <v>2710</v>
      </c>
      <c r="G127" s="3134">
        <v>7870</v>
      </c>
    </row>
    <row r="128" spans="1:7" s="3123" customFormat="1" ht="14.25" customHeight="1">
      <c r="A128" s="3134" t="s">
        <v>29</v>
      </c>
      <c r="B128" s="3134" t="s">
        <v>132</v>
      </c>
      <c r="C128" s="3134">
        <v>13180</v>
      </c>
      <c r="D128" s="3134">
        <v>13150</v>
      </c>
      <c r="E128" s="3134">
        <v>16190</v>
      </c>
      <c r="F128" s="3134">
        <v>2820</v>
      </c>
      <c r="G128" s="3134">
        <v>8460</v>
      </c>
    </row>
    <row r="129" spans="1:7" s="3123" customFormat="1" ht="14.25" customHeight="1">
      <c r="A129" s="3134" t="s">
        <v>29</v>
      </c>
      <c r="B129" s="3134" t="s">
        <v>141</v>
      </c>
      <c r="C129" s="3134">
        <v>10950</v>
      </c>
      <c r="D129" s="3134">
        <v>10920</v>
      </c>
      <c r="E129" s="3134">
        <v>13820</v>
      </c>
      <c r="F129" s="3134">
        <v>2500</v>
      </c>
      <c r="G129" s="3134">
        <v>7020</v>
      </c>
    </row>
    <row r="130" spans="1:7" s="3123" customFormat="1" ht="14.25" customHeight="1">
      <c r="A130" s="3134" t="s">
        <v>29</v>
      </c>
      <c r="B130" s="3134" t="s">
        <v>150</v>
      </c>
      <c r="C130" s="3134">
        <v>10910</v>
      </c>
      <c r="D130" s="3134">
        <v>10860</v>
      </c>
      <c r="E130" s="3134">
        <v>13730</v>
      </c>
      <c r="F130" s="3134">
        <v>2760</v>
      </c>
      <c r="G130" s="3134">
        <v>6990</v>
      </c>
    </row>
    <row r="131" spans="1:7" s="3123" customFormat="1" ht="14.25" customHeight="1">
      <c r="A131" s="3134" t="s">
        <v>29</v>
      </c>
      <c r="B131" s="3134" t="s">
        <v>159</v>
      </c>
      <c r="C131" s="3134">
        <v>12910</v>
      </c>
      <c r="D131" s="3134">
        <v>12870</v>
      </c>
      <c r="E131" s="3134">
        <v>15720</v>
      </c>
      <c r="F131" s="3134">
        <v>2750</v>
      </c>
      <c r="G131" s="3134">
        <v>8280</v>
      </c>
    </row>
    <row r="132" spans="1:7" s="3123" customFormat="1" ht="14.25" customHeight="1">
      <c r="A132" s="3134" t="s">
        <v>29</v>
      </c>
      <c r="B132" s="3134" t="s">
        <v>166</v>
      </c>
      <c r="C132" s="3134">
        <v>11910</v>
      </c>
      <c r="D132" s="3134">
        <v>11860</v>
      </c>
      <c r="E132" s="3134">
        <v>14730</v>
      </c>
      <c r="F132" s="3134">
        <v>2360</v>
      </c>
      <c r="G132" s="3134">
        <v>7630</v>
      </c>
    </row>
    <row r="133" spans="1:7" s="3123" customFormat="1" ht="14.25" customHeight="1">
      <c r="A133" s="3134" t="s">
        <v>29</v>
      </c>
      <c r="B133" s="3134" t="s">
        <v>172</v>
      </c>
      <c r="C133" s="3134">
        <v>12270</v>
      </c>
      <c r="D133" s="3134">
        <v>12210</v>
      </c>
      <c r="E133" s="3134">
        <v>15010</v>
      </c>
      <c r="F133" s="3134">
        <v>2580</v>
      </c>
      <c r="G133" s="3134">
        <v>7860</v>
      </c>
    </row>
    <row r="134" spans="1:7" s="3123" customFormat="1" ht="14.25" customHeight="1">
      <c r="A134" s="3134" t="s">
        <v>29</v>
      </c>
      <c r="B134" s="3134" t="s">
        <v>179</v>
      </c>
      <c r="C134" s="3134">
        <v>10800</v>
      </c>
      <c r="D134" s="3134">
        <v>10780</v>
      </c>
      <c r="E134" s="3134">
        <v>13640</v>
      </c>
      <c r="F134" s="3134">
        <v>2110</v>
      </c>
      <c r="G134" s="3134">
        <v>6930</v>
      </c>
    </row>
    <row r="135" spans="1:7" s="3123" customFormat="1" ht="14.25" customHeight="1">
      <c r="A135" s="3134" t="s">
        <v>29</v>
      </c>
      <c r="B135" s="3134" t="s">
        <v>189</v>
      </c>
      <c r="C135" s="3134">
        <v>10430</v>
      </c>
      <c r="D135" s="3134">
        <v>10390</v>
      </c>
      <c r="E135" s="3134">
        <v>13140</v>
      </c>
      <c r="F135" s="3134">
        <v>2240</v>
      </c>
      <c r="G135" s="3134">
        <v>6680</v>
      </c>
    </row>
    <row r="136" spans="1:7" s="3123" customFormat="1" ht="14.25" customHeight="1">
      <c r="A136" s="3134" t="s">
        <v>29</v>
      </c>
      <c r="B136" s="3134" t="s">
        <v>198</v>
      </c>
      <c r="C136" s="3134">
        <v>11930</v>
      </c>
      <c r="D136" s="3134">
        <v>11880</v>
      </c>
      <c r="E136" s="3134">
        <v>14770</v>
      </c>
      <c r="F136" s="3134">
        <v>1970</v>
      </c>
      <c r="G136" s="3134">
        <v>7640</v>
      </c>
    </row>
    <row r="137" spans="1:7" s="3123" customFormat="1" ht="14.25" customHeight="1">
      <c r="A137" s="3134" t="s">
        <v>29</v>
      </c>
      <c r="B137" s="3134" t="s">
        <v>205</v>
      </c>
      <c r="C137" s="3134">
        <v>10470</v>
      </c>
      <c r="D137" s="3134">
        <v>10430</v>
      </c>
      <c r="E137" s="3134">
        <v>13190</v>
      </c>
      <c r="F137" s="3134">
        <v>1990</v>
      </c>
      <c r="G137" s="3134">
        <v>6710</v>
      </c>
    </row>
    <row r="138" spans="1:7" s="3123" customFormat="1" ht="14.25" customHeight="1">
      <c r="A138" s="3134" t="s">
        <v>29</v>
      </c>
      <c r="B138" s="3134" t="s">
        <v>212</v>
      </c>
      <c r="C138" s="3134">
        <v>10410</v>
      </c>
      <c r="D138" s="3134">
        <v>10380</v>
      </c>
      <c r="E138" s="3134">
        <v>13130</v>
      </c>
      <c r="F138" s="3134">
        <v>2030</v>
      </c>
      <c r="G138" s="3134">
        <v>6680</v>
      </c>
    </row>
    <row r="139" spans="1:7" s="3123" customFormat="1" ht="14.25" customHeight="1">
      <c r="A139" s="3134" t="s">
        <v>29</v>
      </c>
      <c r="B139" s="3134" t="s">
        <v>218</v>
      </c>
      <c r="C139" s="3134">
        <v>9460</v>
      </c>
      <c r="D139" s="3134">
        <v>9410</v>
      </c>
      <c r="E139" s="3134">
        <v>12050</v>
      </c>
      <c r="F139" s="3134">
        <v>2140</v>
      </c>
      <c r="G139" s="3134">
        <v>6050</v>
      </c>
    </row>
    <row r="140" spans="1:7" s="3123" customFormat="1" ht="14.25" customHeight="1">
      <c r="A140" s="3134" t="s">
        <v>29</v>
      </c>
      <c r="B140" s="3134" t="s">
        <v>226</v>
      </c>
      <c r="C140" s="3134">
        <v>11030</v>
      </c>
      <c r="D140" s="3134">
        <v>10980</v>
      </c>
      <c r="E140" s="3134">
        <v>13880</v>
      </c>
      <c r="F140" s="3134">
        <v>2210</v>
      </c>
      <c r="G140" s="3134">
        <v>7060</v>
      </c>
    </row>
    <row r="141" spans="1:7" s="3123" customFormat="1" ht="14.25" customHeight="1">
      <c r="A141" s="3134" t="s">
        <v>29</v>
      </c>
      <c r="B141" s="3134" t="s">
        <v>234</v>
      </c>
      <c r="C141" s="3134">
        <v>11200</v>
      </c>
      <c r="D141" s="3134">
        <v>11150</v>
      </c>
      <c r="E141" s="3134">
        <v>14100</v>
      </c>
      <c r="F141" s="3134">
        <v>2470</v>
      </c>
      <c r="G141" s="3134">
        <v>7170</v>
      </c>
    </row>
    <row r="142" spans="1:7" s="3123" customFormat="1" ht="14.25" customHeight="1">
      <c r="A142" s="3134" t="s">
        <v>29</v>
      </c>
      <c r="B142" s="3134" t="s">
        <v>239</v>
      </c>
      <c r="C142" s="3134">
        <v>10780</v>
      </c>
      <c r="D142" s="3134">
        <v>10730</v>
      </c>
      <c r="E142" s="3134">
        <v>13540</v>
      </c>
      <c r="F142" s="3134">
        <v>2280</v>
      </c>
      <c r="G142" s="3134">
        <v>6900</v>
      </c>
    </row>
    <row r="143" spans="1:7" s="3123" customFormat="1" ht="14.25" customHeight="1">
      <c r="A143" s="3134" t="s">
        <v>29</v>
      </c>
      <c r="B143" s="3134" t="s">
        <v>248</v>
      </c>
      <c r="C143" s="3134">
        <v>11550</v>
      </c>
      <c r="D143" s="3134">
        <v>11490</v>
      </c>
      <c r="E143" s="3134">
        <v>14480</v>
      </c>
      <c r="F143" s="3134">
        <v>2070</v>
      </c>
      <c r="G143" s="3134">
        <v>7390</v>
      </c>
    </row>
    <row r="144" spans="1:7" s="3123" customFormat="1" ht="14.25" customHeight="1">
      <c r="A144" s="3134" t="s">
        <v>29</v>
      </c>
      <c r="B144" s="3134" t="s">
        <v>255</v>
      </c>
      <c r="C144" s="3134">
        <v>10720</v>
      </c>
      <c r="D144" s="3134">
        <v>10680</v>
      </c>
      <c r="E144" s="3134">
        <v>13480</v>
      </c>
      <c r="F144" s="3134">
        <v>2440</v>
      </c>
      <c r="G144" s="3134">
        <v>6870</v>
      </c>
    </row>
    <row r="145" spans="1:7" s="3123" customFormat="1" ht="14.25" customHeight="1">
      <c r="A145" s="3134" t="s">
        <v>29</v>
      </c>
      <c r="B145" s="3134" t="s">
        <v>263</v>
      </c>
      <c r="C145" s="3134">
        <v>10340</v>
      </c>
      <c r="D145" s="3134">
        <v>10290</v>
      </c>
      <c r="E145" s="3134">
        <v>12880</v>
      </c>
      <c r="F145" s="3134">
        <v>2650</v>
      </c>
      <c r="G145" s="3134">
        <v>6620</v>
      </c>
    </row>
    <row r="146" spans="1:7" s="3123" customFormat="1" ht="14.25" customHeight="1">
      <c r="A146" s="3134" t="s">
        <v>29</v>
      </c>
      <c r="B146" s="3134" t="s">
        <v>270</v>
      </c>
      <c r="C146" s="3134">
        <v>11890</v>
      </c>
      <c r="D146" s="3134">
        <v>11830</v>
      </c>
      <c r="E146" s="3134">
        <v>14670</v>
      </c>
      <c r="F146" s="3134"/>
      <c r="G146" s="3134">
        <v>7610</v>
      </c>
    </row>
    <row r="147" spans="1:7" s="3123" customFormat="1" ht="14.25" customHeight="1">
      <c r="A147" s="3134" t="s">
        <v>29</v>
      </c>
      <c r="B147" s="3134" t="s">
        <v>274</v>
      </c>
      <c r="C147" s="3134">
        <v>12650</v>
      </c>
      <c r="D147" s="3134">
        <v>12600</v>
      </c>
      <c r="E147" s="3134">
        <v>15440</v>
      </c>
      <c r="F147" s="3134"/>
      <c r="G147" s="3134">
        <v>8110</v>
      </c>
    </row>
    <row r="148" spans="1:7" s="3123" customFormat="1" ht="14.25" customHeight="1">
      <c r="A148" s="3134" t="s">
        <v>29</v>
      </c>
      <c r="B148" s="3134" t="s">
        <v>3073</v>
      </c>
      <c r="C148" s="3134">
        <v>10370</v>
      </c>
      <c r="D148" s="3134">
        <v>10310</v>
      </c>
      <c r="E148" s="3134">
        <v>12970</v>
      </c>
      <c r="F148" s="3134"/>
      <c r="G148" s="3134">
        <v>6630</v>
      </c>
    </row>
    <row r="149" spans="1:7" s="3123" customFormat="1" ht="14.25" customHeight="1">
      <c r="A149" s="3134" t="s">
        <v>29</v>
      </c>
      <c r="B149" s="3134" t="s">
        <v>3074</v>
      </c>
      <c r="C149" s="3134">
        <v>11600</v>
      </c>
      <c r="D149" s="3134">
        <v>11560</v>
      </c>
      <c r="E149" s="3134">
        <v>14540</v>
      </c>
      <c r="F149" s="3134">
        <v>2390</v>
      </c>
      <c r="G149" s="3134">
        <v>7430</v>
      </c>
    </row>
    <row r="150" spans="1:7" s="3123" customFormat="1" ht="14.25" customHeight="1">
      <c r="A150" s="3134" t="s">
        <v>29</v>
      </c>
      <c r="B150" s="3134" t="s">
        <v>292</v>
      </c>
      <c r="C150" s="3134">
        <v>9950</v>
      </c>
      <c r="D150" s="3134">
        <v>9890</v>
      </c>
      <c r="E150" s="3134">
        <v>12590</v>
      </c>
      <c r="F150" s="3134">
        <v>1970</v>
      </c>
      <c r="G150" s="3134">
        <v>6360</v>
      </c>
    </row>
    <row r="151" spans="1:7" s="3123" customFormat="1" ht="14.25" customHeight="1">
      <c r="A151" s="3134" t="s">
        <v>29</v>
      </c>
      <c r="B151" s="3134" t="s">
        <v>294</v>
      </c>
      <c r="C151" s="3134">
        <v>10700</v>
      </c>
      <c r="D151" s="3134">
        <v>10650</v>
      </c>
      <c r="E151" s="3134">
        <v>13420</v>
      </c>
      <c r="F151" s="3134">
        <v>2020</v>
      </c>
      <c r="G151" s="3134">
        <v>6850</v>
      </c>
    </row>
    <row r="152" spans="1:7" s="3123" customFormat="1" ht="14.25" customHeight="1">
      <c r="A152" s="3134" t="s">
        <v>29</v>
      </c>
      <c r="B152" s="3134" t="s">
        <v>297</v>
      </c>
      <c r="C152" s="3134">
        <v>10310</v>
      </c>
      <c r="D152" s="3134">
        <v>10260</v>
      </c>
      <c r="E152" s="3134">
        <v>12820</v>
      </c>
      <c r="F152" s="3134">
        <v>1980</v>
      </c>
      <c r="G152" s="3134">
        <v>6600</v>
      </c>
    </row>
    <row r="153" spans="1:7" s="3123" customFormat="1" ht="14.25" customHeight="1">
      <c r="A153" s="3134" t="s">
        <v>29</v>
      </c>
      <c r="B153" s="3134" t="s">
        <v>2948</v>
      </c>
      <c r="C153" s="3134">
        <v>10880</v>
      </c>
      <c r="D153" s="3134">
        <v>10820</v>
      </c>
      <c r="E153" s="3134">
        <v>13660</v>
      </c>
      <c r="F153" s="3134">
        <v>2260</v>
      </c>
      <c r="G153" s="3134">
        <v>6970</v>
      </c>
    </row>
    <row r="154" spans="1:7" s="3123" customFormat="1" ht="14.25" customHeight="1">
      <c r="A154" s="3134" t="s">
        <v>29</v>
      </c>
      <c r="B154" s="3134" t="s">
        <v>3075</v>
      </c>
      <c r="C154" s="3134">
        <v>11220</v>
      </c>
      <c r="D154" s="3134">
        <v>11160</v>
      </c>
      <c r="E154" s="3134">
        <v>14130</v>
      </c>
      <c r="F154" s="3134">
        <v>2230</v>
      </c>
      <c r="G154" s="3134">
        <v>7180</v>
      </c>
    </row>
    <row r="155" spans="1:7" s="3123" customFormat="1" ht="14.25" customHeight="1">
      <c r="A155" s="3134" t="s">
        <v>29</v>
      </c>
      <c r="B155" s="3134" t="s">
        <v>2961</v>
      </c>
      <c r="C155" s="3134">
        <v>10430</v>
      </c>
      <c r="D155" s="3134">
        <v>10380</v>
      </c>
      <c r="E155" s="3134">
        <v>13140</v>
      </c>
      <c r="F155" s="3134">
        <v>2080</v>
      </c>
      <c r="G155" s="3134">
        <v>6650</v>
      </c>
    </row>
    <row r="156" spans="1:7" s="3123" customFormat="1" ht="14.25" customHeight="1">
      <c r="A156" s="3134" t="s">
        <v>29</v>
      </c>
      <c r="B156" s="3134" t="s">
        <v>3076</v>
      </c>
      <c r="C156" s="3134">
        <v>10440</v>
      </c>
      <c r="D156" s="3134">
        <v>10400</v>
      </c>
      <c r="E156" s="3134">
        <v>13150</v>
      </c>
      <c r="F156" s="3134">
        <v>2490</v>
      </c>
      <c r="G156" s="3134">
        <v>6690</v>
      </c>
    </row>
    <row r="157" spans="1:7" s="3123" customFormat="1" ht="14.25" customHeight="1">
      <c r="A157" s="3134" t="s">
        <v>29</v>
      </c>
      <c r="B157" s="3134" t="s">
        <v>300</v>
      </c>
      <c r="C157" s="3134">
        <v>10970</v>
      </c>
      <c r="D157" s="3134">
        <v>10920</v>
      </c>
      <c r="E157" s="3134">
        <v>13840</v>
      </c>
      <c r="F157" s="3134">
        <v>2420</v>
      </c>
      <c r="G157" s="3134">
        <v>7020</v>
      </c>
    </row>
    <row r="158" spans="1:7" s="3123" customFormat="1" ht="14.25" customHeight="1">
      <c r="A158" s="3134" t="s">
        <v>29</v>
      </c>
      <c r="B158" s="3134" t="s">
        <v>301</v>
      </c>
      <c r="C158" s="3134">
        <v>9590</v>
      </c>
      <c r="D158" s="3134">
        <v>9540</v>
      </c>
      <c r="E158" s="3134">
        <v>12210</v>
      </c>
      <c r="F158" s="3134">
        <v>2100</v>
      </c>
      <c r="G158" s="3134">
        <v>6130</v>
      </c>
    </row>
    <row r="159" spans="1:7" s="3123" customFormat="1" ht="14.25" customHeight="1">
      <c r="A159" s="3134" t="s">
        <v>29</v>
      </c>
      <c r="B159" s="3134" t="s">
        <v>302</v>
      </c>
      <c r="C159" s="3134">
        <v>11190</v>
      </c>
      <c r="D159" s="3134">
        <v>11140</v>
      </c>
      <c r="E159" s="3134">
        <v>14090</v>
      </c>
      <c r="F159" s="3134">
        <v>2470</v>
      </c>
      <c r="G159" s="3134">
        <v>7170</v>
      </c>
    </row>
    <row r="160" spans="1:7" s="3123" customFormat="1" ht="14.25" customHeight="1">
      <c r="A160" s="3134" t="s">
        <v>29</v>
      </c>
      <c r="B160" s="3134" t="s">
        <v>3077</v>
      </c>
      <c r="C160" s="3134">
        <v>11180</v>
      </c>
      <c r="D160" s="3134">
        <v>11140</v>
      </c>
      <c r="E160" s="3134">
        <v>14050</v>
      </c>
      <c r="F160" s="3134">
        <v>2270</v>
      </c>
      <c r="G160" s="3134">
        <v>7170</v>
      </c>
    </row>
    <row r="161" spans="1:7" s="3123" customFormat="1" ht="14.25" customHeight="1">
      <c r="A161" s="3134" t="s">
        <v>29</v>
      </c>
      <c r="B161" s="3134" t="s">
        <v>2993</v>
      </c>
      <c r="C161" s="3134">
        <v>11160</v>
      </c>
      <c r="D161" s="3134">
        <v>11120</v>
      </c>
      <c r="E161" s="3134">
        <v>14020</v>
      </c>
      <c r="F161" s="3134">
        <v>2150</v>
      </c>
      <c r="G161" s="3134">
        <v>7160</v>
      </c>
    </row>
    <row r="162" spans="1:7" s="3123" customFormat="1" ht="14.25" customHeight="1">
      <c r="A162" s="3134" t="s">
        <v>29</v>
      </c>
      <c r="B162" s="3134" t="s">
        <v>2998</v>
      </c>
      <c r="C162" s="3134">
        <v>9620</v>
      </c>
      <c r="D162" s="3134">
        <v>9570</v>
      </c>
      <c r="E162" s="3134">
        <v>12320</v>
      </c>
      <c r="F162" s="3134">
        <v>2010</v>
      </c>
      <c r="G162" s="3134">
        <v>6160</v>
      </c>
    </row>
    <row r="163" spans="1:7" s="3123" customFormat="1" ht="14.25" customHeight="1">
      <c r="A163" s="3134" t="s">
        <v>29</v>
      </c>
      <c r="B163" s="3134" t="s">
        <v>3003</v>
      </c>
      <c r="C163" s="3134">
        <v>9320</v>
      </c>
      <c r="D163" s="3134">
        <v>9270</v>
      </c>
      <c r="E163" s="3134">
        <v>11790</v>
      </c>
      <c r="F163" s="3134">
        <v>1920</v>
      </c>
      <c r="G163" s="3134">
        <v>5960</v>
      </c>
    </row>
    <row r="164" spans="1:7" s="3123" customFormat="1" ht="14.25" customHeight="1">
      <c r="A164" s="3134" t="s">
        <v>29</v>
      </c>
      <c r="B164" s="3134" t="s">
        <v>3008</v>
      </c>
      <c r="C164" s="3134"/>
      <c r="D164" s="3134"/>
      <c r="E164" s="3134"/>
      <c r="F164" s="3134">
        <v>1980</v>
      </c>
      <c r="G164" s="3134"/>
    </row>
    <row r="165" spans="1:7" s="3123" customFormat="1" ht="14.25" customHeight="1">
      <c r="A165" s="3134" t="s">
        <v>29</v>
      </c>
      <c r="B165" s="3134" t="s">
        <v>3078</v>
      </c>
      <c r="C165" s="3134">
        <v>11060</v>
      </c>
      <c r="D165" s="3134">
        <v>11030</v>
      </c>
      <c r="E165" s="3134">
        <v>13850</v>
      </c>
      <c r="F165" s="3134">
        <v>2170</v>
      </c>
      <c r="G165" s="3134">
        <v>7090</v>
      </c>
    </row>
    <row r="166" spans="1:7" s="3123" customFormat="1" ht="14.25" customHeight="1">
      <c r="A166" s="3134" t="s">
        <v>29</v>
      </c>
      <c r="B166" s="3134" t="s">
        <v>3018</v>
      </c>
      <c r="C166" s="3134">
        <v>11050</v>
      </c>
      <c r="D166" s="3134">
        <v>11010</v>
      </c>
      <c r="E166" s="3134">
        <v>13920</v>
      </c>
      <c r="F166" s="3134">
        <v>2140</v>
      </c>
      <c r="G166" s="3134">
        <v>7080</v>
      </c>
    </row>
    <row r="167" spans="1:7" s="3123" customFormat="1" ht="14.25" customHeight="1">
      <c r="A167" s="3134" t="s">
        <v>29</v>
      </c>
      <c r="B167" s="3134" t="s">
        <v>3022</v>
      </c>
      <c r="C167" s="3134">
        <v>10930</v>
      </c>
      <c r="D167" s="3134">
        <v>10890</v>
      </c>
      <c r="E167" s="3134">
        <v>13790</v>
      </c>
      <c r="F167" s="3134">
        <v>2010</v>
      </c>
      <c r="G167" s="3134">
        <v>7000</v>
      </c>
    </row>
    <row r="168" spans="1:7" s="3123" customFormat="1" ht="14.25" customHeight="1">
      <c r="A168" s="3134" t="s">
        <v>29</v>
      </c>
      <c r="B168" s="3134" t="s">
        <v>3027</v>
      </c>
      <c r="C168" s="3134">
        <v>9420</v>
      </c>
      <c r="D168" s="3134">
        <v>9380</v>
      </c>
      <c r="E168" s="3134">
        <v>11970</v>
      </c>
      <c r="F168" s="3134"/>
      <c r="G168" s="3134">
        <v>6040</v>
      </c>
    </row>
    <row r="169" spans="1:7" s="3123" customFormat="1" ht="14.25" customHeight="1">
      <c r="A169" s="3134" t="s">
        <v>29</v>
      </c>
      <c r="B169" s="3134" t="s">
        <v>3079</v>
      </c>
      <c r="C169" s="3134"/>
      <c r="D169" s="3134"/>
      <c r="E169" s="3134"/>
      <c r="F169" s="3134">
        <v>2880</v>
      </c>
      <c r="G169" s="3134"/>
    </row>
    <row r="170" spans="1:7" s="3123" customFormat="1" ht="14.25" customHeight="1">
      <c r="A170" s="3134" t="s">
        <v>29</v>
      </c>
      <c r="B170" s="3134" t="s">
        <v>3035</v>
      </c>
      <c r="C170" s="3134"/>
      <c r="D170" s="3134"/>
      <c r="E170" s="3134"/>
      <c r="F170" s="3134">
        <v>2880</v>
      </c>
      <c r="G170" s="3134"/>
    </row>
    <row r="171" spans="1:7" s="3123" customFormat="1" ht="14.25" customHeight="1">
      <c r="A171" s="3134" t="s">
        <v>29</v>
      </c>
      <c r="B171" s="3134" t="s">
        <v>3038</v>
      </c>
      <c r="C171" s="3134"/>
      <c r="D171" s="3134"/>
      <c r="E171" s="3134"/>
      <c r="F171" s="3134">
        <v>2880</v>
      </c>
      <c r="G171" s="3134"/>
    </row>
    <row r="172" spans="1:7" s="3123" customFormat="1" ht="14.25" customHeight="1">
      <c r="A172" s="3134" t="s">
        <v>29</v>
      </c>
      <c r="B172" s="3134" t="s">
        <v>3040</v>
      </c>
      <c r="C172" s="3134"/>
      <c r="D172" s="3134"/>
      <c r="E172" s="3134"/>
      <c r="F172" s="3134">
        <v>2880</v>
      </c>
      <c r="G172" s="3134"/>
    </row>
    <row r="173" spans="1:7" s="3123" customFormat="1" ht="14.25" customHeight="1">
      <c r="A173" s="3134" t="s">
        <v>29</v>
      </c>
      <c r="B173" s="3134" t="s">
        <v>3042</v>
      </c>
      <c r="C173" s="3134"/>
      <c r="D173" s="3134"/>
      <c r="E173" s="3134"/>
      <c r="F173" s="3134">
        <v>2150</v>
      </c>
      <c r="G173" s="3134"/>
    </row>
    <row r="174" spans="1:7" s="3123" customFormat="1" ht="14.25" customHeight="1">
      <c r="A174" s="3134" t="s">
        <v>29</v>
      </c>
      <c r="B174" s="3134" t="s">
        <v>3044</v>
      </c>
      <c r="C174" s="3134"/>
      <c r="D174" s="3134"/>
      <c r="E174" s="3134"/>
      <c r="F174" s="3134">
        <v>2030</v>
      </c>
      <c r="G174" s="3134"/>
    </row>
    <row r="175" spans="1:7" s="3123" customFormat="1" ht="14.25" customHeight="1">
      <c r="A175" s="3134" t="s">
        <v>29</v>
      </c>
      <c r="B175" s="3134" t="s">
        <v>3046</v>
      </c>
      <c r="C175" s="3134"/>
      <c r="D175" s="3134"/>
      <c r="E175" s="3134"/>
      <c r="F175" s="3134">
        <v>2780</v>
      </c>
      <c r="G175" s="3134"/>
    </row>
    <row r="176" spans="1:7" s="3123" customFormat="1" ht="14.25" customHeight="1">
      <c r="A176" s="3134" t="s">
        <v>29</v>
      </c>
      <c r="B176" s="3134" t="s">
        <v>3048</v>
      </c>
      <c r="C176" s="3134"/>
      <c r="D176" s="3134"/>
      <c r="E176" s="3134"/>
      <c r="F176" s="3134">
        <v>2780</v>
      </c>
      <c r="G176" s="3134"/>
    </row>
    <row r="177" spans="1:7" s="3123" customFormat="1" ht="14.25" customHeight="1">
      <c r="A177" s="3134" t="s">
        <v>29</v>
      </c>
      <c r="B177" s="3134" t="s">
        <v>3080</v>
      </c>
      <c r="C177" s="3134"/>
      <c r="D177" s="3134"/>
      <c r="E177" s="3134"/>
      <c r="F177" s="3134">
        <v>2780</v>
      </c>
      <c r="G177" s="3134"/>
    </row>
    <row r="178" spans="1:7" s="3123" customFormat="1" ht="14.25" customHeight="1">
      <c r="A178" s="3134" t="s">
        <v>29</v>
      </c>
      <c r="B178" s="3134" t="s">
        <v>3081</v>
      </c>
      <c r="C178" s="3134"/>
      <c r="D178" s="3134"/>
      <c r="E178" s="3134"/>
      <c r="F178" s="3134">
        <v>2060</v>
      </c>
      <c r="G178" s="3134"/>
    </row>
    <row r="179" spans="1:7" s="3123" customFormat="1" ht="14.25" customHeight="1">
      <c r="A179" s="3134" t="s">
        <v>29</v>
      </c>
      <c r="B179" s="3134" t="s">
        <v>3082</v>
      </c>
      <c r="C179" s="3134"/>
      <c r="D179" s="3134"/>
      <c r="E179" s="3134"/>
      <c r="F179" s="3134">
        <v>2120</v>
      </c>
      <c r="G179" s="3134"/>
    </row>
    <row r="180" spans="1:7" s="3123" customFormat="1" ht="14.25" customHeight="1">
      <c r="A180" s="3134" t="s">
        <v>29</v>
      </c>
      <c r="B180" s="3134" t="s">
        <v>3054</v>
      </c>
      <c r="C180" s="3134"/>
      <c r="D180" s="3134"/>
      <c r="E180" s="3134"/>
      <c r="F180" s="3134">
        <v>2340</v>
      </c>
      <c r="G180" s="3134"/>
    </row>
    <row r="181" spans="1:7" s="3123" customFormat="1" ht="14.25" customHeight="1">
      <c r="A181" s="3134" t="s">
        <v>29</v>
      </c>
      <c r="B181" s="3134" t="s">
        <v>3055</v>
      </c>
      <c r="C181" s="3134"/>
      <c r="D181" s="3134"/>
      <c r="E181" s="3134"/>
      <c r="F181" s="3134">
        <v>2340</v>
      </c>
      <c r="G181" s="3134"/>
    </row>
    <row r="182" spans="1:7" s="3123" customFormat="1" ht="14.25" customHeight="1">
      <c r="A182" s="3134" t="s">
        <v>29</v>
      </c>
      <c r="B182" s="3134" t="s">
        <v>3056</v>
      </c>
      <c r="C182" s="3134"/>
      <c r="D182" s="3134"/>
      <c r="E182" s="3134"/>
      <c r="F182" s="3134">
        <v>2340</v>
      </c>
      <c r="G182" s="3134"/>
    </row>
    <row r="183" spans="1:7" s="3123" customFormat="1" ht="14.25" customHeight="1">
      <c r="A183" s="3134" t="s">
        <v>29</v>
      </c>
      <c r="B183" s="3134" t="s">
        <v>3057</v>
      </c>
      <c r="C183" s="3134"/>
      <c r="D183" s="3134"/>
      <c r="E183" s="3134"/>
      <c r="F183" s="3134">
        <v>2340</v>
      </c>
      <c r="G183" s="3134"/>
    </row>
    <row r="184" spans="1:7" s="3123" customFormat="1" ht="14.25" customHeight="1">
      <c r="A184" s="3134" t="s">
        <v>29</v>
      </c>
      <c r="B184" s="3134" t="s">
        <v>3058</v>
      </c>
      <c r="C184" s="3134"/>
      <c r="D184" s="3134"/>
      <c r="E184" s="3134"/>
      <c r="F184" s="3134">
        <v>2340</v>
      </c>
      <c r="G184" s="3134"/>
    </row>
    <row r="185" spans="1:7" s="3123" customFormat="1" ht="14.25" customHeight="1">
      <c r="A185" s="3134" t="s">
        <v>29</v>
      </c>
      <c r="B185" s="3134" t="s">
        <v>3059</v>
      </c>
      <c r="C185" s="3134"/>
      <c r="D185" s="3134"/>
      <c r="E185" s="3134"/>
      <c r="F185" s="3134">
        <v>2530</v>
      </c>
      <c r="G185" s="3134"/>
    </row>
    <row r="186" spans="1:7" s="3123" customFormat="1" ht="14.25" customHeight="1">
      <c r="A186" s="3134" t="s">
        <v>29</v>
      </c>
      <c r="B186" s="3134" t="s">
        <v>3060</v>
      </c>
      <c r="C186" s="3134"/>
      <c r="D186" s="3134"/>
      <c r="E186" s="3134"/>
      <c r="F186" s="3134">
        <v>2550</v>
      </c>
      <c r="G186" s="3134"/>
    </row>
    <row r="187" spans="1:7" s="3123" customFormat="1" ht="14.25" customHeight="1">
      <c r="A187" s="3134" t="s">
        <v>29</v>
      </c>
      <c r="B187" s="3134" t="s">
        <v>3061</v>
      </c>
      <c r="C187" s="3134"/>
      <c r="D187" s="3134"/>
      <c r="E187" s="3134"/>
      <c r="F187" s="3134">
        <v>2070</v>
      </c>
      <c r="G187" s="3134"/>
    </row>
    <row r="188" spans="1:7" s="3123" customFormat="1" ht="14.25" customHeight="1">
      <c r="A188" s="3134" t="s">
        <v>29</v>
      </c>
      <c r="B188" s="3134" t="s">
        <v>3062</v>
      </c>
      <c r="C188" s="3134"/>
      <c r="D188" s="3134"/>
      <c r="E188" s="3134"/>
      <c r="F188" s="3134">
        <v>2340</v>
      </c>
      <c r="G188" s="3134"/>
    </row>
    <row r="189" spans="1:7" s="3123" customFormat="1" ht="14.25" customHeight="1" thickBot="1">
      <c r="A189" s="3142" t="s">
        <v>29</v>
      </c>
      <c r="B189" s="3145" t="s">
        <v>3063</v>
      </c>
      <c r="C189" s="3145"/>
      <c r="D189" s="3145"/>
      <c r="E189" s="3145"/>
      <c r="F189" s="3145">
        <v>2050</v>
      </c>
      <c r="G189" s="3145"/>
    </row>
    <row r="190" spans="1:7" s="3123" customFormat="1" ht="14.25" customHeight="1">
      <c r="A190" s="3139" t="s">
        <v>304</v>
      </c>
      <c r="B190" s="3130" t="s">
        <v>3083</v>
      </c>
      <c r="C190" s="3130">
        <v>8830</v>
      </c>
      <c r="D190" s="3130">
        <v>8790</v>
      </c>
      <c r="E190" s="3130">
        <v>11630</v>
      </c>
      <c r="F190" s="3130">
        <v>1790</v>
      </c>
      <c r="G190" s="3146">
        <v>5550</v>
      </c>
    </row>
    <row r="191" spans="1:7" s="3123" customFormat="1" ht="14.25" customHeight="1">
      <c r="A191" s="3134" t="s">
        <v>304</v>
      </c>
      <c r="B191" s="3134" t="s">
        <v>133</v>
      </c>
      <c r="C191" s="3134">
        <v>9780</v>
      </c>
      <c r="D191" s="3134">
        <v>9710</v>
      </c>
      <c r="E191" s="3134">
        <v>12550</v>
      </c>
      <c r="F191" s="3134">
        <v>1980</v>
      </c>
      <c r="G191" s="3147">
        <v>6130</v>
      </c>
    </row>
    <row r="192" spans="1:7" s="3123" customFormat="1" ht="14.25" customHeight="1">
      <c r="A192" s="3134" t="s">
        <v>304</v>
      </c>
      <c r="B192" s="3134" t="s">
        <v>142</v>
      </c>
      <c r="C192" s="3134">
        <v>8180</v>
      </c>
      <c r="D192" s="3134">
        <v>8140</v>
      </c>
      <c r="E192" s="3134">
        <v>10870</v>
      </c>
      <c r="F192" s="3134">
        <v>1690</v>
      </c>
      <c r="G192" s="3147">
        <v>5140</v>
      </c>
    </row>
    <row r="193" spans="1:7" s="3123" customFormat="1" ht="14.25" customHeight="1">
      <c r="A193" s="3134" t="s">
        <v>304</v>
      </c>
      <c r="B193" s="3134" t="s">
        <v>151</v>
      </c>
      <c r="C193" s="3134">
        <v>8440</v>
      </c>
      <c r="D193" s="3134">
        <v>8390</v>
      </c>
      <c r="E193" s="3134">
        <v>11210</v>
      </c>
      <c r="F193" s="3134">
        <v>1600</v>
      </c>
      <c r="G193" s="3147">
        <v>5300</v>
      </c>
    </row>
    <row r="194" spans="1:7" s="3123" customFormat="1" ht="14.25" customHeight="1">
      <c r="A194" s="3134" t="s">
        <v>304</v>
      </c>
      <c r="B194" s="3134" t="s">
        <v>160</v>
      </c>
      <c r="C194" s="3134">
        <v>8780</v>
      </c>
      <c r="D194" s="3134">
        <v>8730</v>
      </c>
      <c r="E194" s="3134">
        <v>11550</v>
      </c>
      <c r="F194" s="3134">
        <v>1660</v>
      </c>
      <c r="G194" s="3147">
        <v>5520</v>
      </c>
    </row>
    <row r="195" spans="1:7" s="3123" customFormat="1" ht="14.25" customHeight="1">
      <c r="A195" s="3134" t="s">
        <v>304</v>
      </c>
      <c r="B195" s="3134" t="s">
        <v>167</v>
      </c>
      <c r="C195" s="3134">
        <v>8720</v>
      </c>
      <c r="D195" s="3134">
        <v>8670</v>
      </c>
      <c r="E195" s="3134">
        <v>11450</v>
      </c>
      <c r="F195" s="3134">
        <v>1720</v>
      </c>
      <c r="G195" s="3147">
        <v>5480</v>
      </c>
    </row>
    <row r="196" spans="1:7" s="3123" customFormat="1" ht="14.25" customHeight="1">
      <c r="A196" s="3134" t="s">
        <v>304</v>
      </c>
      <c r="B196" s="3134" t="s">
        <v>173</v>
      </c>
      <c r="C196" s="3134">
        <v>8460</v>
      </c>
      <c r="D196" s="3134">
        <v>8410</v>
      </c>
      <c r="E196" s="3134">
        <v>11230</v>
      </c>
      <c r="F196" s="3134">
        <v>1730</v>
      </c>
      <c r="G196" s="3147">
        <v>5310</v>
      </c>
    </row>
    <row r="197" spans="1:7" s="3123" customFormat="1" ht="14.25" customHeight="1">
      <c r="A197" s="3134" t="s">
        <v>304</v>
      </c>
      <c r="B197" s="3134" t="s">
        <v>180</v>
      </c>
      <c r="C197" s="3134">
        <v>8790</v>
      </c>
      <c r="D197" s="3134">
        <v>8730</v>
      </c>
      <c r="E197" s="3134">
        <v>11560</v>
      </c>
      <c r="F197" s="3134">
        <v>1750</v>
      </c>
      <c r="G197" s="3147">
        <v>5520</v>
      </c>
    </row>
    <row r="198" spans="1:7" s="3123" customFormat="1" ht="14.25" customHeight="1">
      <c r="A198" s="3134" t="s">
        <v>304</v>
      </c>
      <c r="B198" s="3134" t="s">
        <v>190</v>
      </c>
      <c r="C198" s="3134">
        <v>8720</v>
      </c>
      <c r="D198" s="3134">
        <v>8680</v>
      </c>
      <c r="E198" s="3134">
        <v>11470</v>
      </c>
      <c r="F198" s="3134"/>
      <c r="G198" s="3147">
        <v>5480</v>
      </c>
    </row>
    <row r="199" spans="1:7" s="3123" customFormat="1" ht="14.25" customHeight="1">
      <c r="A199" s="3134" t="s">
        <v>304</v>
      </c>
      <c r="B199" s="3134" t="s">
        <v>3084</v>
      </c>
      <c r="C199" s="3134">
        <v>8690</v>
      </c>
      <c r="D199" s="3134">
        <v>8630</v>
      </c>
      <c r="E199" s="3134">
        <v>11350</v>
      </c>
      <c r="F199" s="3134">
        <v>1600</v>
      </c>
      <c r="G199" s="3147">
        <v>5450</v>
      </c>
    </row>
    <row r="200" spans="1:7" s="3123" customFormat="1" ht="14.25" customHeight="1">
      <c r="A200" s="3134" t="s">
        <v>304</v>
      </c>
      <c r="B200" s="3134" t="s">
        <v>2895</v>
      </c>
      <c r="C200" s="3134"/>
      <c r="D200" s="3134"/>
      <c r="E200" s="3134"/>
      <c r="F200" s="3134">
        <v>1510</v>
      </c>
      <c r="G200" s="3147"/>
    </row>
    <row r="201" spans="1:7" s="3123" customFormat="1" ht="14.25" customHeight="1">
      <c r="A201" s="3134" t="s">
        <v>304</v>
      </c>
      <c r="B201" s="3134" t="s">
        <v>3085</v>
      </c>
      <c r="C201" s="3134">
        <v>8440</v>
      </c>
      <c r="D201" s="3134">
        <v>8390</v>
      </c>
      <c r="E201" s="3134">
        <v>10930</v>
      </c>
      <c r="F201" s="3134">
        <v>1500</v>
      </c>
      <c r="G201" s="3147">
        <v>5300</v>
      </c>
    </row>
    <row r="202" spans="1:7" s="3123" customFormat="1" ht="14.25" customHeight="1">
      <c r="A202" s="3134" t="s">
        <v>304</v>
      </c>
      <c r="B202" s="3134" t="s">
        <v>240</v>
      </c>
      <c r="C202" s="3134">
        <v>8530</v>
      </c>
      <c r="D202" s="3134">
        <v>8490</v>
      </c>
      <c r="E202" s="3134">
        <v>11160</v>
      </c>
      <c r="F202" s="3134">
        <v>1580</v>
      </c>
      <c r="G202" s="3147">
        <v>5360</v>
      </c>
    </row>
    <row r="203" spans="1:7" s="3123" customFormat="1" ht="14.25" customHeight="1">
      <c r="A203" s="3134" t="s">
        <v>304</v>
      </c>
      <c r="B203" s="3134" t="s">
        <v>3086</v>
      </c>
      <c r="C203" s="3134">
        <v>8130</v>
      </c>
      <c r="D203" s="3134">
        <v>8070</v>
      </c>
      <c r="E203" s="3134">
        <v>10820</v>
      </c>
      <c r="F203" s="3134">
        <v>1690</v>
      </c>
      <c r="G203" s="3147">
        <v>5100</v>
      </c>
    </row>
    <row r="204" spans="1:7" s="3123" customFormat="1" ht="14.25" customHeight="1">
      <c r="A204" s="3134" t="s">
        <v>304</v>
      </c>
      <c r="B204" s="3134" t="s">
        <v>2906</v>
      </c>
      <c r="C204" s="3134">
        <v>8350</v>
      </c>
      <c r="D204" s="3134">
        <v>8290</v>
      </c>
      <c r="E204" s="3134">
        <v>11080</v>
      </c>
      <c r="F204" s="3134">
        <v>1450</v>
      </c>
      <c r="G204" s="3147">
        <v>5240</v>
      </c>
    </row>
    <row r="205" spans="1:7" s="3123" customFormat="1" ht="14.25" customHeight="1">
      <c r="A205" s="3134" t="s">
        <v>304</v>
      </c>
      <c r="B205" s="3134" t="s">
        <v>2908</v>
      </c>
      <c r="C205" s="3134">
        <v>7190</v>
      </c>
      <c r="D205" s="3134">
        <v>7130</v>
      </c>
      <c r="E205" s="3134">
        <v>9490</v>
      </c>
      <c r="F205" s="3134">
        <v>1470</v>
      </c>
      <c r="G205" s="3147">
        <v>4510</v>
      </c>
    </row>
    <row r="206" spans="1:7" s="3123" customFormat="1" ht="14.25" customHeight="1">
      <c r="A206" s="3134" t="s">
        <v>304</v>
      </c>
      <c r="B206" s="3134" t="s">
        <v>2911</v>
      </c>
      <c r="C206" s="3134">
        <v>7000</v>
      </c>
      <c r="D206" s="3134">
        <v>6950</v>
      </c>
      <c r="E206" s="3134">
        <v>9170</v>
      </c>
      <c r="F206" s="3134">
        <v>1400</v>
      </c>
      <c r="G206" s="3147">
        <v>4380</v>
      </c>
    </row>
    <row r="207" spans="1:7" s="3123" customFormat="1" ht="14.25" customHeight="1">
      <c r="A207" s="3134" t="s">
        <v>304</v>
      </c>
      <c r="B207" s="3134" t="s">
        <v>2913</v>
      </c>
      <c r="C207" s="3134">
        <v>6950</v>
      </c>
      <c r="D207" s="3134">
        <v>6900</v>
      </c>
      <c r="E207" s="3134">
        <v>9110</v>
      </c>
      <c r="F207" s="3134">
        <v>1790</v>
      </c>
      <c r="G207" s="3147">
        <v>4360</v>
      </c>
    </row>
    <row r="208" spans="1:7" s="3123" customFormat="1" ht="14.25" customHeight="1">
      <c r="A208" s="3134" t="s">
        <v>304</v>
      </c>
      <c r="B208" s="3134" t="s">
        <v>3087</v>
      </c>
      <c r="C208" s="3134">
        <v>9470</v>
      </c>
      <c r="D208" s="3134">
        <v>9410</v>
      </c>
      <c r="E208" s="3134">
        <v>12330</v>
      </c>
      <c r="F208" s="3134">
        <v>1770</v>
      </c>
      <c r="G208" s="3147">
        <v>5940</v>
      </c>
    </row>
    <row r="209" spans="1:7" s="3123" customFormat="1" ht="14.25" customHeight="1">
      <c r="A209" s="3134" t="s">
        <v>304</v>
      </c>
      <c r="B209" s="3134" t="s">
        <v>264</v>
      </c>
      <c r="C209" s="3134">
        <v>8740</v>
      </c>
      <c r="D209" s="3134">
        <v>8700</v>
      </c>
      <c r="E209" s="3134">
        <v>11500</v>
      </c>
      <c r="F209" s="3134">
        <v>1730</v>
      </c>
      <c r="G209" s="3147">
        <v>5490</v>
      </c>
    </row>
    <row r="210" spans="1:7" s="3123" customFormat="1" ht="14.25" customHeight="1">
      <c r="A210" s="3134" t="s">
        <v>304</v>
      </c>
      <c r="B210" s="3134" t="s">
        <v>2923</v>
      </c>
      <c r="C210" s="3134">
        <v>8710</v>
      </c>
      <c r="D210" s="3134">
        <v>8660</v>
      </c>
      <c r="E210" s="3134">
        <v>11440</v>
      </c>
      <c r="F210" s="3134">
        <v>1740</v>
      </c>
      <c r="G210" s="3147">
        <v>5470</v>
      </c>
    </row>
    <row r="211" spans="1:7" s="3123" customFormat="1" ht="14.25" customHeight="1">
      <c r="A211" s="3134" t="s">
        <v>304</v>
      </c>
      <c r="B211" s="3134" t="s">
        <v>3088</v>
      </c>
      <c r="C211" s="3134">
        <v>9480</v>
      </c>
      <c r="D211" s="3134">
        <v>9430</v>
      </c>
      <c r="E211" s="3134">
        <v>12360</v>
      </c>
      <c r="F211" s="3134">
        <v>1820</v>
      </c>
      <c r="G211" s="3147">
        <v>5950</v>
      </c>
    </row>
    <row r="212" spans="1:7" s="3123" customFormat="1" ht="14.25" customHeight="1">
      <c r="A212" s="3134" t="s">
        <v>304</v>
      </c>
      <c r="B212" s="3134" t="s">
        <v>285</v>
      </c>
      <c r="C212" s="3134">
        <v>9070</v>
      </c>
      <c r="D212" s="3134">
        <v>9020</v>
      </c>
      <c r="E212" s="3134">
        <v>11720</v>
      </c>
      <c r="F212" s="3134">
        <v>1850</v>
      </c>
      <c r="G212" s="3147">
        <v>5700</v>
      </c>
    </row>
    <row r="213" spans="1:7" s="3123" customFormat="1" ht="14.25" customHeight="1">
      <c r="A213" s="3134" t="s">
        <v>304</v>
      </c>
      <c r="B213" s="3134" t="s">
        <v>288</v>
      </c>
      <c r="C213" s="3134">
        <v>9030</v>
      </c>
      <c r="D213" s="3134">
        <v>8980</v>
      </c>
      <c r="E213" s="3134">
        <v>11670</v>
      </c>
      <c r="F213" s="3134">
        <v>1690</v>
      </c>
      <c r="G213" s="3147">
        <v>5670</v>
      </c>
    </row>
    <row r="214" spans="1:7" s="3123" customFormat="1" ht="14.25" customHeight="1">
      <c r="A214" s="3134" t="s">
        <v>304</v>
      </c>
      <c r="B214" s="3134" t="s">
        <v>3089</v>
      </c>
      <c r="C214" s="3134">
        <v>8090</v>
      </c>
      <c r="D214" s="3134">
        <v>8030</v>
      </c>
      <c r="E214" s="3134">
        <v>10780</v>
      </c>
      <c r="F214" s="3134">
        <v>1570</v>
      </c>
      <c r="G214" s="3147">
        <v>5070</v>
      </c>
    </row>
    <row r="215" spans="1:7" s="3123" customFormat="1" ht="14.25" customHeight="1">
      <c r="A215" s="3134" t="s">
        <v>304</v>
      </c>
      <c r="B215" s="3134" t="s">
        <v>3090</v>
      </c>
      <c r="C215" s="3134">
        <v>7950</v>
      </c>
      <c r="D215" s="3134">
        <v>7900</v>
      </c>
      <c r="E215" s="3134">
        <v>10560</v>
      </c>
      <c r="F215" s="3134">
        <v>1630</v>
      </c>
      <c r="G215" s="3147">
        <v>4990</v>
      </c>
    </row>
    <row r="216" spans="1:7" s="3123" customFormat="1" ht="14.25" customHeight="1">
      <c r="A216" s="3134" t="s">
        <v>304</v>
      </c>
      <c r="B216" s="3134" t="s">
        <v>3091</v>
      </c>
      <c r="C216" s="3134">
        <v>8490</v>
      </c>
      <c r="D216" s="3134">
        <v>8440</v>
      </c>
      <c r="E216" s="3134">
        <v>11260</v>
      </c>
      <c r="F216" s="3134">
        <v>1690</v>
      </c>
      <c r="G216" s="3147">
        <v>5330</v>
      </c>
    </row>
    <row r="217" spans="1:7" s="3123" customFormat="1" ht="14.25" customHeight="1">
      <c r="A217" s="3134" t="s">
        <v>304</v>
      </c>
      <c r="B217" s="3134" t="s">
        <v>2956</v>
      </c>
      <c r="C217" s="3134">
        <v>8200</v>
      </c>
      <c r="D217" s="3134">
        <v>8150</v>
      </c>
      <c r="E217" s="3134">
        <v>10910</v>
      </c>
      <c r="F217" s="3134">
        <v>1670</v>
      </c>
      <c r="G217" s="3147">
        <v>5150</v>
      </c>
    </row>
    <row r="218" spans="1:7" s="3123" customFormat="1" ht="14.25" customHeight="1">
      <c r="A218" s="3134" t="s">
        <v>304</v>
      </c>
      <c r="B218" s="3134" t="s">
        <v>3092</v>
      </c>
      <c r="C218" s="3134"/>
      <c r="D218" s="3134"/>
      <c r="E218" s="3134"/>
      <c r="F218" s="3134">
        <v>2040</v>
      </c>
      <c r="G218" s="3147"/>
    </row>
    <row r="219" spans="1:7" s="3123" customFormat="1" ht="14.25" customHeight="1">
      <c r="A219" s="3134" t="s">
        <v>304</v>
      </c>
      <c r="B219" s="3134" t="s">
        <v>3093</v>
      </c>
      <c r="C219" s="3134"/>
      <c r="D219" s="3134"/>
      <c r="E219" s="3134"/>
      <c r="F219" s="3134">
        <v>2040</v>
      </c>
      <c r="G219" s="3147"/>
    </row>
    <row r="220" spans="1:7" s="3123" customFormat="1" ht="14.25" customHeight="1">
      <c r="A220" s="3134" t="s">
        <v>304</v>
      </c>
      <c r="B220" s="3134" t="s">
        <v>3094</v>
      </c>
      <c r="C220" s="3134"/>
      <c r="D220" s="3134"/>
      <c r="E220" s="3134"/>
      <c r="F220" s="3134">
        <v>2040</v>
      </c>
      <c r="G220" s="3147"/>
    </row>
    <row r="221" spans="1:7" s="3123" customFormat="1" ht="14.25" customHeight="1">
      <c r="A221" s="3134" t="s">
        <v>304</v>
      </c>
      <c r="B221" s="3134" t="s">
        <v>3095</v>
      </c>
      <c r="C221" s="3134"/>
      <c r="D221" s="3134"/>
      <c r="E221" s="3134"/>
      <c r="F221" s="3134">
        <v>2040</v>
      </c>
      <c r="G221" s="3147"/>
    </row>
    <row r="222" spans="1:7" s="3123" customFormat="1" ht="14.25" customHeight="1">
      <c r="A222" s="3134" t="s">
        <v>304</v>
      </c>
      <c r="B222" s="3134" t="s">
        <v>3096</v>
      </c>
      <c r="C222" s="3134"/>
      <c r="D222" s="3134"/>
      <c r="E222" s="3134"/>
      <c r="F222" s="3134">
        <v>2040</v>
      </c>
      <c r="G222" s="3147"/>
    </row>
    <row r="223" spans="1:7" s="3123" customFormat="1" ht="14.25" customHeight="1">
      <c r="A223" s="3134" t="s">
        <v>304</v>
      </c>
      <c r="B223" s="3134" t="s">
        <v>3097</v>
      </c>
      <c r="C223" s="3134"/>
      <c r="D223" s="3134"/>
      <c r="E223" s="3134"/>
      <c r="F223" s="3134">
        <v>1930</v>
      </c>
      <c r="G223" s="3147"/>
    </row>
    <row r="224" spans="1:7" s="3123" customFormat="1" ht="14.25" customHeight="1">
      <c r="A224" s="3134" t="s">
        <v>304</v>
      </c>
      <c r="B224" s="3134" t="s">
        <v>3098</v>
      </c>
      <c r="C224" s="3134"/>
      <c r="D224" s="3134"/>
      <c r="E224" s="3134"/>
      <c r="F224" s="3134">
        <v>1930</v>
      </c>
      <c r="G224" s="3147"/>
    </row>
    <row r="225" spans="1:7" s="3123" customFormat="1" ht="14.25" customHeight="1">
      <c r="A225" s="3134" t="s">
        <v>304</v>
      </c>
      <c r="B225" s="3134" t="s">
        <v>3099</v>
      </c>
      <c r="C225" s="3134"/>
      <c r="D225" s="3134"/>
      <c r="E225" s="3134"/>
      <c r="F225" s="3134">
        <v>1930</v>
      </c>
      <c r="G225" s="3147"/>
    </row>
    <row r="226" spans="1:7" s="3123" customFormat="1" ht="14.25" customHeight="1">
      <c r="A226" s="3134" t="s">
        <v>304</v>
      </c>
      <c r="B226" s="3134" t="s">
        <v>3100</v>
      </c>
      <c r="C226" s="3134"/>
      <c r="D226" s="3134"/>
      <c r="E226" s="3134"/>
      <c r="F226" s="3134">
        <v>1700</v>
      </c>
      <c r="G226" s="3147"/>
    </row>
    <row r="227" spans="1:7" s="3123" customFormat="1" ht="14.25" customHeight="1">
      <c r="A227" s="3134" t="s">
        <v>304</v>
      </c>
      <c r="B227" s="3134" t="s">
        <v>3101</v>
      </c>
      <c r="C227" s="3134"/>
      <c r="D227" s="3134"/>
      <c r="E227" s="3134"/>
      <c r="F227" s="3134">
        <v>1520</v>
      </c>
      <c r="G227" s="3147"/>
    </row>
    <row r="228" spans="1:7" s="3123" customFormat="1" ht="14.25" customHeight="1">
      <c r="A228" s="3134" t="s">
        <v>304</v>
      </c>
      <c r="B228" s="3134" t="s">
        <v>3102</v>
      </c>
      <c r="C228" s="3134"/>
      <c r="D228" s="3134"/>
      <c r="E228" s="3134"/>
      <c r="F228" s="3134">
        <v>1520</v>
      </c>
      <c r="G228" s="3147"/>
    </row>
    <row r="229" spans="1:7" s="3123" customFormat="1" ht="14.25" customHeight="1">
      <c r="A229" s="3134" t="s">
        <v>304</v>
      </c>
      <c r="B229" s="3134" t="s">
        <v>3019</v>
      </c>
      <c r="C229" s="3134"/>
      <c r="D229" s="3134"/>
      <c r="E229" s="3134"/>
      <c r="F229" s="3134">
        <v>1520</v>
      </c>
      <c r="G229" s="3147"/>
    </row>
    <row r="230" spans="1:7" s="3123" customFormat="1" ht="14.25" customHeight="1">
      <c r="A230" s="3134" t="s">
        <v>304</v>
      </c>
      <c r="B230" s="3134" t="s">
        <v>3103</v>
      </c>
      <c r="C230" s="3134"/>
      <c r="D230" s="3134"/>
      <c r="E230" s="3134"/>
      <c r="F230" s="3134">
        <v>1820</v>
      </c>
      <c r="G230" s="3147"/>
    </row>
    <row r="231" spans="1:7" s="3123" customFormat="1" ht="14.25" customHeight="1">
      <c r="A231" s="3134" t="s">
        <v>304</v>
      </c>
      <c r="B231" s="3134" t="s">
        <v>3104</v>
      </c>
      <c r="C231" s="3134"/>
      <c r="D231" s="3134"/>
      <c r="E231" s="3134"/>
      <c r="F231" s="3134">
        <v>1760</v>
      </c>
      <c r="G231" s="3147"/>
    </row>
    <row r="232" spans="1:7" s="3123" customFormat="1" ht="14.25" customHeight="1">
      <c r="A232" s="3134" t="s">
        <v>304</v>
      </c>
      <c r="B232" s="3134" t="s">
        <v>3105</v>
      </c>
      <c r="C232" s="3134"/>
      <c r="D232" s="3134"/>
      <c r="E232" s="3134"/>
      <c r="F232" s="3134">
        <v>1840</v>
      </c>
      <c r="G232" s="3147"/>
    </row>
    <row r="233" spans="1:7" s="3123" customFormat="1" ht="14.25" customHeight="1" thickBot="1">
      <c r="A233" s="3148" t="s">
        <v>304</v>
      </c>
      <c r="B233" s="3141" t="s">
        <v>3036</v>
      </c>
      <c r="C233" s="3141"/>
      <c r="D233" s="3141"/>
      <c r="E233" s="3141"/>
      <c r="F233" s="3141">
        <v>1770</v>
      </c>
      <c r="G233" s="3149"/>
    </row>
    <row r="234" spans="1:7" s="3123" customFormat="1" ht="14.25" customHeight="1">
      <c r="A234" s="3139" t="s">
        <v>305</v>
      </c>
      <c r="B234" s="3130" t="s">
        <v>3106</v>
      </c>
      <c r="C234" s="3134">
        <v>6980</v>
      </c>
      <c r="D234" s="3134">
        <v>6970</v>
      </c>
      <c r="E234" s="3134">
        <v>8720</v>
      </c>
      <c r="F234" s="3134">
        <v>1350</v>
      </c>
      <c r="G234" s="3134">
        <v>4280</v>
      </c>
    </row>
    <row r="235" spans="1:7" s="3123" customFormat="1" ht="14.25" customHeight="1">
      <c r="A235" s="3134" t="s">
        <v>305</v>
      </c>
      <c r="B235" s="3134" t="s">
        <v>134</v>
      </c>
      <c r="C235" s="3134">
        <v>7620</v>
      </c>
      <c r="D235" s="3134">
        <v>7580</v>
      </c>
      <c r="E235" s="3134">
        <v>9360</v>
      </c>
      <c r="F235" s="3134">
        <v>1490</v>
      </c>
      <c r="G235" s="3134">
        <v>4650</v>
      </c>
    </row>
    <row r="236" spans="1:7" s="3123" customFormat="1" ht="14.25" customHeight="1">
      <c r="A236" s="3134" t="s">
        <v>305</v>
      </c>
      <c r="B236" s="3134" t="s">
        <v>143</v>
      </c>
      <c r="C236" s="3134">
        <v>6650</v>
      </c>
      <c r="D236" s="3134">
        <v>6630</v>
      </c>
      <c r="E236" s="3134">
        <v>8330</v>
      </c>
      <c r="F236" s="3134">
        <v>1250</v>
      </c>
      <c r="G236" s="3134">
        <v>4070</v>
      </c>
    </row>
    <row r="237" spans="1:7" s="3123" customFormat="1" ht="14.25" customHeight="1">
      <c r="A237" s="3134" t="s">
        <v>305</v>
      </c>
      <c r="B237" s="3134" t="s">
        <v>152</v>
      </c>
      <c r="C237" s="3134">
        <v>5850</v>
      </c>
      <c r="D237" s="3134">
        <v>5820</v>
      </c>
      <c r="E237" s="3134">
        <v>7260</v>
      </c>
      <c r="F237" s="3134">
        <v>1140</v>
      </c>
      <c r="G237" s="3134">
        <v>3570</v>
      </c>
    </row>
    <row r="238" spans="1:7" s="3123" customFormat="1" ht="14.25" customHeight="1">
      <c r="A238" s="3134" t="s">
        <v>305</v>
      </c>
      <c r="B238" s="3134" t="s">
        <v>2877</v>
      </c>
      <c r="C238" s="3134">
        <v>6920</v>
      </c>
      <c r="D238" s="3134">
        <v>6890</v>
      </c>
      <c r="E238" s="3134">
        <v>8640</v>
      </c>
      <c r="F238" s="3134">
        <v>1310</v>
      </c>
      <c r="G238" s="3134">
        <v>4230</v>
      </c>
    </row>
    <row r="239" spans="1:7" s="3123" customFormat="1" ht="14.25" customHeight="1">
      <c r="A239" s="3134" t="s">
        <v>305</v>
      </c>
      <c r="B239" s="3134" t="s">
        <v>3107</v>
      </c>
      <c r="C239" s="3134">
        <v>6780</v>
      </c>
      <c r="D239" s="3134">
        <v>6750</v>
      </c>
      <c r="E239" s="3134">
        <v>8440</v>
      </c>
      <c r="F239" s="3134">
        <v>1160</v>
      </c>
      <c r="G239" s="3134">
        <v>4140</v>
      </c>
    </row>
    <row r="240" spans="1:7" s="3123" customFormat="1" ht="14.25" customHeight="1">
      <c r="A240" s="3134" t="s">
        <v>305</v>
      </c>
      <c r="B240" s="3134" t="s">
        <v>3108</v>
      </c>
      <c r="C240" s="3134">
        <v>5420</v>
      </c>
      <c r="D240" s="3134">
        <v>5380</v>
      </c>
      <c r="E240" s="3134">
        <v>6640</v>
      </c>
      <c r="F240" s="3134">
        <v>1020</v>
      </c>
      <c r="G240" s="3134">
        <v>3300</v>
      </c>
    </row>
    <row r="241" spans="1:7" s="3123" customFormat="1" ht="14.25" customHeight="1">
      <c r="A241" s="3134" t="s">
        <v>305</v>
      </c>
      <c r="B241" s="3134" t="s">
        <v>3109</v>
      </c>
      <c r="C241" s="3134">
        <v>6660</v>
      </c>
      <c r="D241" s="3134">
        <v>6640</v>
      </c>
      <c r="E241" s="3134">
        <v>8340</v>
      </c>
      <c r="F241" s="3134">
        <v>1130</v>
      </c>
      <c r="G241" s="3134">
        <v>4080</v>
      </c>
    </row>
    <row r="242" spans="1:7" s="3123" customFormat="1" ht="14.25" customHeight="1">
      <c r="A242" s="3134" t="s">
        <v>305</v>
      </c>
      <c r="B242" s="3134" t="s">
        <v>181</v>
      </c>
      <c r="C242" s="3134">
        <v>6580</v>
      </c>
      <c r="D242" s="3134">
        <v>6550</v>
      </c>
      <c r="E242" s="3134">
        <v>8090</v>
      </c>
      <c r="F242" s="3134">
        <v>1240</v>
      </c>
      <c r="G242" s="3134">
        <v>4020</v>
      </c>
    </row>
    <row r="243" spans="1:7" s="3123" customFormat="1" ht="14.25" customHeight="1">
      <c r="A243" s="3134" t="s">
        <v>305</v>
      </c>
      <c r="B243" s="3134" t="s">
        <v>191</v>
      </c>
      <c r="C243" s="3134">
        <v>6000</v>
      </c>
      <c r="D243" s="3134">
        <v>5970</v>
      </c>
      <c r="E243" s="3134">
        <v>7370</v>
      </c>
      <c r="F243" s="3134">
        <v>1070</v>
      </c>
      <c r="G243" s="3134">
        <v>3670</v>
      </c>
    </row>
    <row r="244" spans="1:7" s="3123" customFormat="1" ht="14.25" customHeight="1">
      <c r="A244" s="3134" t="s">
        <v>305</v>
      </c>
      <c r="B244" s="3134" t="s">
        <v>3110</v>
      </c>
      <c r="C244" s="3134">
        <v>5840</v>
      </c>
      <c r="D244" s="3134">
        <v>5810</v>
      </c>
      <c r="E244" s="3134">
        <v>7240</v>
      </c>
      <c r="F244" s="3134">
        <v>1100</v>
      </c>
      <c r="G244" s="3134">
        <v>3560</v>
      </c>
    </row>
    <row r="245" spans="1:7" s="3123" customFormat="1" ht="14.25" customHeight="1">
      <c r="A245" s="3134" t="s">
        <v>305</v>
      </c>
      <c r="B245" s="3134" t="s">
        <v>206</v>
      </c>
      <c r="C245" s="3134">
        <v>6040</v>
      </c>
      <c r="D245" s="3134">
        <v>6000</v>
      </c>
      <c r="E245" s="3134">
        <v>7420</v>
      </c>
      <c r="F245" s="3134">
        <v>1140</v>
      </c>
      <c r="G245" s="3134">
        <v>3690</v>
      </c>
    </row>
    <row r="246" spans="1:7" s="3123" customFormat="1" ht="14.25" customHeight="1">
      <c r="A246" s="3134" t="s">
        <v>305</v>
      </c>
      <c r="B246" s="3134" t="s">
        <v>213</v>
      </c>
      <c r="C246" s="3134">
        <v>5890</v>
      </c>
      <c r="D246" s="3134">
        <v>5860</v>
      </c>
      <c r="E246" s="3134">
        <v>7300</v>
      </c>
      <c r="F246" s="3134">
        <v>1110</v>
      </c>
      <c r="G246" s="3134">
        <v>3590</v>
      </c>
    </row>
    <row r="247" spans="1:7" s="3123" customFormat="1" ht="14.25" customHeight="1">
      <c r="A247" s="3134" t="s">
        <v>305</v>
      </c>
      <c r="B247" s="3134" t="s">
        <v>3111</v>
      </c>
      <c r="C247" s="3134">
        <v>6480</v>
      </c>
      <c r="D247" s="3134">
        <v>6450</v>
      </c>
      <c r="E247" s="3134">
        <v>8010</v>
      </c>
      <c r="F247" s="3134">
        <v>1170</v>
      </c>
      <c r="G247" s="3134">
        <v>3960</v>
      </c>
    </row>
    <row r="248" spans="1:7" s="3123" customFormat="1" ht="14.25" customHeight="1">
      <c r="A248" s="3134" t="s">
        <v>305</v>
      </c>
      <c r="B248" s="3134" t="s">
        <v>227</v>
      </c>
      <c r="C248" s="3134">
        <v>6860</v>
      </c>
      <c r="D248" s="3134">
        <v>6840</v>
      </c>
      <c r="E248" s="3134">
        <v>8520</v>
      </c>
      <c r="F248" s="3134">
        <v>1240</v>
      </c>
      <c r="G248" s="3134">
        <v>4200</v>
      </c>
    </row>
    <row r="249" spans="1:7" s="3123" customFormat="1" ht="14.25" customHeight="1">
      <c r="A249" s="3134" t="s">
        <v>305</v>
      </c>
      <c r="B249" s="3134" t="s">
        <v>3112</v>
      </c>
      <c r="C249" s="3134">
        <v>7180</v>
      </c>
      <c r="D249" s="3134">
        <v>7140</v>
      </c>
      <c r="E249" s="3134">
        <v>8900</v>
      </c>
      <c r="F249" s="3134">
        <v>1350</v>
      </c>
      <c r="G249" s="3134">
        <v>4380</v>
      </c>
    </row>
    <row r="250" spans="1:7" s="3123" customFormat="1" ht="14.25" customHeight="1">
      <c r="A250" s="3134" t="s">
        <v>305</v>
      </c>
      <c r="B250" s="3134" t="s">
        <v>241</v>
      </c>
      <c r="C250" s="3134">
        <v>6880</v>
      </c>
      <c r="D250" s="3134">
        <v>6860</v>
      </c>
      <c r="E250" s="3134">
        <v>8550</v>
      </c>
      <c r="F250" s="3134">
        <v>1220</v>
      </c>
      <c r="G250" s="3134">
        <v>4210</v>
      </c>
    </row>
    <row r="251" spans="1:7" s="3123" customFormat="1" ht="14.25" customHeight="1">
      <c r="A251" s="3134" t="s">
        <v>305</v>
      </c>
      <c r="B251" s="3134" t="s">
        <v>249</v>
      </c>
      <c r="C251" s="3134"/>
      <c r="D251" s="3134"/>
      <c r="E251" s="3134"/>
      <c r="F251" s="3134">
        <v>1100</v>
      </c>
      <c r="G251" s="3134"/>
    </row>
    <row r="252" spans="1:7" s="3123" customFormat="1" ht="14.25" customHeight="1">
      <c r="A252" s="3134" t="s">
        <v>305</v>
      </c>
      <c r="B252" s="3134" t="s">
        <v>3113</v>
      </c>
      <c r="C252" s="3134">
        <v>7240</v>
      </c>
      <c r="D252" s="3134">
        <v>7200</v>
      </c>
      <c r="E252" s="3134">
        <v>9040</v>
      </c>
      <c r="F252" s="3134">
        <v>1380</v>
      </c>
      <c r="G252" s="3134">
        <v>4420</v>
      </c>
    </row>
    <row r="253" spans="1:7" s="3123" customFormat="1" ht="14.25" customHeight="1">
      <c r="A253" s="3134" t="s">
        <v>305</v>
      </c>
      <c r="B253" s="3134" t="s">
        <v>283</v>
      </c>
      <c r="C253" s="3134">
        <v>6670</v>
      </c>
      <c r="D253" s="3134">
        <v>6650</v>
      </c>
      <c r="E253" s="3134">
        <v>8350</v>
      </c>
      <c r="F253" s="3134">
        <v>1260</v>
      </c>
      <c r="G253" s="3134">
        <v>4080</v>
      </c>
    </row>
    <row r="254" spans="1:7" s="3123" customFormat="1" ht="14.25" customHeight="1">
      <c r="A254" s="3134" t="s">
        <v>305</v>
      </c>
      <c r="B254" s="3134" t="s">
        <v>286</v>
      </c>
      <c r="C254" s="3134">
        <v>7630</v>
      </c>
      <c r="D254" s="3134">
        <v>7590</v>
      </c>
      <c r="E254" s="3134">
        <v>9380</v>
      </c>
      <c r="F254" s="3134">
        <v>1320</v>
      </c>
      <c r="G254" s="3134">
        <v>4660</v>
      </c>
    </row>
    <row r="255" spans="1:7" s="3123" customFormat="1" ht="14.25" customHeight="1">
      <c r="A255" s="3134" t="s">
        <v>305</v>
      </c>
      <c r="B255" s="3134" t="s">
        <v>289</v>
      </c>
      <c r="C255" s="3134">
        <v>6940</v>
      </c>
      <c r="D255" s="3134">
        <v>6890</v>
      </c>
      <c r="E255" s="3134">
        <v>8650</v>
      </c>
      <c r="F255" s="3134">
        <v>1210</v>
      </c>
      <c r="G255" s="3134">
        <v>4230</v>
      </c>
    </row>
    <row r="256" spans="1:7" s="3123" customFormat="1" ht="14.25" customHeight="1">
      <c r="A256" s="3134" t="s">
        <v>305</v>
      </c>
      <c r="B256" s="3134" t="s">
        <v>3114</v>
      </c>
      <c r="C256" s="3134">
        <v>7520</v>
      </c>
      <c r="D256" s="3134">
        <v>7490</v>
      </c>
      <c r="E256" s="3134">
        <v>9240</v>
      </c>
      <c r="F256" s="3134">
        <v>1270</v>
      </c>
      <c r="G256" s="3134">
        <v>4590</v>
      </c>
    </row>
    <row r="257" spans="1:7" s="3123" customFormat="1" ht="14.25" customHeight="1">
      <c r="A257" s="3134" t="s">
        <v>305</v>
      </c>
      <c r="B257" s="3134" t="s">
        <v>275</v>
      </c>
      <c r="C257" s="3134">
        <v>6280</v>
      </c>
      <c r="D257" s="3134">
        <v>6230</v>
      </c>
      <c r="E257" s="3134">
        <v>7740</v>
      </c>
      <c r="F257" s="3134">
        <v>1080</v>
      </c>
      <c r="G257" s="3134">
        <v>3830</v>
      </c>
    </row>
    <row r="258" spans="1:7" s="3123" customFormat="1" ht="14.25" customHeight="1">
      <c r="A258" s="3134" t="s">
        <v>305</v>
      </c>
      <c r="B258" s="3134" t="s">
        <v>2939</v>
      </c>
      <c r="C258" s="3134">
        <v>6190</v>
      </c>
      <c r="D258" s="3134">
        <v>6160</v>
      </c>
      <c r="E258" s="3134">
        <v>7680</v>
      </c>
      <c r="F258" s="3134">
        <v>1170</v>
      </c>
      <c r="G258" s="3134">
        <v>3780</v>
      </c>
    </row>
    <row r="259" spans="1:7" s="3123" customFormat="1" ht="14.25" customHeight="1">
      <c r="A259" s="3134" t="s">
        <v>305</v>
      </c>
      <c r="B259" s="3134" t="s">
        <v>3115</v>
      </c>
      <c r="C259" s="3134">
        <v>7610</v>
      </c>
      <c r="D259" s="3134">
        <v>7570</v>
      </c>
      <c r="E259" s="3134">
        <v>9350</v>
      </c>
      <c r="F259" s="3134">
        <v>1350</v>
      </c>
      <c r="G259" s="3134">
        <v>4650</v>
      </c>
    </row>
    <row r="260" spans="1:7" s="3123" customFormat="1" ht="14.25" customHeight="1">
      <c r="A260" s="3134" t="s">
        <v>305</v>
      </c>
      <c r="B260" s="3134" t="s">
        <v>3116</v>
      </c>
      <c r="C260" s="3134">
        <v>6920</v>
      </c>
      <c r="D260" s="3134">
        <v>6880</v>
      </c>
      <c r="E260" s="3134">
        <v>8380</v>
      </c>
      <c r="F260" s="3134">
        <v>1160</v>
      </c>
      <c r="G260" s="3134">
        <v>4220</v>
      </c>
    </row>
    <row r="261" spans="1:7" s="3123" customFormat="1" ht="14.25" customHeight="1">
      <c r="A261" s="3134" t="s">
        <v>305</v>
      </c>
      <c r="B261" s="3134" t="s">
        <v>3117</v>
      </c>
      <c r="C261" s="3134">
        <v>6850</v>
      </c>
      <c r="D261" s="3134">
        <v>6810</v>
      </c>
      <c r="E261" s="3134">
        <v>8290</v>
      </c>
      <c r="F261" s="3134">
        <v>1130</v>
      </c>
      <c r="G261" s="3134">
        <v>4180</v>
      </c>
    </row>
    <row r="262" spans="1:7" s="3123" customFormat="1" ht="14.25" customHeight="1">
      <c r="A262" s="3134" t="s">
        <v>305</v>
      </c>
      <c r="B262" s="3134" t="s">
        <v>3118</v>
      </c>
      <c r="C262" s="3134">
        <v>5860</v>
      </c>
      <c r="D262" s="3134">
        <v>5820</v>
      </c>
      <c r="E262" s="3134">
        <v>7640</v>
      </c>
      <c r="F262" s="3134">
        <v>1070</v>
      </c>
      <c r="G262" s="3134">
        <v>3570</v>
      </c>
    </row>
    <row r="263" spans="1:7" s="3123" customFormat="1" ht="14.25" customHeight="1">
      <c r="A263" s="3134" t="s">
        <v>305</v>
      </c>
      <c r="B263" s="3134" t="s">
        <v>3119</v>
      </c>
      <c r="C263" s="3134">
        <v>5870</v>
      </c>
      <c r="D263" s="3134">
        <v>5840</v>
      </c>
      <c r="E263" s="3134">
        <v>7270</v>
      </c>
      <c r="F263" s="3134">
        <v>1190</v>
      </c>
      <c r="G263" s="3134">
        <v>3580</v>
      </c>
    </row>
    <row r="264" spans="1:7" s="3123" customFormat="1" ht="14.25" customHeight="1">
      <c r="A264" s="3134" t="s">
        <v>305</v>
      </c>
      <c r="B264" s="3134" t="s">
        <v>299</v>
      </c>
      <c r="C264" s="3134">
        <v>6190</v>
      </c>
      <c r="D264" s="3134">
        <v>6150</v>
      </c>
      <c r="E264" s="3134">
        <v>7660</v>
      </c>
      <c r="F264" s="3134">
        <v>1160</v>
      </c>
      <c r="G264" s="3134">
        <v>3770</v>
      </c>
    </row>
    <row r="265" spans="1:7" s="3123" customFormat="1" ht="14.25" customHeight="1">
      <c r="A265" s="3134" t="s">
        <v>305</v>
      </c>
      <c r="B265" s="3134" t="s">
        <v>3120</v>
      </c>
      <c r="C265" s="3134"/>
      <c r="D265" s="3134"/>
      <c r="E265" s="3134"/>
      <c r="F265" s="3134">
        <v>1500</v>
      </c>
      <c r="G265" s="3134"/>
    </row>
    <row r="266" spans="1:7" s="3123" customFormat="1" ht="14.25" customHeight="1">
      <c r="A266" s="3134" t="s">
        <v>305</v>
      </c>
      <c r="B266" s="3134" t="s">
        <v>3121</v>
      </c>
      <c r="C266" s="3134"/>
      <c r="D266" s="3134"/>
      <c r="E266" s="3134"/>
      <c r="F266" s="3134">
        <v>1500</v>
      </c>
      <c r="G266" s="3134"/>
    </row>
    <row r="267" spans="1:7" s="3123" customFormat="1" ht="14.25" customHeight="1">
      <c r="A267" s="3134" t="s">
        <v>305</v>
      </c>
      <c r="B267" s="3134" t="s">
        <v>3122</v>
      </c>
      <c r="C267" s="3134"/>
      <c r="D267" s="3134"/>
      <c r="E267" s="3134"/>
      <c r="F267" s="3134">
        <v>1500</v>
      </c>
      <c r="G267" s="3134"/>
    </row>
    <row r="268" spans="1:7" s="3123" customFormat="1" ht="14.25" customHeight="1">
      <c r="A268" s="3134" t="s">
        <v>305</v>
      </c>
      <c r="B268" s="3134" t="s">
        <v>3123</v>
      </c>
      <c r="C268" s="3134"/>
      <c r="D268" s="3134"/>
      <c r="E268" s="3134"/>
      <c r="F268" s="3134">
        <v>1290</v>
      </c>
      <c r="G268" s="3134"/>
    </row>
    <row r="269" spans="1:7" s="3123" customFormat="1" ht="14.25" customHeight="1">
      <c r="A269" s="3134" t="s">
        <v>305</v>
      </c>
      <c r="B269" s="3134" t="s">
        <v>3124</v>
      </c>
      <c r="C269" s="3134"/>
      <c r="D269" s="3134"/>
      <c r="E269" s="3134"/>
      <c r="F269" s="3134">
        <v>1150</v>
      </c>
      <c r="G269" s="3134"/>
    </row>
    <row r="270" spans="1:7" s="3123" customFormat="1" ht="14.25" customHeight="1">
      <c r="A270" s="3134" t="s">
        <v>305</v>
      </c>
      <c r="B270" s="3134" t="s">
        <v>3125</v>
      </c>
      <c r="C270" s="3134"/>
      <c r="D270" s="3134"/>
      <c r="E270" s="3134"/>
      <c r="F270" s="3134">
        <v>1380</v>
      </c>
      <c r="G270" s="3134"/>
    </row>
    <row r="271" spans="1:7" s="3123" customFormat="1" ht="14.25" customHeight="1">
      <c r="A271" s="3134" t="s">
        <v>305</v>
      </c>
      <c r="B271" s="3134" t="s">
        <v>3126</v>
      </c>
      <c r="C271" s="3134"/>
      <c r="D271" s="3134"/>
      <c r="E271" s="3134"/>
      <c r="F271" s="3134">
        <v>1460</v>
      </c>
      <c r="G271" s="3134"/>
    </row>
    <row r="272" spans="1:7" s="3123" customFormat="1" ht="14.25" customHeight="1">
      <c r="A272" s="3134" t="s">
        <v>305</v>
      </c>
      <c r="B272" s="3134" t="s">
        <v>3127</v>
      </c>
      <c r="C272" s="3134"/>
      <c r="D272" s="3134"/>
      <c r="E272" s="3134"/>
      <c r="F272" s="3134">
        <v>1460</v>
      </c>
      <c r="G272" s="3134"/>
    </row>
    <row r="273" spans="1:7" s="3123" customFormat="1" ht="14.25" customHeight="1">
      <c r="A273" s="3134" t="s">
        <v>305</v>
      </c>
      <c r="B273" s="3134" t="s">
        <v>3020</v>
      </c>
      <c r="C273" s="3134"/>
      <c r="D273" s="3134"/>
      <c r="E273" s="3134"/>
      <c r="F273" s="3134">
        <v>1490</v>
      </c>
      <c r="G273" s="3134"/>
    </row>
    <row r="274" spans="1:7" s="3123" customFormat="1" ht="14.25" customHeight="1">
      <c r="A274" s="3134" t="s">
        <v>305</v>
      </c>
      <c r="B274" s="3134" t="s">
        <v>3128</v>
      </c>
      <c r="C274" s="3134"/>
      <c r="D274" s="3134"/>
      <c r="E274" s="3134"/>
      <c r="F274" s="3134">
        <v>1490</v>
      </c>
      <c r="G274" s="3134"/>
    </row>
    <row r="275" spans="1:7" s="3123" customFormat="1" ht="14.25" customHeight="1">
      <c r="A275" s="3134" t="s">
        <v>305</v>
      </c>
      <c r="B275" s="3134" t="s">
        <v>3129</v>
      </c>
      <c r="C275" s="3134"/>
      <c r="D275" s="3134"/>
      <c r="E275" s="3134"/>
      <c r="F275" s="3134">
        <v>1220</v>
      </c>
      <c r="G275" s="3134"/>
    </row>
    <row r="276" spans="1:7" s="3123" customFormat="1" ht="14.25" customHeight="1" thickBot="1">
      <c r="A276" s="3142" t="s">
        <v>305</v>
      </c>
      <c r="B276" s="3144" t="s">
        <v>3130</v>
      </c>
      <c r="C276" s="3145"/>
      <c r="D276" s="3145"/>
      <c r="E276" s="3145"/>
      <c r="F276" s="3145">
        <v>1380</v>
      </c>
      <c r="G276" s="3145"/>
    </row>
    <row r="277" spans="1:7" s="3123" customFormat="1" ht="14.25" customHeight="1">
      <c r="A277" s="3139" t="s">
        <v>306</v>
      </c>
      <c r="B277" s="3130" t="s">
        <v>3131</v>
      </c>
      <c r="C277" s="3130">
        <v>5790</v>
      </c>
      <c r="D277" s="3130">
        <v>5740</v>
      </c>
      <c r="E277" s="3130">
        <v>6730</v>
      </c>
      <c r="F277" s="3130">
        <v>1110</v>
      </c>
      <c r="G277" s="3146">
        <v>3460</v>
      </c>
    </row>
    <row r="278" spans="1:7" s="3123" customFormat="1" ht="14.25" customHeight="1">
      <c r="A278" s="3134" t="s">
        <v>306</v>
      </c>
      <c r="B278" s="3134" t="s">
        <v>135</v>
      </c>
      <c r="C278" s="3134">
        <v>5740</v>
      </c>
      <c r="D278" s="3134">
        <v>5670</v>
      </c>
      <c r="E278" s="3134">
        <v>6680</v>
      </c>
      <c r="F278" s="3134">
        <v>1070</v>
      </c>
      <c r="G278" s="3147">
        <v>3420</v>
      </c>
    </row>
    <row r="279" spans="1:7" s="3123" customFormat="1" ht="14.25" customHeight="1">
      <c r="A279" s="3134" t="s">
        <v>306</v>
      </c>
      <c r="B279" s="3134" t="s">
        <v>3132</v>
      </c>
      <c r="C279" s="3134">
        <v>4760</v>
      </c>
      <c r="D279" s="3134">
        <v>4720</v>
      </c>
      <c r="E279" s="3134">
        <v>5540</v>
      </c>
      <c r="F279" s="3134">
        <v>810</v>
      </c>
      <c r="G279" s="3147">
        <v>2850</v>
      </c>
    </row>
    <row r="280" spans="1:7" s="3123" customFormat="1" ht="14.25" customHeight="1">
      <c r="A280" s="3134" t="s">
        <v>306</v>
      </c>
      <c r="B280" s="3134" t="s">
        <v>3133</v>
      </c>
      <c r="C280" s="3134">
        <v>4010</v>
      </c>
      <c r="D280" s="3134">
        <v>3950</v>
      </c>
      <c r="E280" s="3134">
        <v>4710</v>
      </c>
      <c r="F280" s="3134">
        <v>800</v>
      </c>
      <c r="G280" s="3147">
        <v>2390</v>
      </c>
    </row>
    <row r="281" spans="1:7" s="3123" customFormat="1" ht="14.25" customHeight="1">
      <c r="A281" s="3134" t="s">
        <v>306</v>
      </c>
      <c r="B281" s="3134" t="s">
        <v>3134</v>
      </c>
      <c r="C281" s="3134">
        <v>4480</v>
      </c>
      <c r="D281" s="3134">
        <v>4420</v>
      </c>
      <c r="E281" s="3134">
        <v>5230</v>
      </c>
      <c r="F281" s="3134">
        <v>870</v>
      </c>
      <c r="G281" s="3147">
        <v>2660</v>
      </c>
    </row>
    <row r="282" spans="1:7" s="3123" customFormat="1" ht="14.25" customHeight="1">
      <c r="A282" s="3134" t="s">
        <v>306</v>
      </c>
      <c r="B282" s="3134" t="s">
        <v>3135</v>
      </c>
      <c r="C282" s="3134">
        <v>5360</v>
      </c>
      <c r="D282" s="3134">
        <v>5300</v>
      </c>
      <c r="E282" s="3134">
        <v>6190</v>
      </c>
      <c r="F282" s="3134">
        <v>950</v>
      </c>
      <c r="G282" s="3147">
        <v>3190</v>
      </c>
    </row>
    <row r="283" spans="1:7" s="3123" customFormat="1" ht="14.25" customHeight="1">
      <c r="A283" s="3134" t="s">
        <v>306</v>
      </c>
      <c r="B283" s="3134" t="s">
        <v>174</v>
      </c>
      <c r="C283" s="3134">
        <v>4950</v>
      </c>
      <c r="D283" s="3134">
        <v>4900</v>
      </c>
      <c r="E283" s="3134">
        <v>5720</v>
      </c>
      <c r="F283" s="3134">
        <v>920</v>
      </c>
      <c r="G283" s="3147">
        <v>2950</v>
      </c>
    </row>
    <row r="284" spans="1:7" s="3123" customFormat="1" ht="14.25" customHeight="1">
      <c r="A284" s="3134" t="s">
        <v>306</v>
      </c>
      <c r="B284" s="3134" t="s">
        <v>182</v>
      </c>
      <c r="C284" s="3134">
        <v>5610</v>
      </c>
      <c r="D284" s="3134">
        <v>5560</v>
      </c>
      <c r="E284" s="3134">
        <v>6520</v>
      </c>
      <c r="F284" s="3134">
        <v>1030</v>
      </c>
      <c r="G284" s="3147">
        <v>3360</v>
      </c>
    </row>
    <row r="285" spans="1:7" s="3123" customFormat="1" ht="14.25" customHeight="1">
      <c r="A285" s="3134" t="s">
        <v>306</v>
      </c>
      <c r="B285" s="3134" t="s">
        <v>192</v>
      </c>
      <c r="C285" s="3134">
        <v>5340</v>
      </c>
      <c r="D285" s="3134">
        <v>5290</v>
      </c>
      <c r="E285" s="3134">
        <v>6170</v>
      </c>
      <c r="F285" s="3134">
        <v>1080</v>
      </c>
      <c r="G285" s="3147">
        <v>3180</v>
      </c>
    </row>
    <row r="286" spans="1:7" s="3123" customFormat="1" ht="14.25" customHeight="1">
      <c r="A286" s="3134" t="s">
        <v>306</v>
      </c>
      <c r="B286" s="3134" t="s">
        <v>199</v>
      </c>
      <c r="C286" s="3134">
        <v>4890</v>
      </c>
      <c r="D286" s="3134">
        <v>4840</v>
      </c>
      <c r="E286" s="3134">
        <v>5640</v>
      </c>
      <c r="F286" s="3134">
        <v>960</v>
      </c>
      <c r="G286" s="3147">
        <v>2910</v>
      </c>
    </row>
    <row r="287" spans="1:7" s="3123" customFormat="1" ht="14.25" customHeight="1">
      <c r="A287" s="3134" t="s">
        <v>306</v>
      </c>
      <c r="B287" s="3134" t="s">
        <v>3136</v>
      </c>
      <c r="C287" s="3134">
        <v>4960</v>
      </c>
      <c r="D287" s="3134">
        <v>4920</v>
      </c>
      <c r="E287" s="3134">
        <v>5730</v>
      </c>
      <c r="F287" s="3134">
        <v>930</v>
      </c>
      <c r="G287" s="3147">
        <v>2960</v>
      </c>
    </row>
    <row r="288" spans="1:7" s="3123" customFormat="1" ht="14.25" customHeight="1">
      <c r="A288" s="3134" t="s">
        <v>306</v>
      </c>
      <c r="B288" s="3134" t="s">
        <v>219</v>
      </c>
      <c r="C288" s="3134">
        <v>4350</v>
      </c>
      <c r="D288" s="3134">
        <v>4300</v>
      </c>
      <c r="E288" s="3134">
        <v>4900</v>
      </c>
      <c r="F288" s="3134">
        <v>820</v>
      </c>
      <c r="G288" s="3147">
        <v>2590</v>
      </c>
    </row>
    <row r="289" spans="1:7" s="3123" customFormat="1" ht="14.25" customHeight="1">
      <c r="A289" s="3134" t="s">
        <v>306</v>
      </c>
      <c r="B289" s="3134" t="s">
        <v>3137</v>
      </c>
      <c r="C289" s="3134">
        <v>5230</v>
      </c>
      <c r="D289" s="3134">
        <v>5170</v>
      </c>
      <c r="E289" s="3134">
        <v>6060</v>
      </c>
      <c r="F289" s="3134">
        <v>900</v>
      </c>
      <c r="G289" s="3147">
        <v>3120</v>
      </c>
    </row>
    <row r="290" spans="1:7" s="3123" customFormat="1" ht="14.25" customHeight="1">
      <c r="A290" s="3134" t="s">
        <v>306</v>
      </c>
      <c r="B290" s="3134" t="s">
        <v>242</v>
      </c>
      <c r="C290" s="3134">
        <v>5550</v>
      </c>
      <c r="D290" s="3134">
        <v>5500</v>
      </c>
      <c r="E290" s="3134">
        <v>6440</v>
      </c>
      <c r="F290" s="3134">
        <v>960</v>
      </c>
      <c r="G290" s="3147">
        <v>3320</v>
      </c>
    </row>
    <row r="291" spans="1:7" s="3123" customFormat="1" ht="14.25" customHeight="1">
      <c r="A291" s="3134" t="s">
        <v>306</v>
      </c>
      <c r="B291" s="3134" t="s">
        <v>250</v>
      </c>
      <c r="C291" s="3134">
        <v>5440</v>
      </c>
      <c r="D291" s="3134">
        <v>5400</v>
      </c>
      <c r="E291" s="3134">
        <v>6320</v>
      </c>
      <c r="F291" s="3134">
        <v>930</v>
      </c>
      <c r="G291" s="3147">
        <v>3250</v>
      </c>
    </row>
    <row r="292" spans="1:7" s="3123" customFormat="1" ht="14.25" customHeight="1">
      <c r="A292" s="3134" t="s">
        <v>306</v>
      </c>
      <c r="B292" s="3134" t="s">
        <v>256</v>
      </c>
      <c r="C292" s="3134">
        <v>5400</v>
      </c>
      <c r="D292" s="3134">
        <v>5360</v>
      </c>
      <c r="E292" s="3134">
        <v>6270</v>
      </c>
      <c r="F292" s="3134">
        <v>1040</v>
      </c>
      <c r="G292" s="3147">
        <v>3230</v>
      </c>
    </row>
    <row r="293" spans="1:7" s="3123" customFormat="1" ht="14.25" customHeight="1">
      <c r="A293" s="3134" t="s">
        <v>306</v>
      </c>
      <c r="B293" s="3134" t="s">
        <v>2912</v>
      </c>
      <c r="C293" s="3134">
        <v>5320</v>
      </c>
      <c r="D293" s="3134">
        <v>5270</v>
      </c>
      <c r="E293" s="3134">
        <v>6160</v>
      </c>
      <c r="F293" s="3134">
        <v>990</v>
      </c>
      <c r="G293" s="3147">
        <v>3170</v>
      </c>
    </row>
    <row r="294" spans="1:7" s="3123" customFormat="1" ht="14.25" customHeight="1">
      <c r="A294" s="3134" t="s">
        <v>306</v>
      </c>
      <c r="B294" s="3134" t="s">
        <v>3138</v>
      </c>
      <c r="C294" s="3134">
        <v>5260</v>
      </c>
      <c r="D294" s="3134">
        <v>5210</v>
      </c>
      <c r="E294" s="3134">
        <v>6100</v>
      </c>
      <c r="F294" s="3134">
        <v>950</v>
      </c>
      <c r="G294" s="3147">
        <v>3150</v>
      </c>
    </row>
    <row r="295" spans="1:7" s="3123" customFormat="1" ht="14.25" customHeight="1">
      <c r="A295" s="3134" t="s">
        <v>306</v>
      </c>
      <c r="B295" s="3134" t="s">
        <v>290</v>
      </c>
      <c r="C295" s="3134">
        <v>5610</v>
      </c>
      <c r="D295" s="3134">
        <v>5570</v>
      </c>
      <c r="E295" s="3134">
        <v>6530</v>
      </c>
      <c r="F295" s="3134">
        <v>960</v>
      </c>
      <c r="G295" s="3147">
        <v>3360</v>
      </c>
    </row>
    <row r="296" spans="1:7" s="3123" customFormat="1" ht="14.25" customHeight="1">
      <c r="A296" s="3134" t="s">
        <v>306</v>
      </c>
      <c r="B296" s="3134" t="s">
        <v>293</v>
      </c>
      <c r="C296" s="3134">
        <v>5540</v>
      </c>
      <c r="D296" s="3134">
        <v>5490</v>
      </c>
      <c r="E296" s="3134">
        <v>6430</v>
      </c>
      <c r="F296" s="3134">
        <v>980</v>
      </c>
      <c r="G296" s="3147">
        <v>3310</v>
      </c>
    </row>
    <row r="297" spans="1:7" s="3123" customFormat="1" ht="14.25" customHeight="1">
      <c r="A297" s="3134" t="s">
        <v>306</v>
      </c>
      <c r="B297" s="3134" t="s">
        <v>295</v>
      </c>
      <c r="C297" s="3134">
        <v>5480</v>
      </c>
      <c r="D297" s="3134">
        <v>5420</v>
      </c>
      <c r="E297" s="3134">
        <v>6370</v>
      </c>
      <c r="F297" s="3134">
        <v>990</v>
      </c>
      <c r="G297" s="3147">
        <v>3270</v>
      </c>
    </row>
    <row r="298" spans="1:7" s="3123" customFormat="1" ht="14.25" customHeight="1">
      <c r="A298" s="3134" t="s">
        <v>306</v>
      </c>
      <c r="B298" s="3134" t="s">
        <v>298</v>
      </c>
      <c r="C298" s="3134">
        <v>5090</v>
      </c>
      <c r="D298" s="3134">
        <v>5050</v>
      </c>
      <c r="E298" s="3134">
        <v>5910</v>
      </c>
      <c r="F298" s="3134">
        <v>900</v>
      </c>
      <c r="G298" s="3147">
        <v>3040</v>
      </c>
    </row>
    <row r="299" spans="1:7" s="3123" customFormat="1" ht="14.25" customHeight="1">
      <c r="A299" s="3134" t="s">
        <v>306</v>
      </c>
      <c r="B299" s="3143" t="s">
        <v>2931</v>
      </c>
      <c r="C299" s="3134">
        <v>5430</v>
      </c>
      <c r="D299" s="3134">
        <v>5380</v>
      </c>
      <c r="E299" s="3134">
        <v>6280</v>
      </c>
      <c r="F299" s="3134">
        <v>1000</v>
      </c>
      <c r="G299" s="3147">
        <v>3240</v>
      </c>
    </row>
    <row r="300" spans="1:7" s="3123" customFormat="1" ht="14.25" customHeight="1">
      <c r="A300" s="3134" t="s">
        <v>306</v>
      </c>
      <c r="B300" s="3143" t="s">
        <v>271</v>
      </c>
      <c r="C300" s="3134">
        <v>4740</v>
      </c>
      <c r="D300" s="3134">
        <v>4680</v>
      </c>
      <c r="E300" s="3134">
        <v>5450</v>
      </c>
      <c r="F300" s="3134">
        <v>900</v>
      </c>
      <c r="G300" s="3147">
        <v>2830</v>
      </c>
    </row>
    <row r="301" spans="1:7" s="3123" customFormat="1" ht="14.25" customHeight="1">
      <c r="A301" s="3134" t="s">
        <v>306</v>
      </c>
      <c r="B301" s="3143" t="s">
        <v>276</v>
      </c>
      <c r="C301" s="3134">
        <v>4870</v>
      </c>
      <c r="D301" s="3134">
        <v>4810</v>
      </c>
      <c r="E301" s="3134">
        <v>5560</v>
      </c>
      <c r="F301" s="3134">
        <v>990</v>
      </c>
      <c r="G301" s="3147">
        <v>2910</v>
      </c>
    </row>
    <row r="302" spans="1:7" s="3123" customFormat="1" ht="14.25" customHeight="1">
      <c r="A302" s="3134" t="s">
        <v>306</v>
      </c>
      <c r="B302" s="3134" t="s">
        <v>3139</v>
      </c>
      <c r="C302" s="3134">
        <v>5520</v>
      </c>
      <c r="D302" s="3134">
        <v>5470</v>
      </c>
      <c r="E302" s="3134">
        <v>6410</v>
      </c>
      <c r="F302" s="3134">
        <v>950</v>
      </c>
      <c r="G302" s="3147">
        <v>3300</v>
      </c>
    </row>
    <row r="303" spans="1:7" s="3123" customFormat="1" ht="14.25" customHeight="1">
      <c r="A303" s="3134" t="s">
        <v>306</v>
      </c>
      <c r="B303" s="3134" t="s">
        <v>2951</v>
      </c>
      <c r="C303" s="3134">
        <v>5630</v>
      </c>
      <c r="D303" s="3134">
        <v>5590</v>
      </c>
      <c r="E303" s="3134">
        <v>6550</v>
      </c>
      <c r="F303" s="3134">
        <v>1010</v>
      </c>
      <c r="G303" s="3147">
        <v>3370</v>
      </c>
    </row>
    <row r="304" spans="1:7" s="3123" customFormat="1" ht="14.25" customHeight="1">
      <c r="A304" s="3134" t="s">
        <v>306</v>
      </c>
      <c r="B304" s="3134" t="s">
        <v>2958</v>
      </c>
      <c r="C304" s="3134">
        <v>5680</v>
      </c>
      <c r="D304" s="3134">
        <v>5620</v>
      </c>
      <c r="E304" s="3134">
        <v>6620</v>
      </c>
      <c r="F304" s="3134">
        <v>1050</v>
      </c>
      <c r="G304" s="3147">
        <v>3390</v>
      </c>
    </row>
    <row r="305" spans="1:7" s="3123" customFormat="1" ht="14.25" customHeight="1">
      <c r="A305" s="3134" t="s">
        <v>306</v>
      </c>
      <c r="B305" s="3134" t="s">
        <v>2964</v>
      </c>
      <c r="C305" s="3134">
        <v>5590</v>
      </c>
      <c r="D305" s="3134">
        <v>5530</v>
      </c>
      <c r="E305" s="3134">
        <v>6460</v>
      </c>
      <c r="F305" s="3134">
        <v>900</v>
      </c>
      <c r="G305" s="3147">
        <v>3340</v>
      </c>
    </row>
    <row r="306" spans="1:7" s="3123" customFormat="1" ht="14.25" customHeight="1">
      <c r="A306" s="3134" t="s">
        <v>306</v>
      </c>
      <c r="B306" s="3134" t="s">
        <v>3140</v>
      </c>
      <c r="C306" s="3134">
        <v>5560</v>
      </c>
      <c r="D306" s="3134">
        <v>5510</v>
      </c>
      <c r="E306" s="3134">
        <v>6440</v>
      </c>
      <c r="F306" s="3134">
        <v>900</v>
      </c>
      <c r="G306" s="3147">
        <v>3320</v>
      </c>
    </row>
    <row r="307" spans="1:7" s="3123" customFormat="1" ht="14.25" customHeight="1">
      <c r="A307" s="3134" t="s">
        <v>306</v>
      </c>
      <c r="B307" s="3134" t="s">
        <v>2976</v>
      </c>
      <c r="C307" s="3134">
        <v>5650</v>
      </c>
      <c r="D307" s="3134">
        <v>5600</v>
      </c>
      <c r="E307" s="3134">
        <v>6590</v>
      </c>
      <c r="F307" s="3134">
        <v>930</v>
      </c>
      <c r="G307" s="3147">
        <v>3380</v>
      </c>
    </row>
    <row r="308" spans="1:7" s="3123" customFormat="1" ht="14.25" customHeight="1">
      <c r="A308" s="3134" t="s">
        <v>306</v>
      </c>
      <c r="B308" s="3134" t="s">
        <v>3141</v>
      </c>
      <c r="C308" s="3134">
        <v>5620</v>
      </c>
      <c r="D308" s="3134">
        <v>5580</v>
      </c>
      <c r="E308" s="3134">
        <v>6540</v>
      </c>
      <c r="F308" s="3134">
        <v>910</v>
      </c>
      <c r="G308" s="3147">
        <v>3370</v>
      </c>
    </row>
    <row r="309" spans="1:7" s="3123" customFormat="1" ht="14.25" customHeight="1">
      <c r="A309" s="3134" t="s">
        <v>306</v>
      </c>
      <c r="B309" s="3134" t="s">
        <v>3142</v>
      </c>
      <c r="C309" s="3134">
        <v>5060</v>
      </c>
      <c r="D309" s="3134">
        <v>5020</v>
      </c>
      <c r="E309" s="3134">
        <v>6370</v>
      </c>
      <c r="F309" s="3134">
        <v>800</v>
      </c>
      <c r="G309" s="3147">
        <v>3020</v>
      </c>
    </row>
    <row r="310" spans="1:7" s="3123" customFormat="1" ht="14.25" customHeight="1">
      <c r="A310" s="3134" t="s">
        <v>306</v>
      </c>
      <c r="B310" s="3134" t="s">
        <v>2991</v>
      </c>
      <c r="C310" s="3134">
        <v>5150</v>
      </c>
      <c r="D310" s="3134">
        <v>5110</v>
      </c>
      <c r="E310" s="3134">
        <v>6500</v>
      </c>
      <c r="F310" s="3134">
        <v>880</v>
      </c>
      <c r="G310" s="3147">
        <v>3080</v>
      </c>
    </row>
    <row r="311" spans="1:7" s="3123" customFormat="1" ht="14.25" customHeight="1">
      <c r="A311" s="3134" t="s">
        <v>306</v>
      </c>
      <c r="B311" s="3134" t="s">
        <v>3143</v>
      </c>
      <c r="C311" s="3134">
        <v>4750</v>
      </c>
      <c r="D311" s="3134">
        <v>4710</v>
      </c>
      <c r="E311" s="3134">
        <v>5510</v>
      </c>
      <c r="F311" s="3134">
        <v>880</v>
      </c>
      <c r="G311" s="3147">
        <v>2840</v>
      </c>
    </row>
    <row r="312" spans="1:7" s="3123" customFormat="1" ht="14.25" customHeight="1">
      <c r="A312" s="3134" t="s">
        <v>306</v>
      </c>
      <c r="B312" s="3134" t="s">
        <v>3001</v>
      </c>
      <c r="C312" s="3134">
        <v>4690</v>
      </c>
      <c r="D312" s="3134">
        <v>4640</v>
      </c>
      <c r="E312" s="3134">
        <v>5420</v>
      </c>
      <c r="F312" s="3134">
        <v>800</v>
      </c>
      <c r="G312" s="3147">
        <v>2800</v>
      </c>
    </row>
    <row r="313" spans="1:7" s="3123" customFormat="1" ht="14.25" customHeight="1">
      <c r="A313" s="3134" t="s">
        <v>306</v>
      </c>
      <c r="B313" s="3134" t="s">
        <v>3006</v>
      </c>
      <c r="C313" s="3134">
        <v>4810</v>
      </c>
      <c r="D313" s="3134">
        <v>4760</v>
      </c>
      <c r="E313" s="3134">
        <v>5550</v>
      </c>
      <c r="F313" s="3134">
        <v>920</v>
      </c>
      <c r="G313" s="3147">
        <v>2870</v>
      </c>
    </row>
    <row r="314" spans="1:7" s="3123" customFormat="1" ht="14.25" customHeight="1">
      <c r="A314" s="3134" t="s">
        <v>306</v>
      </c>
      <c r="B314" s="3134" t="s">
        <v>3144</v>
      </c>
      <c r="C314" s="3134"/>
      <c r="D314" s="3134"/>
      <c r="E314" s="3134"/>
      <c r="F314" s="3134">
        <v>1020</v>
      </c>
      <c r="G314" s="3147"/>
    </row>
    <row r="315" spans="1:7" s="3123" customFormat="1" ht="14.25" customHeight="1">
      <c r="A315" s="3134" t="s">
        <v>306</v>
      </c>
      <c r="B315" s="3134" t="s">
        <v>3145</v>
      </c>
      <c r="C315" s="3134"/>
      <c r="D315" s="3134"/>
      <c r="E315" s="3134"/>
      <c r="F315" s="3134">
        <v>1050</v>
      </c>
      <c r="G315" s="3147"/>
    </row>
    <row r="316" spans="1:7" s="3123" customFormat="1" ht="14.25" customHeight="1">
      <c r="A316" s="3134" t="s">
        <v>306</v>
      </c>
      <c r="B316" s="3134" t="s">
        <v>3021</v>
      </c>
      <c r="C316" s="3134"/>
      <c r="D316" s="3134"/>
      <c r="E316" s="3134"/>
      <c r="F316" s="3134">
        <v>900</v>
      </c>
      <c r="G316" s="3147"/>
    </row>
    <row r="317" spans="1:7" s="3123" customFormat="1" ht="14.25" customHeight="1">
      <c r="A317" s="3134" t="s">
        <v>306</v>
      </c>
      <c r="B317" s="3134" t="s">
        <v>3146</v>
      </c>
      <c r="C317" s="3134"/>
      <c r="D317" s="3134"/>
      <c r="E317" s="3134"/>
      <c r="F317" s="3134">
        <v>920</v>
      </c>
      <c r="G317" s="3147"/>
    </row>
    <row r="318" spans="1:7" s="3123" customFormat="1" ht="14.25" customHeight="1">
      <c r="A318" s="3134" t="s">
        <v>306</v>
      </c>
      <c r="B318" s="3134" t="s">
        <v>3147</v>
      </c>
      <c r="C318" s="3134"/>
      <c r="D318" s="3134"/>
      <c r="E318" s="3134"/>
      <c r="F318" s="3134">
        <v>1080</v>
      </c>
      <c r="G318" s="3147"/>
    </row>
    <row r="319" spans="1:7" s="3123" customFormat="1" ht="14.25" customHeight="1">
      <c r="A319" s="3134" t="s">
        <v>306</v>
      </c>
      <c r="B319" s="3134" t="s">
        <v>3034</v>
      </c>
      <c r="C319" s="3134"/>
      <c r="D319" s="3134"/>
      <c r="E319" s="3134"/>
      <c r="F319" s="3134">
        <v>1020</v>
      </c>
      <c r="G319" s="3147"/>
    </row>
    <row r="320" spans="1:7" s="3123" customFormat="1" ht="14.25" customHeight="1">
      <c r="A320" s="3134" t="s">
        <v>306</v>
      </c>
      <c r="B320" s="3134" t="s">
        <v>3037</v>
      </c>
      <c r="C320" s="3134"/>
      <c r="D320" s="3134"/>
      <c r="E320" s="3134"/>
      <c r="F320" s="3134">
        <v>1050</v>
      </c>
      <c r="G320" s="3147"/>
    </row>
    <row r="321" spans="1:7" s="3123" customFormat="1" ht="14.25" customHeight="1">
      <c r="A321" s="3134" t="s">
        <v>306</v>
      </c>
      <c r="B321" s="3134" t="s">
        <v>3039</v>
      </c>
      <c r="C321" s="3134"/>
      <c r="D321" s="3134"/>
      <c r="E321" s="3134"/>
      <c r="F321" s="3134">
        <v>960</v>
      </c>
      <c r="G321" s="3147"/>
    </row>
    <row r="322" spans="1:7" s="3123" customFormat="1" ht="14.25" customHeight="1">
      <c r="A322" s="3134" t="s">
        <v>306</v>
      </c>
      <c r="B322" s="3134" t="s">
        <v>3041</v>
      </c>
      <c r="C322" s="3134"/>
      <c r="D322" s="3134"/>
      <c r="E322" s="3134"/>
      <c r="F322" s="3134">
        <v>960</v>
      </c>
      <c r="G322" s="3147"/>
    </row>
    <row r="323" spans="1:7" s="3123" customFormat="1" ht="14.25" customHeight="1">
      <c r="A323" s="3134" t="s">
        <v>306</v>
      </c>
      <c r="B323" s="3134" t="s">
        <v>3043</v>
      </c>
      <c r="C323" s="3134"/>
      <c r="D323" s="3134"/>
      <c r="E323" s="3134"/>
      <c r="F323" s="3134">
        <v>880</v>
      </c>
      <c r="G323" s="3147"/>
    </row>
    <row r="324" spans="1:7" s="3123" customFormat="1" ht="14.25" customHeight="1">
      <c r="A324" s="3134" t="s">
        <v>306</v>
      </c>
      <c r="B324" s="3134" t="s">
        <v>3045</v>
      </c>
      <c r="C324" s="3134"/>
      <c r="D324" s="3134"/>
      <c r="E324" s="3134"/>
      <c r="F324" s="3134">
        <v>930</v>
      </c>
      <c r="G324" s="3147"/>
    </row>
    <row r="325" spans="1:7" s="3123" customFormat="1" ht="14.25" customHeight="1">
      <c r="A325" s="3134" t="s">
        <v>306</v>
      </c>
      <c r="B325" s="3135" t="s">
        <v>3047</v>
      </c>
      <c r="C325" s="3134"/>
      <c r="D325" s="3134"/>
      <c r="E325" s="3134"/>
      <c r="F325" s="3134">
        <v>900</v>
      </c>
      <c r="G325" s="3147"/>
    </row>
    <row r="326" spans="1:7" s="3123" customFormat="1" ht="14.25" customHeight="1" thickBot="1">
      <c r="A326" s="3148" t="s">
        <v>306</v>
      </c>
      <c r="B326" s="3141" t="s">
        <v>3049</v>
      </c>
      <c r="C326" s="3141"/>
      <c r="D326" s="3141"/>
      <c r="E326" s="3141"/>
      <c r="F326" s="3141">
        <v>790</v>
      </c>
      <c r="G326" s="3149"/>
    </row>
    <row r="327" spans="1:7" s="3123" customFormat="1" ht="14.25" customHeight="1">
      <c r="A327" s="3139" t="s">
        <v>307</v>
      </c>
      <c r="B327" s="3130" t="s">
        <v>3148</v>
      </c>
      <c r="C327" s="3134">
        <v>3750</v>
      </c>
      <c r="D327" s="3134">
        <v>3710</v>
      </c>
      <c r="E327" s="3134">
        <v>4080</v>
      </c>
      <c r="F327" s="3134">
        <v>860</v>
      </c>
      <c r="G327" s="3134">
        <v>2210</v>
      </c>
    </row>
    <row r="328" spans="1:7" s="3123" customFormat="1" ht="14.25" customHeight="1">
      <c r="A328" s="3134" t="s">
        <v>307</v>
      </c>
      <c r="B328" s="3134" t="s">
        <v>136</v>
      </c>
      <c r="C328" s="3134">
        <v>3330</v>
      </c>
      <c r="D328" s="3134">
        <v>3290</v>
      </c>
      <c r="E328" s="3134">
        <v>3610</v>
      </c>
      <c r="F328" s="3134">
        <v>850</v>
      </c>
      <c r="G328" s="3134">
        <v>1960</v>
      </c>
    </row>
    <row r="329" spans="1:7" s="3123" customFormat="1" ht="14.25" customHeight="1">
      <c r="A329" s="3134" t="s">
        <v>307</v>
      </c>
      <c r="B329" s="3134" t="s">
        <v>3149</v>
      </c>
      <c r="C329" s="3134">
        <v>2730</v>
      </c>
      <c r="D329" s="3134">
        <v>2690</v>
      </c>
      <c r="E329" s="3134">
        <v>3100</v>
      </c>
      <c r="F329" s="3134">
        <v>660</v>
      </c>
      <c r="G329" s="3134">
        <v>1610</v>
      </c>
    </row>
    <row r="330" spans="1:7" s="3123" customFormat="1" ht="14.25" customHeight="1">
      <c r="A330" s="3134" t="s">
        <v>307</v>
      </c>
      <c r="B330" s="3134" t="s">
        <v>3150</v>
      </c>
      <c r="C330" s="3134">
        <v>3270</v>
      </c>
      <c r="D330" s="3134">
        <v>3240</v>
      </c>
      <c r="E330" s="3134">
        <v>3560</v>
      </c>
      <c r="F330" s="3134">
        <v>680</v>
      </c>
      <c r="G330" s="3134">
        <v>1940</v>
      </c>
    </row>
    <row r="331" spans="1:7" s="3123" customFormat="1" ht="14.25" customHeight="1">
      <c r="A331" s="3134" t="s">
        <v>307</v>
      </c>
      <c r="B331" s="3134" t="s">
        <v>161</v>
      </c>
      <c r="C331" s="3134">
        <v>3770</v>
      </c>
      <c r="D331" s="3134">
        <v>3740</v>
      </c>
      <c r="E331" s="3134">
        <v>4110</v>
      </c>
      <c r="F331" s="3134">
        <v>730</v>
      </c>
      <c r="G331" s="3134">
        <v>2230</v>
      </c>
    </row>
    <row r="332" spans="1:7" s="3123" customFormat="1" ht="14.25" customHeight="1">
      <c r="A332" s="3134" t="s">
        <v>307</v>
      </c>
      <c r="B332" s="3134" t="s">
        <v>2883</v>
      </c>
      <c r="C332" s="3134">
        <v>3520</v>
      </c>
      <c r="D332" s="3134">
        <v>3480</v>
      </c>
      <c r="E332" s="3134">
        <v>3830</v>
      </c>
      <c r="F332" s="3134">
        <v>720</v>
      </c>
      <c r="G332" s="3134">
        <v>2090</v>
      </c>
    </row>
    <row r="333" spans="1:7" s="3123" customFormat="1" ht="14.25" customHeight="1">
      <c r="A333" s="3134" t="s">
        <v>307</v>
      </c>
      <c r="B333" s="3134" t="s">
        <v>3151</v>
      </c>
      <c r="C333" s="3134">
        <v>3840</v>
      </c>
      <c r="D333" s="3134">
        <v>3800</v>
      </c>
      <c r="E333" s="3134">
        <v>4200</v>
      </c>
      <c r="F333" s="3134">
        <v>760</v>
      </c>
      <c r="G333" s="3134">
        <v>2270</v>
      </c>
    </row>
    <row r="334" spans="1:7" s="3123" customFormat="1" ht="14.25" customHeight="1">
      <c r="A334" s="3134" t="s">
        <v>307</v>
      </c>
      <c r="B334" s="3134" t="s">
        <v>183</v>
      </c>
      <c r="C334" s="3134">
        <v>3960</v>
      </c>
      <c r="D334" s="3134">
        <v>3910</v>
      </c>
      <c r="E334" s="3134">
        <v>4340</v>
      </c>
      <c r="F334" s="3134">
        <v>780</v>
      </c>
      <c r="G334" s="3134">
        <v>2340</v>
      </c>
    </row>
    <row r="335" spans="1:7" s="3123" customFormat="1" ht="14.25" customHeight="1">
      <c r="A335" s="3134" t="s">
        <v>307</v>
      </c>
      <c r="B335" s="3134" t="s">
        <v>193</v>
      </c>
      <c r="C335" s="3134">
        <v>3710</v>
      </c>
      <c r="D335" s="3134">
        <v>3670</v>
      </c>
      <c r="E335" s="3134">
        <v>4030</v>
      </c>
      <c r="F335" s="3134">
        <v>750</v>
      </c>
      <c r="G335" s="3134">
        <v>2200</v>
      </c>
    </row>
    <row r="336" spans="1:7" s="3123" customFormat="1" ht="14.25" customHeight="1">
      <c r="A336" s="3134" t="s">
        <v>307</v>
      </c>
      <c r="B336" s="3134" t="s">
        <v>2893</v>
      </c>
      <c r="C336" s="3134">
        <v>3570</v>
      </c>
      <c r="D336" s="3134">
        <v>3530</v>
      </c>
      <c r="E336" s="3134">
        <v>3880</v>
      </c>
      <c r="F336" s="3134">
        <v>770</v>
      </c>
      <c r="G336" s="3134">
        <v>2110</v>
      </c>
    </row>
    <row r="337" spans="1:10" s="3123" customFormat="1" ht="14.25" customHeight="1">
      <c r="A337" s="3134" t="s">
        <v>307</v>
      </c>
      <c r="B337" s="3134" t="s">
        <v>3152</v>
      </c>
      <c r="C337" s="3134">
        <v>3780</v>
      </c>
      <c r="D337" s="3134">
        <v>3750</v>
      </c>
      <c r="E337" s="3134">
        <v>4130</v>
      </c>
      <c r="F337" s="3134">
        <v>750</v>
      </c>
      <c r="G337" s="3134">
        <v>2240</v>
      </c>
    </row>
    <row r="338" spans="1:10" s="3123" customFormat="1" ht="14.25" customHeight="1">
      <c r="A338" s="3134" t="s">
        <v>307</v>
      </c>
      <c r="B338" s="3134" t="s">
        <v>220</v>
      </c>
      <c r="C338" s="3134">
        <v>3600</v>
      </c>
      <c r="D338" s="3134">
        <v>3570</v>
      </c>
      <c r="E338" s="3134">
        <v>3920</v>
      </c>
      <c r="F338" s="3134">
        <v>790</v>
      </c>
      <c r="G338" s="3134">
        <v>2140</v>
      </c>
    </row>
    <row r="339" spans="1:10" s="3123" customFormat="1" ht="14.25" customHeight="1">
      <c r="A339" s="3134" t="s">
        <v>307</v>
      </c>
      <c r="B339" s="3134" t="s">
        <v>228</v>
      </c>
      <c r="C339" s="3134">
        <v>3540</v>
      </c>
      <c r="D339" s="3134">
        <v>3500</v>
      </c>
      <c r="E339" s="3134">
        <v>3850</v>
      </c>
      <c r="F339" s="3134">
        <v>780</v>
      </c>
      <c r="G339" s="3134">
        <v>2100</v>
      </c>
    </row>
    <row r="340" spans="1:10" s="3123" customFormat="1" ht="14.25" customHeight="1">
      <c r="A340" s="3134" t="s">
        <v>307</v>
      </c>
      <c r="B340" s="3134" t="s">
        <v>3153</v>
      </c>
      <c r="C340" s="3134">
        <v>3850</v>
      </c>
      <c r="D340" s="3134">
        <v>3810</v>
      </c>
      <c r="E340" s="3134">
        <v>4210</v>
      </c>
      <c r="F340" s="3134">
        <v>750</v>
      </c>
      <c r="G340" s="3134">
        <v>2280</v>
      </c>
    </row>
    <row r="341" spans="1:10" s="3123" customFormat="1" ht="14.25" customHeight="1">
      <c r="A341" s="3134" t="s">
        <v>307</v>
      </c>
      <c r="B341" s="3134" t="s">
        <v>207</v>
      </c>
      <c r="C341" s="3134">
        <v>3780</v>
      </c>
      <c r="D341" s="3134">
        <v>3750</v>
      </c>
      <c r="E341" s="3134">
        <v>4140</v>
      </c>
      <c r="F341" s="3134">
        <v>720</v>
      </c>
      <c r="G341" s="3134">
        <v>2240</v>
      </c>
    </row>
    <row r="342" spans="1:10" s="3123" customFormat="1" ht="14.25" customHeight="1">
      <c r="A342" s="3134" t="s">
        <v>307</v>
      </c>
      <c r="B342" s="3134" t="s">
        <v>3154</v>
      </c>
      <c r="C342" s="3134">
        <v>3670</v>
      </c>
      <c r="D342" s="3134">
        <v>3620</v>
      </c>
      <c r="E342" s="3134">
        <v>3990</v>
      </c>
      <c r="F342" s="3134">
        <v>760</v>
      </c>
      <c r="G342" s="3134">
        <v>2170</v>
      </c>
    </row>
    <row r="343" spans="1:10" s="3123" customFormat="1" ht="14.25" customHeight="1">
      <c r="A343" s="3134" t="s">
        <v>307</v>
      </c>
      <c r="B343" s="3134" t="s">
        <v>257</v>
      </c>
      <c r="C343" s="3134">
        <v>3760</v>
      </c>
      <c r="D343" s="3134">
        <v>3720</v>
      </c>
      <c r="E343" s="3134">
        <v>4090</v>
      </c>
      <c r="F343" s="3134">
        <v>780</v>
      </c>
      <c r="G343" s="3134">
        <v>2220</v>
      </c>
    </row>
    <row r="344" spans="1:10" s="3123" customFormat="1" ht="14.25" customHeight="1">
      <c r="A344" s="3134" t="s">
        <v>307</v>
      </c>
      <c r="B344" s="3134" t="s">
        <v>265</v>
      </c>
      <c r="C344" s="3134">
        <v>3680</v>
      </c>
      <c r="D344" s="3134">
        <v>3640</v>
      </c>
      <c r="E344" s="3134">
        <v>4010</v>
      </c>
      <c r="F344" s="3134">
        <v>750</v>
      </c>
      <c r="G344" s="3134">
        <v>2180</v>
      </c>
    </row>
    <row r="345" spans="1:10">
      <c r="A345" s="3134" t="s">
        <v>307</v>
      </c>
      <c r="B345" s="3134" t="s">
        <v>2918</v>
      </c>
      <c r="C345" s="3134">
        <v>3190</v>
      </c>
      <c r="D345" s="3134">
        <v>3140</v>
      </c>
      <c r="E345" s="3134">
        <v>3450</v>
      </c>
      <c r="F345" s="3134">
        <v>720</v>
      </c>
      <c r="G345" s="3134">
        <v>1880</v>
      </c>
      <c r="J345" s="3123"/>
    </row>
    <row r="346" spans="1:10">
      <c r="A346" s="3134" t="s">
        <v>307</v>
      </c>
      <c r="B346" s="3134" t="s">
        <v>3155</v>
      </c>
      <c r="C346" s="3134">
        <v>3630</v>
      </c>
      <c r="D346" s="3134">
        <v>3590</v>
      </c>
      <c r="E346" s="3134">
        <v>3940</v>
      </c>
      <c r="F346" s="3134">
        <v>730</v>
      </c>
      <c r="G346" s="3134">
        <v>2150</v>
      </c>
      <c r="J346" s="3123"/>
    </row>
    <row r="347" spans="1:10">
      <c r="A347" s="3134" t="s">
        <v>307</v>
      </c>
      <c r="B347" s="3134" t="s">
        <v>243</v>
      </c>
      <c r="C347" s="3134">
        <v>3860</v>
      </c>
      <c r="D347" s="3134">
        <v>3820</v>
      </c>
      <c r="E347" s="3134">
        <v>4220</v>
      </c>
      <c r="F347" s="3134">
        <v>750</v>
      </c>
      <c r="G347" s="3134">
        <v>2280</v>
      </c>
      <c r="J347" s="3123"/>
    </row>
    <row r="348" spans="1:10">
      <c r="A348" s="3134" t="s">
        <v>307</v>
      </c>
      <c r="B348" s="3134" t="s">
        <v>2927</v>
      </c>
      <c r="C348" s="3134">
        <v>4000</v>
      </c>
      <c r="D348" s="3134">
        <v>3950</v>
      </c>
      <c r="E348" s="3134">
        <v>4430</v>
      </c>
      <c r="F348" s="3134">
        <v>760</v>
      </c>
      <c r="G348" s="3134">
        <v>2360</v>
      </c>
      <c r="J348" s="3123"/>
    </row>
    <row r="349" spans="1:10">
      <c r="A349" s="3134" t="s">
        <v>307</v>
      </c>
      <c r="B349" s="3134" t="s">
        <v>2932</v>
      </c>
      <c r="C349" s="3134">
        <v>3820</v>
      </c>
      <c r="D349" s="3134">
        <v>3780</v>
      </c>
      <c r="E349" s="3134">
        <v>4170</v>
      </c>
      <c r="F349" s="3134">
        <v>710</v>
      </c>
      <c r="G349" s="3134">
        <v>2260</v>
      </c>
      <c r="J349" s="3123"/>
    </row>
    <row r="350" spans="1:10">
      <c r="A350" s="3134" t="s">
        <v>307</v>
      </c>
      <c r="B350" s="3134" t="s">
        <v>3156</v>
      </c>
      <c r="C350" s="3134">
        <v>3760</v>
      </c>
      <c r="D350" s="3134">
        <v>3730</v>
      </c>
      <c r="E350" s="3134">
        <v>4100</v>
      </c>
      <c r="F350" s="3134">
        <v>800</v>
      </c>
      <c r="G350" s="3134">
        <v>2230</v>
      </c>
      <c r="J350" s="3123"/>
    </row>
    <row r="351" spans="1:10">
      <c r="A351" s="3134" t="s">
        <v>307</v>
      </c>
      <c r="B351" s="3134" t="s">
        <v>2940</v>
      </c>
      <c r="C351" s="3134">
        <v>3610</v>
      </c>
      <c r="D351" s="3134">
        <v>3580</v>
      </c>
      <c r="E351" s="3134">
        <v>3930</v>
      </c>
      <c r="F351" s="3134">
        <v>700</v>
      </c>
      <c r="G351" s="3134">
        <v>2140</v>
      </c>
      <c r="J351" s="3123"/>
    </row>
    <row r="352" spans="1:10">
      <c r="A352" s="3134" t="s">
        <v>307</v>
      </c>
      <c r="B352" s="3134" t="s">
        <v>2945</v>
      </c>
      <c r="C352" s="3134">
        <v>3670</v>
      </c>
      <c r="D352" s="3134">
        <v>3630</v>
      </c>
      <c r="E352" s="3134">
        <v>4000</v>
      </c>
      <c r="F352" s="3134">
        <v>750</v>
      </c>
      <c r="G352" s="3134">
        <v>2180</v>
      </c>
    </row>
    <row r="353" spans="1:7" s="3127" customFormat="1">
      <c r="A353" s="3134" t="s">
        <v>307</v>
      </c>
      <c r="B353" s="3134" t="s">
        <v>3157</v>
      </c>
      <c r="C353" s="3134">
        <v>3190</v>
      </c>
      <c r="D353" s="3134">
        <v>3150</v>
      </c>
      <c r="E353" s="3134">
        <v>3640</v>
      </c>
      <c r="F353" s="3134">
        <v>630</v>
      </c>
      <c r="G353" s="3134">
        <v>1890</v>
      </c>
    </row>
    <row r="354" spans="1:7" s="3127" customFormat="1">
      <c r="A354" s="3134" t="s">
        <v>307</v>
      </c>
      <c r="B354" s="3134" t="s">
        <v>280</v>
      </c>
      <c r="C354" s="3134">
        <v>3450</v>
      </c>
      <c r="D354" s="3134">
        <v>3420</v>
      </c>
      <c r="E354" s="3134">
        <v>3960</v>
      </c>
      <c r="F354" s="3134">
        <v>660</v>
      </c>
      <c r="G354" s="3134">
        <v>2050</v>
      </c>
    </row>
    <row r="355" spans="1:7" s="3127" customFormat="1">
      <c r="A355" s="3134" t="s">
        <v>307</v>
      </c>
      <c r="B355" s="3134" t="s">
        <v>2965</v>
      </c>
      <c r="C355" s="3134">
        <v>3650</v>
      </c>
      <c r="D355" s="3134">
        <v>3610</v>
      </c>
      <c r="E355" s="3134">
        <v>4200</v>
      </c>
      <c r="F355" s="3134">
        <v>640</v>
      </c>
      <c r="G355" s="3134">
        <v>2160</v>
      </c>
    </row>
    <row r="356" spans="1:7" s="3127" customFormat="1">
      <c r="A356" s="3134" t="s">
        <v>307</v>
      </c>
      <c r="B356" s="3134" t="s">
        <v>2972</v>
      </c>
      <c r="C356" s="3134">
        <v>3260</v>
      </c>
      <c r="D356" s="3134">
        <v>3230</v>
      </c>
      <c r="E356" s="3134">
        <v>3740</v>
      </c>
      <c r="F356" s="3134">
        <v>600</v>
      </c>
      <c r="G356" s="3134">
        <v>1930</v>
      </c>
    </row>
    <row r="357" spans="1:7" s="3127" customFormat="1" ht="12" thickBot="1">
      <c r="A357" s="3142" t="s">
        <v>307</v>
      </c>
      <c r="B357" s="3145" t="s">
        <v>3158</v>
      </c>
      <c r="C357" s="3145">
        <v>3690</v>
      </c>
      <c r="D357" s="3145">
        <v>3650</v>
      </c>
      <c r="E357" s="3145">
        <v>4020</v>
      </c>
      <c r="F357" s="3145">
        <v>700</v>
      </c>
      <c r="G357" s="3145">
        <v>2190</v>
      </c>
    </row>
    <row r="358" spans="1:7" s="3127" customFormat="1">
      <c r="A358" s="3139" t="s">
        <v>3159</v>
      </c>
      <c r="B358" s="3130" t="s">
        <v>3160</v>
      </c>
      <c r="C358" s="3130">
        <v>2080</v>
      </c>
      <c r="D358" s="3130">
        <v>2040</v>
      </c>
      <c r="E358" s="3130">
        <v>2010</v>
      </c>
      <c r="F358" s="3130">
        <v>530</v>
      </c>
      <c r="G358" s="3146">
        <v>1230</v>
      </c>
    </row>
    <row r="359" spans="1:7" s="3127" customFormat="1">
      <c r="A359" s="3134" t="s">
        <v>3159</v>
      </c>
      <c r="B359" s="3134" t="s">
        <v>3161</v>
      </c>
      <c r="C359" s="3134">
        <v>1850</v>
      </c>
      <c r="D359" s="3134">
        <v>1820</v>
      </c>
      <c r="E359" s="3134">
        <v>1780</v>
      </c>
      <c r="F359" s="3134">
        <v>520</v>
      </c>
      <c r="G359" s="3147">
        <v>1100</v>
      </c>
    </row>
    <row r="360" spans="1:7" s="3127" customFormat="1">
      <c r="A360" s="3134" t="s">
        <v>3159</v>
      </c>
      <c r="B360" s="3134" t="s">
        <v>3162</v>
      </c>
      <c r="C360" s="3134">
        <v>2020</v>
      </c>
      <c r="D360" s="3134">
        <v>1990</v>
      </c>
      <c r="E360" s="3134">
        <v>1950</v>
      </c>
      <c r="F360" s="3134">
        <v>500</v>
      </c>
      <c r="G360" s="3147">
        <v>1200</v>
      </c>
    </row>
    <row r="361" spans="1:7" s="3127" customFormat="1">
      <c r="A361" s="3134" t="s">
        <v>3159</v>
      </c>
      <c r="B361" s="3134" t="s">
        <v>153</v>
      </c>
      <c r="C361" s="3134">
        <v>2260</v>
      </c>
      <c r="D361" s="3134">
        <v>2220</v>
      </c>
      <c r="E361" s="3134">
        <v>2180</v>
      </c>
      <c r="F361" s="3134">
        <v>580</v>
      </c>
      <c r="G361" s="3147">
        <v>1340</v>
      </c>
    </row>
    <row r="362" spans="1:7" s="3127" customFormat="1">
      <c r="A362" s="3134" t="s">
        <v>3159</v>
      </c>
      <c r="B362" s="3134" t="s">
        <v>3163</v>
      </c>
      <c r="C362" s="3134">
        <v>2650</v>
      </c>
      <c r="D362" s="3134">
        <v>2610</v>
      </c>
      <c r="E362" s="3134">
        <v>2570</v>
      </c>
      <c r="F362" s="3134">
        <v>630</v>
      </c>
      <c r="G362" s="3147">
        <v>1570</v>
      </c>
    </row>
    <row r="363" spans="1:7" s="3127" customFormat="1">
      <c r="A363" s="3134" t="s">
        <v>3159</v>
      </c>
      <c r="B363" s="3134" t="s">
        <v>2884</v>
      </c>
      <c r="C363" s="3134">
        <v>2390</v>
      </c>
      <c r="D363" s="3134">
        <v>2360</v>
      </c>
      <c r="E363" s="3134">
        <v>2320</v>
      </c>
      <c r="F363" s="3134">
        <v>600</v>
      </c>
      <c r="G363" s="3147">
        <v>1420</v>
      </c>
    </row>
    <row r="364" spans="1:7" s="3127" customFormat="1">
      <c r="A364" s="3134" t="s">
        <v>3159</v>
      </c>
      <c r="B364" s="3134" t="s">
        <v>3164</v>
      </c>
      <c r="C364" s="3134">
        <v>2050</v>
      </c>
      <c r="D364" s="3134">
        <v>2030</v>
      </c>
      <c r="E364" s="3134">
        <v>1990</v>
      </c>
      <c r="F364" s="3134">
        <v>550</v>
      </c>
      <c r="G364" s="3147">
        <v>1220</v>
      </c>
    </row>
    <row r="365" spans="1:7" s="3127" customFormat="1">
      <c r="A365" s="3134" t="s">
        <v>3159</v>
      </c>
      <c r="B365" s="3134" t="s">
        <v>200</v>
      </c>
      <c r="C365" s="3134">
        <v>2140</v>
      </c>
      <c r="D365" s="3134">
        <v>2100</v>
      </c>
      <c r="E365" s="3134">
        <v>2060</v>
      </c>
      <c r="F365" s="3134">
        <v>540</v>
      </c>
      <c r="G365" s="3147">
        <v>1270</v>
      </c>
    </row>
    <row r="366" spans="1:7" s="3127" customFormat="1">
      <c r="A366" s="3134" t="s">
        <v>3159</v>
      </c>
      <c r="B366" s="3134" t="s">
        <v>2891</v>
      </c>
      <c r="C366" s="3134">
        <v>2410</v>
      </c>
      <c r="D366" s="3134">
        <v>2370</v>
      </c>
      <c r="E366" s="3134">
        <v>2330</v>
      </c>
      <c r="F366" s="3134">
        <v>570</v>
      </c>
      <c r="G366" s="3147">
        <v>1440</v>
      </c>
    </row>
    <row r="367" spans="1:7" s="3127" customFormat="1">
      <c r="A367" s="3134" t="s">
        <v>3159</v>
      </c>
      <c r="B367" s="3134" t="s">
        <v>3165</v>
      </c>
      <c r="C367" s="3134">
        <v>2300</v>
      </c>
      <c r="D367" s="3134">
        <v>2260</v>
      </c>
      <c r="E367" s="3134">
        <v>2220</v>
      </c>
      <c r="F367" s="3134">
        <v>560</v>
      </c>
      <c r="G367" s="3147">
        <v>1370</v>
      </c>
    </row>
    <row r="368" spans="1:7" s="3127" customFormat="1">
      <c r="A368" s="3134" t="s">
        <v>3159</v>
      </c>
      <c r="B368" s="3134" t="s">
        <v>3166</v>
      </c>
      <c r="C368" s="3134">
        <v>2430</v>
      </c>
      <c r="D368" s="3134">
        <v>2390</v>
      </c>
      <c r="E368" s="3134">
        <v>2350</v>
      </c>
      <c r="F368" s="3134">
        <v>570</v>
      </c>
      <c r="G368" s="3147">
        <v>1450</v>
      </c>
    </row>
    <row r="369" spans="1:7" s="3127" customFormat="1">
      <c r="A369" s="3134" t="s">
        <v>3159</v>
      </c>
      <c r="B369" s="3134" t="s">
        <v>214</v>
      </c>
      <c r="C369" s="3134">
        <v>2320</v>
      </c>
      <c r="D369" s="3134">
        <v>2290</v>
      </c>
      <c r="E369" s="3134">
        <v>2250</v>
      </c>
      <c r="F369" s="3134">
        <v>550</v>
      </c>
      <c r="G369" s="3147">
        <v>1380</v>
      </c>
    </row>
    <row r="370" spans="1:7" s="3127" customFormat="1">
      <c r="A370" s="3134" t="s">
        <v>3159</v>
      </c>
      <c r="B370" s="3134" t="s">
        <v>221</v>
      </c>
      <c r="C370" s="3134">
        <v>2190</v>
      </c>
      <c r="D370" s="3134">
        <v>2170</v>
      </c>
      <c r="E370" s="3134">
        <v>2130</v>
      </c>
      <c r="F370" s="3134">
        <v>530</v>
      </c>
      <c r="G370" s="3147">
        <v>1310</v>
      </c>
    </row>
    <row r="371" spans="1:7" s="3127" customFormat="1">
      <c r="A371" s="3134" t="s">
        <v>3159</v>
      </c>
      <c r="B371" s="3134" t="s">
        <v>229</v>
      </c>
      <c r="C371" s="3134">
        <v>2460</v>
      </c>
      <c r="D371" s="3134">
        <v>2420</v>
      </c>
      <c r="E371" s="3134">
        <v>2370</v>
      </c>
      <c r="F371" s="3134">
        <v>560</v>
      </c>
      <c r="G371" s="3147">
        <v>1470</v>
      </c>
    </row>
    <row r="372" spans="1:7" s="3127" customFormat="1">
      <c r="A372" s="3134" t="s">
        <v>3159</v>
      </c>
      <c r="B372" s="3134" t="s">
        <v>3167</v>
      </c>
      <c r="C372" s="3134">
        <v>2250</v>
      </c>
      <c r="D372" s="3134">
        <v>2210</v>
      </c>
      <c r="E372" s="3134">
        <v>2180</v>
      </c>
      <c r="F372" s="3134">
        <v>550</v>
      </c>
      <c r="G372" s="3147">
        <v>1340</v>
      </c>
    </row>
    <row r="373" spans="1:7" s="3127" customFormat="1">
      <c r="A373" s="3134" t="s">
        <v>3159</v>
      </c>
      <c r="B373" s="3134" t="s">
        <v>258</v>
      </c>
      <c r="C373" s="3134">
        <v>2210</v>
      </c>
      <c r="D373" s="3134">
        <v>2190</v>
      </c>
      <c r="E373" s="3134">
        <v>2150</v>
      </c>
      <c r="F373" s="3134">
        <v>530</v>
      </c>
      <c r="G373" s="3147">
        <v>1320</v>
      </c>
    </row>
    <row r="374" spans="1:7" s="3127" customFormat="1">
      <c r="A374" s="3134" t="s">
        <v>3159</v>
      </c>
      <c r="B374" s="3134" t="s">
        <v>266</v>
      </c>
      <c r="C374" s="3134">
        <v>2320</v>
      </c>
      <c r="D374" s="3134">
        <v>2280</v>
      </c>
      <c r="E374" s="3134">
        <v>2230</v>
      </c>
      <c r="F374" s="3134">
        <v>580</v>
      </c>
      <c r="G374" s="3147">
        <v>1380</v>
      </c>
    </row>
    <row r="375" spans="1:7" s="3127" customFormat="1">
      <c r="A375" s="3134" t="s">
        <v>3159</v>
      </c>
      <c r="B375" s="3134" t="s">
        <v>3168</v>
      </c>
      <c r="C375" s="3134">
        <v>2090</v>
      </c>
      <c r="D375" s="3134">
        <v>2050</v>
      </c>
      <c r="E375" s="3134">
        <v>2020</v>
      </c>
      <c r="F375" s="3134">
        <v>520</v>
      </c>
      <c r="G375" s="3147">
        <v>1240</v>
      </c>
    </row>
    <row r="376" spans="1:7" s="3127" customFormat="1">
      <c r="A376" s="3134" t="s">
        <v>3159</v>
      </c>
      <c r="B376" s="3134" t="s">
        <v>277</v>
      </c>
      <c r="C376" s="3134">
        <v>2010</v>
      </c>
      <c r="D376" s="3134">
        <v>1980</v>
      </c>
      <c r="E376" s="3134">
        <v>1940</v>
      </c>
      <c r="F376" s="3134">
        <v>540</v>
      </c>
      <c r="G376" s="3147">
        <v>1190</v>
      </c>
    </row>
    <row r="377" spans="1:7" s="3127" customFormat="1" ht="12" thickBot="1">
      <c r="A377" s="3142" t="s">
        <v>3159</v>
      </c>
      <c r="B377" s="3145" t="s">
        <v>2921</v>
      </c>
      <c r="C377" s="3145">
        <v>1930</v>
      </c>
      <c r="D377" s="3145">
        <v>1890</v>
      </c>
      <c r="E377" s="3145">
        <v>1860</v>
      </c>
      <c r="F377" s="3145">
        <v>530</v>
      </c>
      <c r="G377" s="3150">
        <v>1150</v>
      </c>
    </row>
    <row r="378" spans="1:7" s="3127" customFormat="1">
      <c r="A378" s="3151" t="s">
        <v>3169</v>
      </c>
      <c r="B378" s="3130" t="s">
        <v>3170</v>
      </c>
      <c r="C378" s="3130">
        <v>1520</v>
      </c>
      <c r="D378" s="3130">
        <v>1490</v>
      </c>
      <c r="E378" s="3130">
        <v>1460</v>
      </c>
      <c r="F378" s="3130">
        <v>460</v>
      </c>
      <c r="G378" s="3146">
        <v>940</v>
      </c>
    </row>
    <row r="379" spans="1:7" s="3127" customFormat="1">
      <c r="A379" s="3152" t="s">
        <v>3169</v>
      </c>
      <c r="B379" s="3134" t="s">
        <v>3171</v>
      </c>
      <c r="C379" s="3134">
        <v>1500</v>
      </c>
      <c r="D379" s="3134">
        <v>1470</v>
      </c>
      <c r="E379" s="3134">
        <v>1430</v>
      </c>
      <c r="F379" s="3134">
        <v>460</v>
      </c>
      <c r="G379" s="3147">
        <v>920</v>
      </c>
    </row>
    <row r="380" spans="1:7" s="3127" customFormat="1">
      <c r="A380" s="3152" t="s">
        <v>3169</v>
      </c>
      <c r="B380" s="3134" t="s">
        <v>3172</v>
      </c>
      <c r="C380" s="3134">
        <v>1620</v>
      </c>
      <c r="D380" s="3134">
        <v>1590</v>
      </c>
      <c r="E380" s="3134">
        <v>1560</v>
      </c>
      <c r="F380" s="3134">
        <v>480</v>
      </c>
      <c r="G380" s="3147">
        <v>1000</v>
      </c>
    </row>
    <row r="381" spans="1:7" s="3127" customFormat="1">
      <c r="A381" s="3152" t="s">
        <v>3169</v>
      </c>
      <c r="B381" s="3134" t="s">
        <v>3173</v>
      </c>
      <c r="C381" s="3134">
        <v>1460</v>
      </c>
      <c r="D381" s="3134">
        <v>1430</v>
      </c>
      <c r="E381" s="3134">
        <v>1390</v>
      </c>
      <c r="F381" s="3134">
        <v>450</v>
      </c>
      <c r="G381" s="3147">
        <v>900</v>
      </c>
    </row>
    <row r="382" spans="1:7" s="3127" customFormat="1">
      <c r="A382" s="3152" t="s">
        <v>3169</v>
      </c>
      <c r="B382" s="3134" t="s">
        <v>3174</v>
      </c>
      <c r="C382" s="3134">
        <v>1310</v>
      </c>
      <c r="D382" s="3134">
        <v>1280</v>
      </c>
      <c r="E382" s="3134">
        <v>1250</v>
      </c>
      <c r="F382" s="3134">
        <v>440</v>
      </c>
      <c r="G382" s="3147">
        <v>800</v>
      </c>
    </row>
    <row r="383" spans="1:7" s="3127" customFormat="1">
      <c r="A383" s="3152" t="s">
        <v>3169</v>
      </c>
      <c r="B383" s="3134" t="s">
        <v>3175</v>
      </c>
      <c r="C383" s="3134">
        <v>1260</v>
      </c>
      <c r="D383" s="3134">
        <v>1230</v>
      </c>
      <c r="E383" s="3134">
        <v>1200</v>
      </c>
      <c r="F383" s="3134">
        <v>420</v>
      </c>
      <c r="G383" s="3147">
        <v>770</v>
      </c>
    </row>
    <row r="384" spans="1:7" s="3127" customFormat="1" ht="12" thickBot="1">
      <c r="A384" s="3153" t="s">
        <v>3169</v>
      </c>
      <c r="B384" s="3141" t="s">
        <v>3176</v>
      </c>
      <c r="C384" s="3141">
        <v>1170</v>
      </c>
      <c r="D384" s="3141">
        <v>1140</v>
      </c>
      <c r="E384" s="3141">
        <v>1120</v>
      </c>
      <c r="F384" s="3141">
        <v>400</v>
      </c>
      <c r="G384" s="31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topLeftCell="A10" workbookViewId="0">
      <selection activeCell="A10" sqref="A10:G29"/>
    </sheetView>
  </sheetViews>
  <sheetFormatPr defaultColWidth="8.875" defaultRowHeight="13.5"/>
  <cols>
    <col min="1" max="1" width="12.625" style="2930" customWidth="1"/>
    <col min="2" max="2" width="20" style="2930" customWidth="1"/>
    <col min="3" max="7" width="8.875" style="2930"/>
    <col min="8" max="16384" width="8.875" style="2805"/>
  </cols>
  <sheetData>
    <row r="1" spans="1:7">
      <c r="A1" s="3515" t="s">
        <v>3177</v>
      </c>
      <c r="B1" s="3515"/>
    </row>
    <row r="2" spans="1:7" ht="14.25" thickBot="1">
      <c r="A2" s="2931"/>
      <c r="B2" s="2931"/>
    </row>
    <row r="3" spans="1:7" ht="14.25" thickBot="1">
      <c r="A3" s="2931"/>
      <c r="B3" s="2931"/>
      <c r="C3" s="2932" t="s">
        <v>2807</v>
      </c>
      <c r="D3" s="2932" t="s">
        <v>2863</v>
      </c>
      <c r="E3" s="2932" t="s">
        <v>2809</v>
      </c>
      <c r="F3" s="2932" t="s">
        <v>2864</v>
      </c>
      <c r="G3" s="2932" t="s">
        <v>2627</v>
      </c>
    </row>
    <row r="4" spans="1:7" ht="14.25" thickBot="1">
      <c r="A4" s="2933" t="s">
        <v>2862</v>
      </c>
      <c r="B4" s="2934" t="s">
        <v>2868</v>
      </c>
      <c r="C4" s="2932"/>
      <c r="D4" s="2932"/>
      <c r="E4" s="2932"/>
      <c r="F4" s="2932"/>
      <c r="G4" s="2932"/>
    </row>
    <row r="5" spans="1:7">
      <c r="A5" s="2935" t="s">
        <v>2836</v>
      </c>
      <c r="B5" s="2936" t="s">
        <v>2850</v>
      </c>
      <c r="C5" s="2937">
        <v>9.8000000000000004E-2</v>
      </c>
      <c r="D5" s="2937">
        <v>8.6999999999999994E-2</v>
      </c>
      <c r="E5" s="2937">
        <v>8.6999999999999994E-2</v>
      </c>
      <c r="F5" s="2937">
        <v>9.8000000000000004E-2</v>
      </c>
      <c r="G5" s="2938">
        <v>9.5000000000000001E-2</v>
      </c>
    </row>
    <row r="6" spans="1:7">
      <c r="A6" s="2939" t="s">
        <v>144</v>
      </c>
      <c r="B6" s="2940" t="s">
        <v>2865</v>
      </c>
      <c r="C6" s="2941">
        <v>9.8000000000000004E-2</v>
      </c>
      <c r="D6" s="2941">
        <v>9.8000000000000004E-2</v>
      </c>
      <c r="E6" s="2941">
        <v>9.8000000000000004E-2</v>
      </c>
      <c r="F6" s="2941">
        <v>0.1</v>
      </c>
      <c r="G6" s="2942">
        <v>9.9000000000000005E-2</v>
      </c>
    </row>
    <row r="7" spans="1:7">
      <c r="A7" s="2939" t="s">
        <v>144</v>
      </c>
      <c r="B7" s="2940" t="s">
        <v>137</v>
      </c>
      <c r="C7" s="2941">
        <v>9.7000000000000003E-2</v>
      </c>
      <c r="D7" s="2941">
        <v>9.7000000000000003E-2</v>
      </c>
      <c r="E7" s="2941">
        <v>9.6000000000000002E-2</v>
      </c>
      <c r="F7" s="2941">
        <v>0.1</v>
      </c>
      <c r="G7" s="2942">
        <v>9.8000000000000004E-2</v>
      </c>
    </row>
    <row r="8" spans="1:7">
      <c r="A8" s="2939" t="s">
        <v>144</v>
      </c>
      <c r="B8" s="2940" t="s">
        <v>145</v>
      </c>
      <c r="C8" s="2941">
        <v>8.1000000000000003E-2</v>
      </c>
      <c r="D8" s="2941">
        <v>8.2000000000000003E-2</v>
      </c>
      <c r="E8" s="2941">
        <v>7.0000000000000007E-2</v>
      </c>
      <c r="F8" s="2941">
        <v>9.6000000000000002E-2</v>
      </c>
      <c r="G8" s="2942">
        <v>8.8999999999999996E-2</v>
      </c>
    </row>
    <row r="9" spans="1:7" ht="14.25" thickBot="1">
      <c r="A9" s="2943" t="s">
        <v>144</v>
      </c>
      <c r="B9" s="2944" t="s">
        <v>154</v>
      </c>
      <c r="C9" s="2945">
        <v>0.1</v>
      </c>
      <c r="D9" s="2945">
        <v>0.1</v>
      </c>
      <c r="E9" s="2945">
        <v>0.1</v>
      </c>
      <c r="F9" s="2946"/>
      <c r="G9" s="2947">
        <v>0.1</v>
      </c>
    </row>
    <row r="10" spans="1:7">
      <c r="A10" s="2935" t="s">
        <v>184</v>
      </c>
      <c r="B10" s="2936" t="s">
        <v>2851</v>
      </c>
      <c r="C10" s="2937">
        <v>6.7000000000000004E-2</v>
      </c>
      <c r="D10" s="2937">
        <v>7.9000000000000001E-2</v>
      </c>
      <c r="E10" s="2937">
        <v>7.9000000000000001E-2</v>
      </c>
      <c r="F10" s="2937">
        <v>0.1</v>
      </c>
      <c r="G10" s="2938">
        <v>9.0999999999999998E-2</v>
      </c>
    </row>
    <row r="11" spans="1:7">
      <c r="A11" s="2939" t="s">
        <v>184</v>
      </c>
      <c r="B11" s="2940" t="s">
        <v>128</v>
      </c>
      <c r="C11" s="2941">
        <v>0.05</v>
      </c>
      <c r="D11" s="2941">
        <v>5.2999999999999999E-2</v>
      </c>
      <c r="E11" s="2941">
        <v>6.3E-2</v>
      </c>
      <c r="F11" s="2941">
        <v>0.1</v>
      </c>
      <c r="G11" s="2942">
        <v>7.1999999999999995E-2</v>
      </c>
    </row>
    <row r="12" spans="1:7">
      <c r="A12" s="2939" t="s">
        <v>184</v>
      </c>
      <c r="B12" s="2940" t="s">
        <v>111</v>
      </c>
      <c r="C12" s="2941">
        <v>5.2999999999999999E-2</v>
      </c>
      <c r="D12" s="2941">
        <v>0.09</v>
      </c>
      <c r="E12" s="2941">
        <v>7.1999999999999995E-2</v>
      </c>
      <c r="F12" s="2941">
        <v>0.1</v>
      </c>
      <c r="G12" s="2942">
        <v>9.7000000000000003E-2</v>
      </c>
    </row>
    <row r="13" spans="1:7">
      <c r="A13" s="2939" t="s">
        <v>184</v>
      </c>
      <c r="B13" s="2940" t="s">
        <v>146</v>
      </c>
      <c r="C13" s="2941">
        <v>9.7000000000000003E-2</v>
      </c>
      <c r="D13" s="2941">
        <v>9.1999999999999998E-2</v>
      </c>
      <c r="E13" s="2941">
        <v>9.5000000000000001E-2</v>
      </c>
      <c r="F13" s="2941">
        <v>0.1</v>
      </c>
      <c r="G13" s="2942">
        <v>9.7000000000000003E-2</v>
      </c>
    </row>
    <row r="14" spans="1:7">
      <c r="A14" s="2939" t="s">
        <v>184</v>
      </c>
      <c r="B14" s="2940" t="s">
        <v>155</v>
      </c>
      <c r="C14" s="2941">
        <v>9.7000000000000003E-2</v>
      </c>
      <c r="D14" s="2941">
        <v>9.7000000000000003E-2</v>
      </c>
      <c r="E14" s="2941">
        <v>9.7000000000000003E-2</v>
      </c>
      <c r="F14" s="2941">
        <v>0.1</v>
      </c>
      <c r="G14" s="2942">
        <v>9.8000000000000004E-2</v>
      </c>
    </row>
    <row r="15" spans="1:7">
      <c r="A15" s="2939" t="s">
        <v>184</v>
      </c>
      <c r="B15" s="2940" t="s">
        <v>162</v>
      </c>
      <c r="C15" s="2941">
        <v>9.8000000000000004E-2</v>
      </c>
      <c r="D15" s="2941">
        <v>9.0999999999999998E-2</v>
      </c>
      <c r="E15" s="2941">
        <v>0.06</v>
      </c>
      <c r="F15" s="2941">
        <v>0.1</v>
      </c>
      <c r="G15" s="2942">
        <v>9.7000000000000003E-2</v>
      </c>
    </row>
    <row r="16" spans="1:7">
      <c r="A16" s="2939" t="s">
        <v>184</v>
      </c>
      <c r="B16" s="2940" t="s">
        <v>168</v>
      </c>
      <c r="C16" s="2941">
        <v>9.8000000000000004E-2</v>
      </c>
      <c r="D16" s="2941">
        <v>9.7000000000000003E-2</v>
      </c>
      <c r="E16" s="2941">
        <v>9.5000000000000001E-2</v>
      </c>
      <c r="F16" s="2941">
        <v>0.1</v>
      </c>
      <c r="G16" s="2942">
        <v>9.9000000000000005E-2</v>
      </c>
    </row>
    <row r="17" spans="1:7">
      <c r="A17" s="2939" t="s">
        <v>184</v>
      </c>
      <c r="B17" s="2940" t="s">
        <v>175</v>
      </c>
      <c r="C17" s="2941">
        <v>8.8999999999999996E-2</v>
      </c>
      <c r="D17" s="2941">
        <v>9.1999999999999998E-2</v>
      </c>
      <c r="E17" s="2941">
        <v>6.0999999999999999E-2</v>
      </c>
      <c r="F17" s="2941">
        <v>0.1</v>
      </c>
      <c r="G17" s="2942">
        <v>9.7000000000000003E-2</v>
      </c>
    </row>
    <row r="18" spans="1:7">
      <c r="A18" s="2939" t="s">
        <v>184</v>
      </c>
      <c r="B18" s="2940" t="s">
        <v>185</v>
      </c>
      <c r="C18" s="2941">
        <v>9.8000000000000004E-2</v>
      </c>
      <c r="D18" s="2941">
        <v>9.8000000000000004E-2</v>
      </c>
      <c r="E18" s="2941">
        <v>9.8000000000000004E-2</v>
      </c>
      <c r="F18" s="2948"/>
      <c r="G18" s="2942">
        <v>9.9000000000000005E-2</v>
      </c>
    </row>
    <row r="19" spans="1:7">
      <c r="A19" s="2939" t="s">
        <v>184</v>
      </c>
      <c r="B19" s="2940" t="s">
        <v>194</v>
      </c>
      <c r="C19" s="2941">
        <v>9.9000000000000005E-2</v>
      </c>
      <c r="D19" s="2941">
        <v>7.3999999999999996E-2</v>
      </c>
      <c r="E19" s="2941">
        <v>8.1000000000000003E-2</v>
      </c>
      <c r="F19" s="2948"/>
      <c r="G19" s="2942">
        <v>9.2999999999999999E-2</v>
      </c>
    </row>
    <row r="20" spans="1:7">
      <c r="A20" s="2939" t="s">
        <v>184</v>
      </c>
      <c r="B20" s="2940" t="s">
        <v>201</v>
      </c>
      <c r="C20" s="2941">
        <v>0.1</v>
      </c>
      <c r="D20" s="2941">
        <v>8.8999999999999996E-2</v>
      </c>
      <c r="E20" s="2941">
        <v>8.8999999999999996E-2</v>
      </c>
      <c r="F20" s="2948"/>
      <c r="G20" s="2942">
        <v>9.5000000000000001E-2</v>
      </c>
    </row>
    <row r="21" spans="1:7">
      <c r="A21" s="2939" t="s">
        <v>184</v>
      </c>
      <c r="B21" s="2940" t="s">
        <v>208</v>
      </c>
      <c r="C21" s="2941">
        <v>0.1</v>
      </c>
      <c r="D21" s="2941">
        <v>9.0999999999999998E-2</v>
      </c>
      <c r="E21" s="2941">
        <v>8.2000000000000003E-2</v>
      </c>
      <c r="F21" s="2948"/>
      <c r="G21" s="2942">
        <v>9.7000000000000003E-2</v>
      </c>
    </row>
    <row r="22" spans="1:7">
      <c r="A22" s="2939" t="s">
        <v>184</v>
      </c>
      <c r="B22" s="2940" t="s">
        <v>2901</v>
      </c>
      <c r="C22" s="2941">
        <v>9.5000000000000001E-2</v>
      </c>
      <c r="D22" s="2941">
        <v>9.9000000000000005E-2</v>
      </c>
      <c r="E22" s="2941">
        <v>9.8000000000000004E-2</v>
      </c>
      <c r="F22" s="2948"/>
      <c r="G22" s="2942">
        <v>0.1</v>
      </c>
    </row>
    <row r="23" spans="1:7">
      <c r="A23" s="2939" t="s">
        <v>184</v>
      </c>
      <c r="B23" s="2940" t="s">
        <v>222</v>
      </c>
      <c r="C23" s="2941">
        <v>9.9000000000000005E-2</v>
      </c>
      <c r="D23" s="2941">
        <v>0.1</v>
      </c>
      <c r="E23" s="2941">
        <v>0.1</v>
      </c>
      <c r="F23" s="2948"/>
      <c r="G23" s="2942">
        <v>0.1</v>
      </c>
    </row>
    <row r="24" spans="1:7">
      <c r="A24" s="2939" t="s">
        <v>184</v>
      </c>
      <c r="B24" s="2940" t="s">
        <v>230</v>
      </c>
      <c r="C24" s="2941">
        <v>9.5000000000000001E-2</v>
      </c>
      <c r="D24" s="2941">
        <v>0.1</v>
      </c>
      <c r="E24" s="2941">
        <v>9.8000000000000004E-2</v>
      </c>
      <c r="F24" s="2948"/>
      <c r="G24" s="2942">
        <v>0.1</v>
      </c>
    </row>
    <row r="25" spans="1:7">
      <c r="A25" s="2939" t="s">
        <v>184</v>
      </c>
      <c r="B25" s="2940" t="s">
        <v>235</v>
      </c>
      <c r="C25" s="2941">
        <v>0.05</v>
      </c>
      <c r="D25" s="2941">
        <v>9.6000000000000002E-2</v>
      </c>
      <c r="E25" s="2941">
        <v>9.6000000000000002E-2</v>
      </c>
      <c r="F25" s="2948"/>
      <c r="G25" s="2942">
        <v>9.6000000000000002E-2</v>
      </c>
    </row>
    <row r="26" spans="1:7">
      <c r="A26" s="2939" t="s">
        <v>184</v>
      </c>
      <c r="B26" s="2940" t="s">
        <v>244</v>
      </c>
      <c r="C26" s="2941">
        <v>6.3E-2</v>
      </c>
      <c r="D26" s="2941">
        <v>9.9000000000000005E-2</v>
      </c>
      <c r="E26" s="2941">
        <v>9.8000000000000004E-2</v>
      </c>
      <c r="F26" s="2948"/>
      <c r="G26" s="2942">
        <v>0.1</v>
      </c>
    </row>
    <row r="27" spans="1:7">
      <c r="A27" s="2939" t="s">
        <v>184</v>
      </c>
      <c r="B27" s="2940" t="s">
        <v>251</v>
      </c>
      <c r="C27" s="2941">
        <v>5.1999999999999998E-2</v>
      </c>
      <c r="D27" s="2941">
        <v>9.5000000000000001E-2</v>
      </c>
      <c r="E27" s="2941">
        <v>6.4000000000000001E-2</v>
      </c>
      <c r="F27" s="2948"/>
      <c r="G27" s="2942">
        <v>9.7000000000000003E-2</v>
      </c>
    </row>
    <row r="28" spans="1:7">
      <c r="A28" s="2939" t="s">
        <v>184</v>
      </c>
      <c r="B28" s="2940" t="s">
        <v>259</v>
      </c>
      <c r="C28" s="2948"/>
      <c r="D28" s="2941">
        <v>6.3E-2</v>
      </c>
      <c r="E28" s="2941">
        <v>5.1999999999999998E-2</v>
      </c>
      <c r="F28" s="2948"/>
      <c r="G28" s="2942">
        <v>6.3E-2</v>
      </c>
    </row>
    <row r="29" spans="1:7" ht="14.25" thickBot="1">
      <c r="A29" s="2943" t="s">
        <v>184</v>
      </c>
      <c r="B29" s="2944" t="s">
        <v>2919</v>
      </c>
      <c r="C29" s="2949"/>
      <c r="D29" s="2945">
        <v>5.1999999999999998E-2</v>
      </c>
      <c r="E29" s="2945">
        <v>7.0000000000000007E-2</v>
      </c>
      <c r="F29" s="2949"/>
      <c r="G29" s="2947">
        <v>7.0999999999999994E-2</v>
      </c>
    </row>
    <row r="30" spans="1:7">
      <c r="A30" s="2950" t="s">
        <v>296</v>
      </c>
      <c r="B30" s="2936" t="s">
        <v>2852</v>
      </c>
      <c r="C30" s="2937">
        <v>6.6000000000000003E-2</v>
      </c>
      <c r="D30" s="2937">
        <v>6.6000000000000003E-2</v>
      </c>
      <c r="E30" s="2937">
        <v>5.7000000000000002E-2</v>
      </c>
      <c r="F30" s="2937">
        <v>0.1</v>
      </c>
      <c r="G30" s="2938">
        <v>6.8000000000000005E-2</v>
      </c>
    </row>
    <row r="31" spans="1:7">
      <c r="A31" s="2951" t="s">
        <v>296</v>
      </c>
      <c r="B31" s="2940" t="s">
        <v>129</v>
      </c>
      <c r="C31" s="2941">
        <v>5.5E-2</v>
      </c>
      <c r="D31" s="2941">
        <v>8.2000000000000003E-2</v>
      </c>
      <c r="E31" s="2941">
        <v>6.4000000000000001E-2</v>
      </c>
      <c r="F31" s="2941">
        <v>0.1</v>
      </c>
      <c r="G31" s="2942">
        <v>9.5000000000000001E-2</v>
      </c>
    </row>
    <row r="32" spans="1:7">
      <c r="A32" s="2951" t="s">
        <v>296</v>
      </c>
      <c r="B32" s="2940" t="s">
        <v>138</v>
      </c>
      <c r="C32" s="2941">
        <v>8.2000000000000003E-2</v>
      </c>
      <c r="D32" s="2941">
        <v>8.6999999999999994E-2</v>
      </c>
      <c r="E32" s="2941">
        <v>9.5000000000000001E-2</v>
      </c>
      <c r="F32" s="2941">
        <v>0.1</v>
      </c>
      <c r="G32" s="2942">
        <v>9.6000000000000002E-2</v>
      </c>
    </row>
    <row r="33" spans="1:7">
      <c r="A33" s="2951" t="s">
        <v>296</v>
      </c>
      <c r="B33" s="2940" t="s">
        <v>147</v>
      </c>
      <c r="C33" s="2941">
        <v>9.9000000000000005E-2</v>
      </c>
      <c r="D33" s="2941">
        <v>9.1999999999999998E-2</v>
      </c>
      <c r="E33" s="2941">
        <v>8.6999999999999994E-2</v>
      </c>
      <c r="F33" s="2941">
        <v>0.1</v>
      </c>
      <c r="G33" s="2942">
        <v>9.7000000000000003E-2</v>
      </c>
    </row>
    <row r="34" spans="1:7">
      <c r="A34" s="2951" t="s">
        <v>296</v>
      </c>
      <c r="B34" s="2940" t="s">
        <v>156</v>
      </c>
      <c r="C34" s="2941">
        <v>8.4000000000000005E-2</v>
      </c>
      <c r="D34" s="2941">
        <v>9.7000000000000003E-2</v>
      </c>
      <c r="E34" s="2941">
        <v>7.0999999999999994E-2</v>
      </c>
      <c r="F34" s="2941">
        <v>0.1</v>
      </c>
      <c r="G34" s="2942">
        <v>9.8000000000000004E-2</v>
      </c>
    </row>
    <row r="35" spans="1:7">
      <c r="A35" s="2951" t="s">
        <v>296</v>
      </c>
      <c r="B35" s="2940" t="s">
        <v>163</v>
      </c>
      <c r="C35" s="2941">
        <v>8.3000000000000004E-2</v>
      </c>
      <c r="D35" s="2941">
        <v>9.7000000000000003E-2</v>
      </c>
      <c r="E35" s="2941">
        <v>6.0999999999999999E-2</v>
      </c>
      <c r="F35" s="2941">
        <v>0.1</v>
      </c>
      <c r="G35" s="2942">
        <v>9.9000000000000005E-2</v>
      </c>
    </row>
    <row r="36" spans="1:7">
      <c r="A36" s="2951" t="s">
        <v>296</v>
      </c>
      <c r="B36" s="2940" t="s">
        <v>169</v>
      </c>
      <c r="C36" s="2941">
        <v>9.7000000000000003E-2</v>
      </c>
      <c r="D36" s="2941">
        <v>9.7000000000000003E-2</v>
      </c>
      <c r="E36" s="2941">
        <v>7.8E-2</v>
      </c>
      <c r="F36" s="2941">
        <v>0.1</v>
      </c>
      <c r="G36" s="2942">
        <v>9.9000000000000005E-2</v>
      </c>
    </row>
    <row r="37" spans="1:7">
      <c r="A37" s="2951" t="s">
        <v>296</v>
      </c>
      <c r="B37" s="2940" t="s">
        <v>176</v>
      </c>
      <c r="C37" s="2941">
        <v>9.7000000000000003E-2</v>
      </c>
      <c r="D37" s="2941">
        <v>9.5000000000000001E-2</v>
      </c>
      <c r="E37" s="2941">
        <v>7.8E-2</v>
      </c>
      <c r="F37" s="2941">
        <v>0.1</v>
      </c>
      <c r="G37" s="2942">
        <v>9.7000000000000003E-2</v>
      </c>
    </row>
    <row r="38" spans="1:7">
      <c r="A38" s="2951" t="s">
        <v>296</v>
      </c>
      <c r="B38" s="2940" t="s">
        <v>186</v>
      </c>
      <c r="C38" s="2941">
        <v>9.7000000000000003E-2</v>
      </c>
      <c r="D38" s="2941">
        <v>7.6999999999999999E-2</v>
      </c>
      <c r="E38" s="2941">
        <v>7.0000000000000007E-2</v>
      </c>
      <c r="F38" s="2941">
        <v>0.1</v>
      </c>
      <c r="G38" s="2942">
        <v>7.6999999999999999E-2</v>
      </c>
    </row>
    <row r="39" spans="1:7">
      <c r="A39" s="2951" t="s">
        <v>296</v>
      </c>
      <c r="B39" s="2940" t="s">
        <v>195</v>
      </c>
      <c r="C39" s="2941">
        <v>9.5000000000000001E-2</v>
      </c>
      <c r="D39" s="2941">
        <v>7.6999999999999999E-2</v>
      </c>
      <c r="E39" s="2941">
        <v>6.6000000000000003E-2</v>
      </c>
      <c r="F39" s="2941">
        <v>0.1</v>
      </c>
      <c r="G39" s="2942">
        <v>8.5999999999999993E-2</v>
      </c>
    </row>
    <row r="40" spans="1:7">
      <c r="A40" s="2951" t="s">
        <v>296</v>
      </c>
      <c r="B40" s="2940" t="s">
        <v>202</v>
      </c>
      <c r="C40" s="2941">
        <v>7.6999999999999999E-2</v>
      </c>
      <c r="D40" s="2941">
        <v>7.8E-2</v>
      </c>
      <c r="E40" s="2941">
        <v>8.2000000000000003E-2</v>
      </c>
      <c r="F40" s="2952"/>
      <c r="G40" s="2942">
        <v>7.8E-2</v>
      </c>
    </row>
    <row r="41" spans="1:7">
      <c r="A41" s="2951" t="s">
        <v>296</v>
      </c>
      <c r="B41" s="2940" t="s">
        <v>209</v>
      </c>
      <c r="C41" s="2941">
        <v>7.8E-2</v>
      </c>
      <c r="D41" s="2941">
        <v>7.8E-2</v>
      </c>
      <c r="E41" s="2941">
        <v>8.2000000000000003E-2</v>
      </c>
      <c r="F41" s="2952"/>
      <c r="G41" s="2942">
        <v>8.5999999999999993E-2</v>
      </c>
    </row>
    <row r="42" spans="1:7">
      <c r="A42" s="2951" t="s">
        <v>296</v>
      </c>
      <c r="B42" s="2940" t="s">
        <v>215</v>
      </c>
      <c r="C42" s="2941">
        <v>7.8E-2</v>
      </c>
      <c r="D42" s="2941">
        <v>9.6000000000000002E-2</v>
      </c>
      <c r="E42" s="2941">
        <v>7.1999999999999995E-2</v>
      </c>
      <c r="F42" s="2952"/>
      <c r="G42" s="2942">
        <v>9.8000000000000004E-2</v>
      </c>
    </row>
    <row r="43" spans="1:7">
      <c r="A43" s="2951" t="s">
        <v>2838</v>
      </c>
      <c r="B43" s="2940" t="s">
        <v>223</v>
      </c>
      <c r="C43" s="2941">
        <v>7.8E-2</v>
      </c>
      <c r="D43" s="2941">
        <v>9.9000000000000005E-2</v>
      </c>
      <c r="E43" s="2941">
        <v>9.6000000000000002E-2</v>
      </c>
      <c r="F43" s="2952"/>
      <c r="G43" s="2942">
        <v>0.1</v>
      </c>
    </row>
    <row r="44" spans="1:7">
      <c r="A44" s="2951" t="s">
        <v>296</v>
      </c>
      <c r="B44" s="2940" t="s">
        <v>231</v>
      </c>
      <c r="C44" s="2941">
        <v>9.6000000000000002E-2</v>
      </c>
      <c r="D44" s="2941">
        <v>0.1</v>
      </c>
      <c r="E44" s="2941">
        <v>9.8000000000000004E-2</v>
      </c>
      <c r="F44" s="2952"/>
      <c r="G44" s="2942">
        <v>0.1</v>
      </c>
    </row>
    <row r="45" spans="1:7">
      <c r="A45" s="2951" t="s">
        <v>296</v>
      </c>
      <c r="B45" s="2940" t="s">
        <v>236</v>
      </c>
      <c r="C45" s="2941">
        <v>9.9000000000000005E-2</v>
      </c>
      <c r="D45" s="2941">
        <v>9.8000000000000004E-2</v>
      </c>
      <c r="E45" s="2941">
        <v>9.5000000000000001E-2</v>
      </c>
      <c r="F45" s="2952"/>
      <c r="G45" s="2942">
        <v>9.8000000000000004E-2</v>
      </c>
    </row>
    <row r="46" spans="1:7">
      <c r="A46" s="2951" t="s">
        <v>296</v>
      </c>
      <c r="B46" s="2940" t="s">
        <v>245</v>
      </c>
      <c r="C46" s="2941">
        <v>0.1</v>
      </c>
      <c r="D46" s="2941">
        <v>9.9000000000000005E-2</v>
      </c>
      <c r="E46" s="2941">
        <v>9.6000000000000002E-2</v>
      </c>
      <c r="F46" s="2952"/>
      <c r="G46" s="2942">
        <v>0.1</v>
      </c>
    </row>
    <row r="47" spans="1:7">
      <c r="A47" s="2951" t="s">
        <v>296</v>
      </c>
      <c r="B47" s="2940" t="s">
        <v>252</v>
      </c>
      <c r="C47" s="2941">
        <v>9.8000000000000004E-2</v>
      </c>
      <c r="D47" s="2941">
        <v>8.6999999999999994E-2</v>
      </c>
      <c r="E47" s="2941">
        <v>5.8999999999999997E-2</v>
      </c>
      <c r="F47" s="2952"/>
      <c r="G47" s="2942">
        <v>9.6000000000000002E-2</v>
      </c>
    </row>
    <row r="48" spans="1:7">
      <c r="A48" s="2951" t="s">
        <v>296</v>
      </c>
      <c r="B48" s="2940" t="s">
        <v>260</v>
      </c>
      <c r="C48" s="2941">
        <v>9.9000000000000005E-2</v>
      </c>
      <c r="D48" s="2941">
        <v>9.8000000000000004E-2</v>
      </c>
      <c r="E48" s="2941">
        <v>9.5000000000000001E-2</v>
      </c>
      <c r="F48" s="2952"/>
      <c r="G48" s="2942">
        <v>9.8000000000000004E-2</v>
      </c>
    </row>
    <row r="49" spans="1:7">
      <c r="A49" s="2951" t="s">
        <v>296</v>
      </c>
      <c r="B49" s="2940" t="s">
        <v>267</v>
      </c>
      <c r="C49" s="2941">
        <v>8.7999999999999995E-2</v>
      </c>
      <c r="D49" s="2941">
        <v>9.9000000000000005E-2</v>
      </c>
      <c r="E49" s="2941">
        <v>7.0000000000000007E-2</v>
      </c>
      <c r="F49" s="2952"/>
      <c r="G49" s="2942">
        <v>0.1</v>
      </c>
    </row>
    <row r="50" spans="1:7">
      <c r="A50" s="2951" t="s">
        <v>296</v>
      </c>
      <c r="B50" s="2940" t="s">
        <v>2922</v>
      </c>
      <c r="C50" s="2941">
        <v>9.8000000000000004E-2</v>
      </c>
      <c r="D50" s="2941">
        <v>7.2999999999999995E-2</v>
      </c>
      <c r="E50" s="2941">
        <v>7.0999999999999994E-2</v>
      </c>
      <c r="F50" s="2952"/>
      <c r="G50" s="2942">
        <v>7.2999999999999995E-2</v>
      </c>
    </row>
    <row r="51" spans="1:7">
      <c r="A51" s="2951" t="s">
        <v>296</v>
      </c>
      <c r="B51" s="2940" t="s">
        <v>2924</v>
      </c>
      <c r="C51" s="2941">
        <v>9.9000000000000005E-2</v>
      </c>
      <c r="D51" s="2941">
        <v>8.5000000000000006E-2</v>
      </c>
      <c r="E51" s="2941">
        <v>6.3E-2</v>
      </c>
      <c r="F51" s="2952"/>
      <c r="G51" s="2942">
        <v>9.6000000000000002E-2</v>
      </c>
    </row>
    <row r="52" spans="1:7">
      <c r="A52" s="2951" t="s">
        <v>296</v>
      </c>
      <c r="B52" s="2940" t="s">
        <v>2928</v>
      </c>
      <c r="C52" s="2941">
        <v>7.3999999999999996E-2</v>
      </c>
      <c r="D52" s="2941">
        <v>9.6000000000000002E-2</v>
      </c>
      <c r="E52" s="2941">
        <v>0.05</v>
      </c>
      <c r="F52" s="2952"/>
      <c r="G52" s="2942">
        <v>9.8000000000000004E-2</v>
      </c>
    </row>
    <row r="53" spans="1:7">
      <c r="A53" s="2951" t="s">
        <v>296</v>
      </c>
      <c r="B53" s="2940" t="s">
        <v>2933</v>
      </c>
      <c r="C53" s="2941">
        <v>8.5999999999999993E-2</v>
      </c>
      <c r="D53" s="2952"/>
      <c r="E53" s="2941">
        <v>9.1999999999999998E-2</v>
      </c>
      <c r="F53" s="2952"/>
      <c r="G53" s="2953"/>
    </row>
    <row r="54" spans="1:7" ht="14.25" thickBot="1">
      <c r="A54" s="2954" t="s">
        <v>296</v>
      </c>
      <c r="B54" s="2944" t="s">
        <v>2936</v>
      </c>
      <c r="C54" s="2945">
        <v>9.6000000000000002E-2</v>
      </c>
      <c r="D54" s="2946"/>
      <c r="E54" s="2955"/>
      <c r="F54" s="2946"/>
      <c r="G54" s="2956"/>
    </row>
    <row r="55" spans="1:7">
      <c r="A55" s="2950" t="s">
        <v>110</v>
      </c>
      <c r="B55" s="2936" t="s">
        <v>2853</v>
      </c>
      <c r="C55" s="2937">
        <v>9.6000000000000002E-2</v>
      </c>
      <c r="D55" s="2937">
        <v>8.4000000000000005E-2</v>
      </c>
      <c r="E55" s="2937">
        <v>9.1999999999999998E-2</v>
      </c>
      <c r="F55" s="2937">
        <v>0.1</v>
      </c>
      <c r="G55" s="2938">
        <v>9.5000000000000001E-2</v>
      </c>
    </row>
    <row r="56" spans="1:7">
      <c r="A56" s="2951" t="s">
        <v>110</v>
      </c>
      <c r="B56" s="2940" t="s">
        <v>130</v>
      </c>
      <c r="C56" s="2941">
        <v>8.4000000000000005E-2</v>
      </c>
      <c r="D56" s="2941">
        <v>9.1999999999999998E-2</v>
      </c>
      <c r="E56" s="2941">
        <v>9.5000000000000001E-2</v>
      </c>
      <c r="F56" s="2941">
        <v>9.1999999999999998E-2</v>
      </c>
      <c r="G56" s="2942">
        <v>9.6000000000000002E-2</v>
      </c>
    </row>
    <row r="57" spans="1:7">
      <c r="A57" s="2951" t="s">
        <v>110</v>
      </c>
      <c r="B57" s="2940" t="s">
        <v>139</v>
      </c>
      <c r="C57" s="2941">
        <v>9.9000000000000005E-2</v>
      </c>
      <c r="D57" s="2941">
        <v>9.6000000000000002E-2</v>
      </c>
      <c r="E57" s="2941">
        <v>9.1999999999999998E-2</v>
      </c>
      <c r="F57" s="2941">
        <v>0.1</v>
      </c>
      <c r="G57" s="2942">
        <v>9.8000000000000004E-2</v>
      </c>
    </row>
    <row r="58" spans="1:7">
      <c r="A58" s="2951" t="s">
        <v>110</v>
      </c>
      <c r="B58" s="2940" t="s">
        <v>148</v>
      </c>
      <c r="C58" s="2941">
        <v>9.8000000000000004E-2</v>
      </c>
      <c r="D58" s="2941">
        <v>9.5000000000000001E-2</v>
      </c>
      <c r="E58" s="2941">
        <v>5.7000000000000002E-2</v>
      </c>
      <c r="F58" s="2941">
        <v>0.1</v>
      </c>
      <c r="G58" s="2942">
        <v>9.6000000000000002E-2</v>
      </c>
    </row>
    <row r="59" spans="1:7">
      <c r="A59" s="2951" t="s">
        <v>110</v>
      </c>
      <c r="B59" s="2940" t="s">
        <v>157</v>
      </c>
      <c r="C59" s="2941">
        <v>9.5000000000000001E-2</v>
      </c>
      <c r="D59" s="2941">
        <v>0.1</v>
      </c>
      <c r="E59" s="2941">
        <v>7.4999999999999997E-2</v>
      </c>
      <c r="F59" s="2941">
        <v>0.1</v>
      </c>
      <c r="G59" s="2942">
        <v>0.1</v>
      </c>
    </row>
    <row r="60" spans="1:7">
      <c r="A60" s="2951" t="s">
        <v>110</v>
      </c>
      <c r="B60" s="2940" t="s">
        <v>164</v>
      </c>
      <c r="C60" s="2941">
        <v>0.1</v>
      </c>
      <c r="D60" s="2941">
        <v>9.7000000000000003E-2</v>
      </c>
      <c r="E60" s="2941">
        <v>0.1</v>
      </c>
      <c r="F60" s="2941">
        <v>0.1</v>
      </c>
      <c r="G60" s="2942">
        <v>9.7000000000000003E-2</v>
      </c>
    </row>
    <row r="61" spans="1:7">
      <c r="A61" s="2951" t="s">
        <v>110</v>
      </c>
      <c r="B61" s="2940" t="s">
        <v>170</v>
      </c>
      <c r="C61" s="2941">
        <v>9.7000000000000003E-2</v>
      </c>
      <c r="D61" s="2941">
        <v>0.1</v>
      </c>
      <c r="E61" s="2941">
        <v>9.2999999999999999E-2</v>
      </c>
      <c r="F61" s="2941">
        <v>0.1</v>
      </c>
      <c r="G61" s="2942">
        <v>0.1</v>
      </c>
    </row>
    <row r="62" spans="1:7">
      <c r="A62" s="2951" t="s">
        <v>110</v>
      </c>
      <c r="B62" s="2940" t="s">
        <v>177</v>
      </c>
      <c r="C62" s="2941">
        <v>0.1</v>
      </c>
      <c r="D62" s="2941">
        <v>9.7000000000000003E-2</v>
      </c>
      <c r="E62" s="2941">
        <v>8.8999999999999996E-2</v>
      </c>
      <c r="F62" s="2941">
        <v>0.1</v>
      </c>
      <c r="G62" s="2942">
        <v>9.8000000000000004E-2</v>
      </c>
    </row>
    <row r="63" spans="1:7">
      <c r="A63" s="2951" t="s">
        <v>110</v>
      </c>
      <c r="B63" s="2940" t="s">
        <v>187</v>
      </c>
      <c r="C63" s="2941">
        <v>9.7000000000000003E-2</v>
      </c>
      <c r="D63" s="2941">
        <v>9.7000000000000003E-2</v>
      </c>
      <c r="E63" s="2941">
        <v>9.9000000000000005E-2</v>
      </c>
      <c r="F63" s="2941">
        <v>0.1</v>
      </c>
      <c r="G63" s="2942">
        <v>9.7000000000000003E-2</v>
      </c>
    </row>
    <row r="64" spans="1:7">
      <c r="A64" s="2951" t="s">
        <v>110</v>
      </c>
      <c r="B64" s="2940" t="s">
        <v>196</v>
      </c>
      <c r="C64" s="2941">
        <v>9.7000000000000003E-2</v>
      </c>
      <c r="D64" s="2941">
        <v>7.3999999999999996E-2</v>
      </c>
      <c r="E64" s="2941">
        <v>7.8E-2</v>
      </c>
      <c r="F64" s="2941">
        <v>0.1</v>
      </c>
      <c r="G64" s="2942">
        <v>8.8999999999999996E-2</v>
      </c>
    </row>
    <row r="65" spans="1:7">
      <c r="A65" s="2951" t="s">
        <v>110</v>
      </c>
      <c r="B65" s="2940" t="s">
        <v>203</v>
      </c>
      <c r="C65" s="2941">
        <v>7.2999999999999995E-2</v>
      </c>
      <c r="D65" s="2941">
        <v>9.8000000000000004E-2</v>
      </c>
      <c r="E65" s="2941">
        <v>9.5000000000000001E-2</v>
      </c>
      <c r="F65" s="2941">
        <v>0.1</v>
      </c>
      <c r="G65" s="2942">
        <v>9.9000000000000005E-2</v>
      </c>
    </row>
    <row r="66" spans="1:7">
      <c r="A66" s="2951" t="s">
        <v>110</v>
      </c>
      <c r="B66" s="2940" t="s">
        <v>210</v>
      </c>
      <c r="C66" s="2941">
        <v>9.8000000000000004E-2</v>
      </c>
      <c r="D66" s="2941">
        <v>9.5000000000000001E-2</v>
      </c>
      <c r="E66" s="2941">
        <v>0.05</v>
      </c>
      <c r="F66" s="2941">
        <v>0.1</v>
      </c>
      <c r="G66" s="2942">
        <v>9.7000000000000003E-2</v>
      </c>
    </row>
    <row r="67" spans="1:7">
      <c r="A67" s="2951" t="s">
        <v>110</v>
      </c>
      <c r="B67" s="2940" t="s">
        <v>216</v>
      </c>
      <c r="C67" s="2941">
        <v>9.5000000000000001E-2</v>
      </c>
      <c r="D67" s="2941">
        <v>9.7000000000000003E-2</v>
      </c>
      <c r="E67" s="2941">
        <v>9.7000000000000003E-2</v>
      </c>
      <c r="F67" s="2941">
        <v>0.1</v>
      </c>
      <c r="G67" s="2942">
        <v>9.9000000000000005E-2</v>
      </c>
    </row>
    <row r="68" spans="1:7">
      <c r="A68" s="2951" t="s">
        <v>110</v>
      </c>
      <c r="B68" s="2940" t="s">
        <v>224</v>
      </c>
      <c r="C68" s="2941">
        <v>9.7000000000000003E-2</v>
      </c>
      <c r="D68" s="2941">
        <v>6.8000000000000005E-2</v>
      </c>
      <c r="E68" s="2941">
        <v>6.6000000000000003E-2</v>
      </c>
      <c r="F68" s="2941">
        <v>0.1</v>
      </c>
      <c r="G68" s="2942">
        <v>8.4000000000000005E-2</v>
      </c>
    </row>
    <row r="69" spans="1:7">
      <c r="A69" s="2951" t="s">
        <v>110</v>
      </c>
      <c r="B69" s="2940" t="s">
        <v>232</v>
      </c>
      <c r="C69" s="2941">
        <v>6.8000000000000005E-2</v>
      </c>
      <c r="D69" s="2941">
        <v>9.8000000000000004E-2</v>
      </c>
      <c r="E69" s="2941">
        <v>9.5000000000000001E-2</v>
      </c>
      <c r="F69" s="2941">
        <v>0.1</v>
      </c>
      <c r="G69" s="2942">
        <v>0.1</v>
      </c>
    </row>
    <row r="70" spans="1:7">
      <c r="A70" s="2951" t="s">
        <v>110</v>
      </c>
      <c r="B70" s="2940" t="s">
        <v>237</v>
      </c>
      <c r="C70" s="2941">
        <v>9.8000000000000004E-2</v>
      </c>
      <c r="D70" s="2941">
        <v>8.8999999999999996E-2</v>
      </c>
      <c r="E70" s="2941">
        <v>5.8999999999999997E-2</v>
      </c>
      <c r="F70" s="2941">
        <v>0.1</v>
      </c>
      <c r="G70" s="2942">
        <v>9.6000000000000002E-2</v>
      </c>
    </row>
    <row r="71" spans="1:7">
      <c r="A71" s="2951" t="s">
        <v>110</v>
      </c>
      <c r="B71" s="2940" t="s">
        <v>246</v>
      </c>
      <c r="C71" s="2941">
        <v>8.8999999999999996E-2</v>
      </c>
      <c r="D71" s="2941">
        <v>9.9000000000000005E-2</v>
      </c>
      <c r="E71" s="2941">
        <v>9.6000000000000002E-2</v>
      </c>
      <c r="F71" s="2941">
        <v>0.1</v>
      </c>
      <c r="G71" s="2942">
        <v>0.1</v>
      </c>
    </row>
    <row r="72" spans="1:7">
      <c r="A72" s="2951" t="s">
        <v>110</v>
      </c>
      <c r="B72" s="2940" t="s">
        <v>253</v>
      </c>
      <c r="C72" s="2941">
        <v>9.9000000000000005E-2</v>
      </c>
      <c r="D72" s="2941">
        <v>0.1</v>
      </c>
      <c r="E72" s="2941">
        <v>7.0000000000000007E-2</v>
      </c>
      <c r="F72" s="2952"/>
      <c r="G72" s="2942">
        <v>0.1</v>
      </c>
    </row>
    <row r="73" spans="1:7">
      <c r="A73" s="2951" t="s">
        <v>110</v>
      </c>
      <c r="B73" s="2940" t="s">
        <v>261</v>
      </c>
      <c r="C73" s="2941">
        <v>0.1</v>
      </c>
      <c r="D73" s="2941">
        <v>0.1</v>
      </c>
      <c r="E73" s="2941">
        <v>9.6000000000000002E-2</v>
      </c>
      <c r="F73" s="2952"/>
      <c r="G73" s="2942">
        <v>0.1</v>
      </c>
    </row>
    <row r="74" spans="1:7">
      <c r="A74" s="2951" t="s">
        <v>110</v>
      </c>
      <c r="B74" s="2940" t="s">
        <v>268</v>
      </c>
      <c r="C74" s="2941">
        <v>0.1</v>
      </c>
      <c r="D74" s="2941">
        <v>0.1</v>
      </c>
      <c r="E74" s="2941">
        <v>9.8000000000000004E-2</v>
      </c>
      <c r="F74" s="2952"/>
      <c r="G74" s="2942">
        <v>0.1</v>
      </c>
    </row>
    <row r="75" spans="1:7">
      <c r="A75" s="2951" t="s">
        <v>110</v>
      </c>
      <c r="B75" s="2940" t="s">
        <v>272</v>
      </c>
      <c r="C75" s="2941">
        <v>0.1</v>
      </c>
      <c r="D75" s="2941">
        <v>9.9000000000000005E-2</v>
      </c>
      <c r="E75" s="2941">
        <v>9.8000000000000004E-2</v>
      </c>
      <c r="F75" s="2952"/>
      <c r="G75" s="2942">
        <v>0.1</v>
      </c>
    </row>
    <row r="76" spans="1:7">
      <c r="A76" s="2951" t="s">
        <v>110</v>
      </c>
      <c r="B76" s="2940" t="s">
        <v>278</v>
      </c>
      <c r="C76" s="2941">
        <v>9.9000000000000005E-2</v>
      </c>
      <c r="D76" s="2941">
        <v>0.1</v>
      </c>
      <c r="E76" s="2941">
        <v>9.7000000000000003E-2</v>
      </c>
      <c r="F76" s="2952"/>
      <c r="G76" s="2942">
        <v>0.1</v>
      </c>
    </row>
    <row r="77" spans="1:7">
      <c r="A77" s="2951" t="s">
        <v>110</v>
      </c>
      <c r="B77" s="2940" t="s">
        <v>281</v>
      </c>
      <c r="C77" s="2941">
        <v>0.1</v>
      </c>
      <c r="D77" s="2941">
        <v>0.1</v>
      </c>
      <c r="E77" s="2941">
        <v>9.6000000000000002E-2</v>
      </c>
      <c r="F77" s="2952"/>
      <c r="G77" s="2942">
        <v>0.1</v>
      </c>
    </row>
    <row r="78" spans="1:7">
      <c r="A78" s="2951" t="s">
        <v>110</v>
      </c>
      <c r="B78" s="2940" t="s">
        <v>2934</v>
      </c>
      <c r="C78" s="2941">
        <v>0.1</v>
      </c>
      <c r="D78" s="2941">
        <v>8.5000000000000006E-2</v>
      </c>
      <c r="E78" s="2941">
        <v>9.6000000000000002E-2</v>
      </c>
      <c r="F78" s="2952"/>
      <c r="G78" s="2942">
        <v>9.6000000000000002E-2</v>
      </c>
    </row>
    <row r="79" spans="1:7">
      <c r="A79" s="2951" t="s">
        <v>110</v>
      </c>
      <c r="B79" s="2940" t="s">
        <v>2937</v>
      </c>
      <c r="C79" s="2941">
        <v>0.05</v>
      </c>
      <c r="D79" s="2941">
        <v>9.6000000000000002E-2</v>
      </c>
      <c r="E79" s="2941">
        <v>9.5000000000000001E-2</v>
      </c>
      <c r="F79" s="2952"/>
      <c r="G79" s="2942">
        <v>9.8000000000000004E-2</v>
      </c>
    </row>
    <row r="80" spans="1:7">
      <c r="A80" s="2951" t="s">
        <v>110</v>
      </c>
      <c r="B80" s="2940" t="s">
        <v>2941</v>
      </c>
      <c r="C80" s="2941">
        <v>8.5999999999999993E-2</v>
      </c>
      <c r="D80" s="2957"/>
      <c r="E80" s="2941">
        <v>0.1</v>
      </c>
      <c r="F80" s="2952"/>
      <c r="G80" s="2953"/>
    </row>
    <row r="81" spans="1:7">
      <c r="A81" s="2951" t="s">
        <v>110</v>
      </c>
      <c r="B81" s="2940" t="s">
        <v>2946</v>
      </c>
      <c r="C81" s="2941">
        <v>9.6000000000000002E-2</v>
      </c>
      <c r="D81" s="2952"/>
      <c r="E81" s="2941">
        <v>9.8000000000000004E-2</v>
      </c>
      <c r="F81" s="2952"/>
      <c r="G81" s="2953"/>
    </row>
    <row r="82" spans="1:7">
      <c r="A82" s="2951" t="s">
        <v>110</v>
      </c>
      <c r="B82" s="2940" t="s">
        <v>2953</v>
      </c>
      <c r="C82" s="2957"/>
      <c r="D82" s="2952"/>
      <c r="E82" s="2941">
        <v>7.6999999999999999E-2</v>
      </c>
      <c r="F82" s="2952"/>
      <c r="G82" s="2953"/>
    </row>
    <row r="83" spans="1:7">
      <c r="A83" s="2951" t="s">
        <v>110</v>
      </c>
      <c r="B83" s="2940" t="s">
        <v>2959</v>
      </c>
      <c r="C83" s="2952"/>
      <c r="D83" s="2952"/>
      <c r="E83" s="2952"/>
      <c r="F83" s="2941">
        <v>0.1</v>
      </c>
      <c r="G83" s="2958"/>
    </row>
    <row r="84" spans="1:7">
      <c r="A84" s="2951" t="s">
        <v>110</v>
      </c>
      <c r="B84" s="2940" t="s">
        <v>2966</v>
      </c>
      <c r="C84" s="2952"/>
      <c r="D84" s="2952"/>
      <c r="E84" s="2952"/>
      <c r="F84" s="2941">
        <v>0.1</v>
      </c>
      <c r="G84" s="2958"/>
    </row>
    <row r="85" spans="1:7">
      <c r="A85" s="2951" t="s">
        <v>110</v>
      </c>
      <c r="B85" s="2940" t="s">
        <v>2973</v>
      </c>
      <c r="C85" s="2952"/>
      <c r="D85" s="2952"/>
      <c r="E85" s="2952"/>
      <c r="F85" s="2941">
        <v>0.1</v>
      </c>
      <c r="G85" s="2958"/>
    </row>
    <row r="86" spans="1:7" ht="14.25" thickBot="1">
      <c r="A86" s="2954" t="s">
        <v>110</v>
      </c>
      <c r="B86" s="2944" t="s">
        <v>2978</v>
      </c>
      <c r="C86" s="2945">
        <v>9.8000000000000004E-2</v>
      </c>
      <c r="D86" s="2945">
        <v>9.8000000000000004E-2</v>
      </c>
      <c r="E86" s="2945">
        <v>9.6000000000000002E-2</v>
      </c>
      <c r="F86" s="2955"/>
      <c r="G86" s="2947">
        <v>0.1</v>
      </c>
    </row>
    <row r="87" spans="1:7">
      <c r="A87" s="2950" t="s">
        <v>303</v>
      </c>
      <c r="B87" s="2936" t="s">
        <v>2854</v>
      </c>
      <c r="C87" s="2937">
        <v>0.1</v>
      </c>
      <c r="D87" s="2937">
        <v>0.1</v>
      </c>
      <c r="E87" s="2937">
        <v>9.8000000000000004E-2</v>
      </c>
      <c r="F87" s="2937">
        <v>0.1</v>
      </c>
      <c r="G87" s="2938">
        <v>0.1</v>
      </c>
    </row>
    <row r="88" spans="1:7">
      <c r="A88" s="2951" t="s">
        <v>303</v>
      </c>
      <c r="B88" s="2940" t="s">
        <v>131</v>
      </c>
      <c r="C88" s="2941">
        <v>9.0999999999999998E-2</v>
      </c>
      <c r="D88" s="2941">
        <v>9.1999999999999998E-2</v>
      </c>
      <c r="E88" s="2941">
        <v>0.1</v>
      </c>
      <c r="F88" s="2941">
        <v>0.1</v>
      </c>
      <c r="G88" s="2942">
        <v>9.6000000000000002E-2</v>
      </c>
    </row>
    <row r="89" spans="1:7">
      <c r="A89" s="2951" t="s">
        <v>303</v>
      </c>
      <c r="B89" s="2940" t="s">
        <v>140</v>
      </c>
      <c r="C89" s="2941">
        <v>0.1</v>
      </c>
      <c r="D89" s="2941">
        <v>0.1</v>
      </c>
      <c r="E89" s="2941">
        <v>6.7000000000000004E-2</v>
      </c>
      <c r="F89" s="2941">
        <v>9.2999999999999999E-2</v>
      </c>
      <c r="G89" s="2942">
        <v>0.1</v>
      </c>
    </row>
    <row r="90" spans="1:7">
      <c r="A90" s="2951" t="s">
        <v>303</v>
      </c>
      <c r="B90" s="2940" t="s">
        <v>149</v>
      </c>
      <c r="C90" s="2941">
        <v>9.6000000000000002E-2</v>
      </c>
      <c r="D90" s="2941">
        <v>9.6000000000000002E-2</v>
      </c>
      <c r="E90" s="2941">
        <v>0.1</v>
      </c>
      <c r="F90" s="2941">
        <v>0.1</v>
      </c>
      <c r="G90" s="2942">
        <v>9.8000000000000004E-2</v>
      </c>
    </row>
    <row r="91" spans="1:7">
      <c r="A91" s="2951" t="s">
        <v>303</v>
      </c>
      <c r="B91" s="2940" t="s">
        <v>158</v>
      </c>
      <c r="C91" s="2941">
        <v>7.6999999999999999E-2</v>
      </c>
      <c r="D91" s="2941">
        <v>7.6999999999999999E-2</v>
      </c>
      <c r="E91" s="2941">
        <v>9.6000000000000002E-2</v>
      </c>
      <c r="F91" s="2941">
        <v>0.1</v>
      </c>
      <c r="G91" s="2942">
        <v>7.6999999999999999E-2</v>
      </c>
    </row>
    <row r="92" spans="1:7">
      <c r="A92" s="2951" t="s">
        <v>303</v>
      </c>
      <c r="B92" s="2940" t="s">
        <v>165</v>
      </c>
      <c r="C92" s="2941">
        <v>0.1</v>
      </c>
      <c r="D92" s="2941">
        <v>0.1</v>
      </c>
      <c r="E92" s="2941">
        <v>9.1999999999999998E-2</v>
      </c>
      <c r="F92" s="2941">
        <v>0.1</v>
      </c>
      <c r="G92" s="2942">
        <v>0.1</v>
      </c>
    </row>
    <row r="93" spans="1:7">
      <c r="A93" s="2951" t="s">
        <v>303</v>
      </c>
      <c r="B93" s="2940" t="s">
        <v>171</v>
      </c>
      <c r="C93" s="2941">
        <v>9.8000000000000004E-2</v>
      </c>
      <c r="D93" s="2941">
        <v>9.8000000000000004E-2</v>
      </c>
      <c r="E93" s="2941">
        <v>9.6000000000000002E-2</v>
      </c>
      <c r="F93" s="2941">
        <v>0.1</v>
      </c>
      <c r="G93" s="2942">
        <v>9.9000000000000005E-2</v>
      </c>
    </row>
    <row r="94" spans="1:7">
      <c r="A94" s="2951" t="s">
        <v>303</v>
      </c>
      <c r="B94" s="2940" t="s">
        <v>178</v>
      </c>
      <c r="C94" s="2941">
        <v>8.7999999999999995E-2</v>
      </c>
      <c r="D94" s="2941">
        <v>8.7999999999999995E-2</v>
      </c>
      <c r="E94" s="2941">
        <v>9.6000000000000002E-2</v>
      </c>
      <c r="F94" s="2941">
        <v>0.1</v>
      </c>
      <c r="G94" s="2942">
        <v>8.7999999999999995E-2</v>
      </c>
    </row>
    <row r="95" spans="1:7">
      <c r="A95" s="2951" t="s">
        <v>303</v>
      </c>
      <c r="B95" s="2940" t="s">
        <v>188</v>
      </c>
      <c r="C95" s="2941">
        <v>9.6000000000000002E-2</v>
      </c>
      <c r="D95" s="2941">
        <v>9.6000000000000002E-2</v>
      </c>
      <c r="E95" s="2941">
        <v>0.1</v>
      </c>
      <c r="F95" s="2941">
        <v>0.1</v>
      </c>
      <c r="G95" s="2942">
        <v>9.8000000000000004E-2</v>
      </c>
    </row>
    <row r="96" spans="1:7">
      <c r="A96" s="2951" t="s">
        <v>303</v>
      </c>
      <c r="B96" s="2940" t="s">
        <v>197</v>
      </c>
      <c r="C96" s="2941">
        <v>9.7000000000000003E-2</v>
      </c>
      <c r="D96" s="2941">
        <v>9.7000000000000003E-2</v>
      </c>
      <c r="E96" s="2941">
        <v>0.1</v>
      </c>
      <c r="F96" s="2941">
        <v>0.1</v>
      </c>
      <c r="G96" s="2942">
        <v>9.8000000000000004E-2</v>
      </c>
    </row>
    <row r="97" spans="1:7">
      <c r="A97" s="2951" t="s">
        <v>303</v>
      </c>
      <c r="B97" s="2940" t="s">
        <v>204</v>
      </c>
      <c r="C97" s="2941">
        <v>9.6000000000000002E-2</v>
      </c>
      <c r="D97" s="2941">
        <v>9.6000000000000002E-2</v>
      </c>
      <c r="E97" s="2941">
        <v>9.9000000000000005E-2</v>
      </c>
      <c r="F97" s="2941">
        <v>0.1</v>
      </c>
      <c r="G97" s="2942">
        <v>9.8000000000000004E-2</v>
      </c>
    </row>
    <row r="98" spans="1:7">
      <c r="A98" s="2951" t="s">
        <v>303</v>
      </c>
      <c r="B98" s="2940" t="s">
        <v>211</v>
      </c>
      <c r="C98" s="2941">
        <v>9.8000000000000004E-2</v>
      </c>
      <c r="D98" s="2941">
        <v>9.8000000000000004E-2</v>
      </c>
      <c r="E98" s="2941">
        <v>0.1</v>
      </c>
      <c r="F98" s="2941">
        <v>0.1</v>
      </c>
      <c r="G98" s="2942">
        <v>9.9000000000000005E-2</v>
      </c>
    </row>
    <row r="99" spans="1:7">
      <c r="A99" s="2951" t="s">
        <v>303</v>
      </c>
      <c r="B99" s="2940" t="s">
        <v>217</v>
      </c>
      <c r="C99" s="2941">
        <v>9.6000000000000002E-2</v>
      </c>
      <c r="D99" s="2941">
        <v>9.6000000000000002E-2</v>
      </c>
      <c r="E99" s="2941">
        <v>0.1</v>
      </c>
      <c r="F99" s="2941">
        <v>0.1</v>
      </c>
      <c r="G99" s="2942">
        <v>9.7000000000000003E-2</v>
      </c>
    </row>
    <row r="100" spans="1:7">
      <c r="A100" s="2951" t="s">
        <v>303</v>
      </c>
      <c r="B100" s="2940" t="s">
        <v>225</v>
      </c>
      <c r="C100" s="2941">
        <v>0.1</v>
      </c>
      <c r="D100" s="2941">
        <v>0.1</v>
      </c>
      <c r="E100" s="2941">
        <v>9.7000000000000003E-2</v>
      </c>
      <c r="F100" s="2941">
        <v>9.8000000000000004E-2</v>
      </c>
      <c r="G100" s="2942">
        <v>0.1</v>
      </c>
    </row>
    <row r="101" spans="1:7">
      <c r="A101" s="2951" t="s">
        <v>303</v>
      </c>
      <c r="B101" s="2940" t="s">
        <v>233</v>
      </c>
      <c r="C101" s="2941">
        <v>0.1</v>
      </c>
      <c r="D101" s="2941">
        <v>0.1</v>
      </c>
      <c r="E101" s="2941">
        <v>9.5000000000000001E-2</v>
      </c>
      <c r="F101" s="2941">
        <v>0.1</v>
      </c>
      <c r="G101" s="2942">
        <v>0.1</v>
      </c>
    </row>
    <row r="102" spans="1:7">
      <c r="A102" s="2951" t="s">
        <v>303</v>
      </c>
      <c r="B102" s="2940" t="s">
        <v>238</v>
      </c>
      <c r="C102" s="2941">
        <v>0.1</v>
      </c>
      <c r="D102" s="2941">
        <v>0.1</v>
      </c>
      <c r="E102" s="2941">
        <v>9.9000000000000005E-2</v>
      </c>
      <c r="F102" s="2941">
        <v>9.7000000000000003E-2</v>
      </c>
      <c r="G102" s="2942">
        <v>0.1</v>
      </c>
    </row>
    <row r="103" spans="1:7">
      <c r="A103" s="2951" t="s">
        <v>303</v>
      </c>
      <c r="B103" s="2940" t="s">
        <v>247</v>
      </c>
      <c r="C103" s="2941">
        <v>0.1</v>
      </c>
      <c r="D103" s="2941">
        <v>0.1</v>
      </c>
      <c r="E103" s="2941">
        <v>9.8000000000000004E-2</v>
      </c>
      <c r="F103" s="2941">
        <v>0.1</v>
      </c>
      <c r="G103" s="2942">
        <v>0.1</v>
      </c>
    </row>
    <row r="104" spans="1:7">
      <c r="A104" s="2951" t="s">
        <v>303</v>
      </c>
      <c r="B104" s="2940" t="s">
        <v>254</v>
      </c>
      <c r="C104" s="2941">
        <v>0.1</v>
      </c>
      <c r="D104" s="2941">
        <v>0.1</v>
      </c>
      <c r="E104" s="2941">
        <v>9.8000000000000004E-2</v>
      </c>
      <c r="F104" s="2941">
        <v>0.1</v>
      </c>
      <c r="G104" s="2942">
        <v>0.1</v>
      </c>
    </row>
    <row r="105" spans="1:7">
      <c r="A105" s="2951" t="s">
        <v>303</v>
      </c>
      <c r="B105" s="2940" t="s">
        <v>262</v>
      </c>
      <c r="C105" s="2941">
        <v>9.8000000000000004E-2</v>
      </c>
      <c r="D105" s="2941">
        <v>9.8000000000000004E-2</v>
      </c>
      <c r="E105" s="2941">
        <v>9.8000000000000004E-2</v>
      </c>
      <c r="F105" s="2941">
        <v>0.1</v>
      </c>
      <c r="G105" s="2942">
        <v>9.9000000000000005E-2</v>
      </c>
    </row>
    <row r="106" spans="1:7">
      <c r="A106" s="2951" t="s">
        <v>303</v>
      </c>
      <c r="B106" s="2940" t="s">
        <v>269</v>
      </c>
      <c r="C106" s="2941">
        <v>9.7000000000000003E-2</v>
      </c>
      <c r="D106" s="2941">
        <v>9.7000000000000003E-2</v>
      </c>
      <c r="E106" s="2941">
        <v>9.7000000000000003E-2</v>
      </c>
      <c r="F106" s="2941">
        <v>0.1</v>
      </c>
      <c r="G106" s="2942">
        <v>9.9000000000000005E-2</v>
      </c>
    </row>
    <row r="107" spans="1:7">
      <c r="A107" s="2951" t="s">
        <v>303</v>
      </c>
      <c r="B107" s="2940" t="s">
        <v>273</v>
      </c>
      <c r="C107" s="2941">
        <v>0.1</v>
      </c>
      <c r="D107" s="2941">
        <v>0.1</v>
      </c>
      <c r="E107" s="2941">
        <v>8.5999999999999993E-2</v>
      </c>
      <c r="F107" s="2941">
        <v>0.09</v>
      </c>
      <c r="G107" s="2942">
        <v>0.1</v>
      </c>
    </row>
    <row r="108" spans="1:7">
      <c r="A108" s="2951" t="s">
        <v>303</v>
      </c>
      <c r="B108" s="2940" t="s">
        <v>279</v>
      </c>
      <c r="C108" s="2941">
        <v>0.1</v>
      </c>
      <c r="D108" s="2941">
        <v>0.1</v>
      </c>
      <c r="E108" s="2941">
        <v>9.6000000000000002E-2</v>
      </c>
      <c r="F108" s="2952"/>
      <c r="G108" s="2942">
        <v>0.1</v>
      </c>
    </row>
    <row r="109" spans="1:7">
      <c r="A109" s="2951" t="s">
        <v>303</v>
      </c>
      <c r="B109" s="2940" t="s">
        <v>282</v>
      </c>
      <c r="C109" s="2941">
        <v>0.1</v>
      </c>
      <c r="D109" s="2941">
        <v>0.1</v>
      </c>
      <c r="E109" s="2941">
        <v>0.1</v>
      </c>
      <c r="F109" s="2952"/>
      <c r="G109" s="2942">
        <v>0.1</v>
      </c>
    </row>
    <row r="110" spans="1:7">
      <c r="A110" s="2951" t="s">
        <v>303</v>
      </c>
      <c r="B110" s="2940" t="s">
        <v>284</v>
      </c>
      <c r="C110" s="2941">
        <v>0.1</v>
      </c>
      <c r="D110" s="2941">
        <v>0.1</v>
      </c>
      <c r="E110" s="2941">
        <v>0.1</v>
      </c>
      <c r="F110" s="2952"/>
      <c r="G110" s="2942">
        <v>0.1</v>
      </c>
    </row>
    <row r="111" spans="1:7">
      <c r="A111" s="2951" t="s">
        <v>303</v>
      </c>
      <c r="B111" s="2940" t="s">
        <v>287</v>
      </c>
      <c r="C111" s="2941">
        <v>0.1</v>
      </c>
      <c r="D111" s="2941">
        <v>0.1</v>
      </c>
      <c r="E111" s="2941">
        <v>9.5000000000000001E-2</v>
      </c>
      <c r="F111" s="2952"/>
      <c r="G111" s="2942">
        <v>0.1</v>
      </c>
    </row>
    <row r="112" spans="1:7">
      <c r="A112" s="2951" t="s">
        <v>303</v>
      </c>
      <c r="B112" s="2940" t="s">
        <v>291</v>
      </c>
      <c r="C112" s="2941">
        <v>9.7000000000000003E-2</v>
      </c>
      <c r="D112" s="2941">
        <v>9.7000000000000003E-2</v>
      </c>
      <c r="E112" s="2941">
        <v>0.05</v>
      </c>
      <c r="F112" s="2952"/>
      <c r="G112" s="2942">
        <v>9.8000000000000004E-2</v>
      </c>
    </row>
    <row r="113" spans="1:7">
      <c r="A113" s="2951" t="s">
        <v>303</v>
      </c>
      <c r="B113" s="2940" t="s">
        <v>2947</v>
      </c>
      <c r="C113" s="2941">
        <v>0.1</v>
      </c>
      <c r="D113" s="2941">
        <v>0.1</v>
      </c>
      <c r="E113" s="2952"/>
      <c r="F113" s="2952"/>
      <c r="G113" s="2942">
        <v>0.1</v>
      </c>
    </row>
    <row r="114" spans="1:7">
      <c r="A114" s="2951" t="s">
        <v>303</v>
      </c>
      <c r="B114" s="2940" t="s">
        <v>2954</v>
      </c>
      <c r="C114" s="2941">
        <v>9.7000000000000003E-2</v>
      </c>
      <c r="D114" s="2941">
        <v>9.7000000000000003E-2</v>
      </c>
      <c r="E114" s="2952"/>
      <c r="F114" s="2952"/>
      <c r="G114" s="2942">
        <v>9.9000000000000005E-2</v>
      </c>
    </row>
    <row r="115" spans="1:7">
      <c r="A115" s="2951" t="s">
        <v>303</v>
      </c>
      <c r="B115" s="2940" t="s">
        <v>2960</v>
      </c>
      <c r="C115" s="2941">
        <v>0.1</v>
      </c>
      <c r="D115" s="2941">
        <v>0.1</v>
      </c>
      <c r="E115" s="2952"/>
      <c r="F115" s="2952"/>
      <c r="G115" s="2942">
        <v>0.1</v>
      </c>
    </row>
    <row r="116" spans="1:7">
      <c r="A116" s="2951" t="s">
        <v>303</v>
      </c>
      <c r="B116" s="2940" t="s">
        <v>2967</v>
      </c>
      <c r="C116" s="2941">
        <v>0.1</v>
      </c>
      <c r="D116" s="2941">
        <v>0.1</v>
      </c>
      <c r="E116" s="2952"/>
      <c r="F116" s="2952"/>
      <c r="G116" s="2942">
        <v>0.1</v>
      </c>
    </row>
    <row r="117" spans="1:7">
      <c r="A117" s="2951" t="s">
        <v>303</v>
      </c>
      <c r="B117" s="2940" t="s">
        <v>2974</v>
      </c>
      <c r="C117" s="2941">
        <v>9.7000000000000003E-2</v>
      </c>
      <c r="D117" s="2941">
        <v>9.7000000000000003E-2</v>
      </c>
      <c r="E117" s="2952"/>
      <c r="F117" s="2952"/>
      <c r="G117" s="2942">
        <v>9.7000000000000003E-2</v>
      </c>
    </row>
    <row r="118" spans="1:7">
      <c r="A118" s="2951" t="s">
        <v>303</v>
      </c>
      <c r="B118" s="2940" t="s">
        <v>2979</v>
      </c>
      <c r="C118" s="2941">
        <v>0.1</v>
      </c>
      <c r="D118" s="2941">
        <v>0.1</v>
      </c>
      <c r="E118" s="2952"/>
      <c r="F118" s="2952"/>
      <c r="G118" s="2942">
        <v>0.1</v>
      </c>
    </row>
    <row r="119" spans="1:7">
      <c r="A119" s="2951" t="s">
        <v>303</v>
      </c>
      <c r="B119" s="2940" t="s">
        <v>2983</v>
      </c>
      <c r="C119" s="2941">
        <v>5.0999999999999997E-2</v>
      </c>
      <c r="D119" s="2941">
        <v>5.1999999999999998E-2</v>
      </c>
      <c r="E119" s="2952"/>
      <c r="F119" s="2957"/>
      <c r="G119" s="2942">
        <v>0.06</v>
      </c>
    </row>
    <row r="120" spans="1:7">
      <c r="A120" s="2951" t="s">
        <v>303</v>
      </c>
      <c r="B120" s="2940" t="s">
        <v>2987</v>
      </c>
      <c r="C120" s="2952"/>
      <c r="D120" s="2952"/>
      <c r="E120" s="2952"/>
      <c r="F120" s="2941">
        <v>0.1</v>
      </c>
      <c r="G120" s="2958"/>
    </row>
    <row r="121" spans="1:7">
      <c r="A121" s="2951" t="s">
        <v>303</v>
      </c>
      <c r="B121" s="2940" t="s">
        <v>2992</v>
      </c>
      <c r="C121" s="2952"/>
      <c r="D121" s="2952"/>
      <c r="E121" s="2952"/>
      <c r="F121" s="2941">
        <v>0.1</v>
      </c>
      <c r="G121" s="2958"/>
    </row>
    <row r="122" spans="1:7">
      <c r="A122" s="2951" t="s">
        <v>303</v>
      </c>
      <c r="B122" s="2940" t="s">
        <v>2997</v>
      </c>
      <c r="C122" s="2941">
        <v>0.1</v>
      </c>
      <c r="D122" s="2941">
        <v>0.1</v>
      </c>
      <c r="E122" s="2941">
        <v>9.8000000000000004E-2</v>
      </c>
      <c r="F122" s="2941">
        <v>0.1</v>
      </c>
      <c r="G122" s="2942">
        <v>0.1</v>
      </c>
    </row>
    <row r="123" spans="1:7">
      <c r="A123" s="2951" t="s">
        <v>303</v>
      </c>
      <c r="B123" s="2940" t="s">
        <v>3002</v>
      </c>
      <c r="C123" s="2941">
        <v>0.1</v>
      </c>
      <c r="D123" s="2941">
        <v>0.1</v>
      </c>
      <c r="E123" s="2941">
        <v>9.8000000000000004E-2</v>
      </c>
      <c r="F123" s="2941">
        <v>0.1</v>
      </c>
      <c r="G123" s="2942">
        <v>0.1</v>
      </c>
    </row>
    <row r="124" spans="1:7">
      <c r="A124" s="2951" t="s">
        <v>303</v>
      </c>
      <c r="B124" s="2940" t="s">
        <v>3007</v>
      </c>
      <c r="C124" s="2941">
        <v>0.1</v>
      </c>
      <c r="D124" s="2941">
        <v>0.1</v>
      </c>
      <c r="E124" s="2941">
        <v>9.8000000000000004E-2</v>
      </c>
      <c r="F124" s="2957"/>
      <c r="G124" s="2942">
        <v>0.1</v>
      </c>
    </row>
    <row r="125" spans="1:7">
      <c r="A125" s="2951" t="s">
        <v>303</v>
      </c>
      <c r="B125" s="2940" t="s">
        <v>3012</v>
      </c>
      <c r="C125" s="2941">
        <v>9.8000000000000004E-2</v>
      </c>
      <c r="D125" s="2941">
        <v>9.8000000000000004E-2</v>
      </c>
      <c r="E125" s="2941">
        <v>9.6000000000000002E-2</v>
      </c>
      <c r="F125" s="2957"/>
      <c r="G125" s="2942">
        <v>0.1</v>
      </c>
    </row>
    <row r="126" spans="1:7" ht="14.25" thickBot="1">
      <c r="A126" s="2954" t="s">
        <v>303</v>
      </c>
      <c r="B126" s="2944" t="s">
        <v>3178</v>
      </c>
      <c r="C126" s="2945">
        <v>0.1</v>
      </c>
      <c r="D126" s="2945">
        <v>0.1</v>
      </c>
      <c r="E126" s="2945">
        <v>9.8000000000000004E-2</v>
      </c>
      <c r="F126" s="2945">
        <v>0.1</v>
      </c>
      <c r="G126" s="2947">
        <v>0.1</v>
      </c>
    </row>
    <row r="127" spans="1:7">
      <c r="A127" s="2950" t="s">
        <v>29</v>
      </c>
      <c r="B127" s="2936" t="s">
        <v>2855</v>
      </c>
      <c r="C127" s="2937">
        <v>0.121</v>
      </c>
      <c r="D127" s="2937">
        <v>0.121</v>
      </c>
      <c r="E127" s="2937">
        <v>0.107</v>
      </c>
      <c r="F127" s="2937">
        <v>0.13</v>
      </c>
      <c r="G127" s="2938">
        <v>0.122</v>
      </c>
    </row>
    <row r="128" spans="1:7">
      <c r="A128" s="2951" t="s">
        <v>29</v>
      </c>
      <c r="B128" s="2940" t="s">
        <v>132</v>
      </c>
      <c r="C128" s="2941">
        <v>0.11600000000000001</v>
      </c>
      <c r="D128" s="2941">
        <v>0.11700000000000001</v>
      </c>
      <c r="E128" s="2941">
        <v>0.104</v>
      </c>
      <c r="F128" s="2941">
        <v>0.13</v>
      </c>
      <c r="G128" s="2942">
        <v>0.11700000000000001</v>
      </c>
    </row>
    <row r="129" spans="1:7">
      <c r="A129" s="2951" t="s">
        <v>29</v>
      </c>
      <c r="B129" s="2940" t="s">
        <v>141</v>
      </c>
      <c r="C129" s="2941">
        <v>0.107</v>
      </c>
      <c r="D129" s="2941">
        <v>0.108</v>
      </c>
      <c r="E129" s="2941">
        <v>0.1</v>
      </c>
      <c r="F129" s="2941">
        <v>0.13</v>
      </c>
      <c r="G129" s="2942">
        <v>0.11700000000000001</v>
      </c>
    </row>
    <row r="130" spans="1:7">
      <c r="A130" s="2951" t="s">
        <v>29</v>
      </c>
      <c r="B130" s="2940" t="s">
        <v>150</v>
      </c>
      <c r="C130" s="2941">
        <v>0.13</v>
      </c>
      <c r="D130" s="2941">
        <v>0.13</v>
      </c>
      <c r="E130" s="2941">
        <v>0.126</v>
      </c>
      <c r="F130" s="2941">
        <v>0.13</v>
      </c>
      <c r="G130" s="2942">
        <v>0.13</v>
      </c>
    </row>
    <row r="131" spans="1:7">
      <c r="A131" s="2951" t="s">
        <v>29</v>
      </c>
      <c r="B131" s="2940" t="s">
        <v>159</v>
      </c>
      <c r="C131" s="2941">
        <v>0.13</v>
      </c>
      <c r="D131" s="2941">
        <v>0.13</v>
      </c>
      <c r="E131" s="2941">
        <v>0.13</v>
      </c>
      <c r="F131" s="2941">
        <v>0.13</v>
      </c>
      <c r="G131" s="2942">
        <v>0.13</v>
      </c>
    </row>
    <row r="132" spans="1:7">
      <c r="A132" s="2951" t="s">
        <v>29</v>
      </c>
      <c r="B132" s="2940" t="s">
        <v>166</v>
      </c>
      <c r="C132" s="2941">
        <v>0.13</v>
      </c>
      <c r="D132" s="2941">
        <v>0.13</v>
      </c>
      <c r="E132" s="2941">
        <v>0.126</v>
      </c>
      <c r="F132" s="2941">
        <v>0.13</v>
      </c>
      <c r="G132" s="2942">
        <v>0.13</v>
      </c>
    </row>
    <row r="133" spans="1:7">
      <c r="A133" s="2951" t="s">
        <v>29</v>
      </c>
      <c r="B133" s="2940" t="s">
        <v>172</v>
      </c>
      <c r="C133" s="2941">
        <v>0.111</v>
      </c>
      <c r="D133" s="2941">
        <v>0.111</v>
      </c>
      <c r="E133" s="2941">
        <v>0.10199999999999999</v>
      </c>
      <c r="F133" s="2941">
        <v>0.13</v>
      </c>
      <c r="G133" s="2942">
        <v>0.121</v>
      </c>
    </row>
    <row r="134" spans="1:7">
      <c r="A134" s="2951" t="s">
        <v>29</v>
      </c>
      <c r="B134" s="2940" t="s">
        <v>179</v>
      </c>
      <c r="C134" s="2941">
        <v>0.121</v>
      </c>
      <c r="D134" s="2941">
        <v>0.121</v>
      </c>
      <c r="E134" s="2941">
        <v>0.1</v>
      </c>
      <c r="F134" s="2941">
        <v>0.13</v>
      </c>
      <c r="G134" s="2942">
        <v>0.123</v>
      </c>
    </row>
    <row r="135" spans="1:7">
      <c r="A135" s="2951" t="s">
        <v>29</v>
      </c>
      <c r="B135" s="2940" t="s">
        <v>189</v>
      </c>
      <c r="C135" s="2941">
        <v>0.105</v>
      </c>
      <c r="D135" s="2941">
        <v>0.106</v>
      </c>
      <c r="E135" s="2941">
        <v>0.1</v>
      </c>
      <c r="F135" s="2941">
        <v>0.13</v>
      </c>
      <c r="G135" s="2942">
        <v>0.115</v>
      </c>
    </row>
    <row r="136" spans="1:7">
      <c r="A136" s="2951" t="s">
        <v>29</v>
      </c>
      <c r="B136" s="2940" t="s">
        <v>198</v>
      </c>
      <c r="C136" s="2941">
        <v>0.127</v>
      </c>
      <c r="D136" s="2941">
        <v>0.127</v>
      </c>
      <c r="E136" s="2941">
        <v>0.121</v>
      </c>
      <c r="F136" s="2941">
        <v>0.123</v>
      </c>
      <c r="G136" s="2942">
        <v>0.129</v>
      </c>
    </row>
    <row r="137" spans="1:7">
      <c r="A137" s="2951" t="s">
        <v>29</v>
      </c>
      <c r="B137" s="2940" t="s">
        <v>205</v>
      </c>
      <c r="C137" s="2941">
        <v>0.13</v>
      </c>
      <c r="D137" s="2941">
        <v>0.13</v>
      </c>
      <c r="E137" s="2941">
        <v>0.129</v>
      </c>
      <c r="F137" s="2941">
        <v>0.13</v>
      </c>
      <c r="G137" s="2942">
        <v>0.13</v>
      </c>
    </row>
    <row r="138" spans="1:7">
      <c r="A138" s="2951" t="s">
        <v>29</v>
      </c>
      <c r="B138" s="2940" t="s">
        <v>212</v>
      </c>
      <c r="C138" s="2941">
        <v>0.13</v>
      </c>
      <c r="D138" s="2941">
        <v>0.13</v>
      </c>
      <c r="E138" s="2941">
        <v>0.125</v>
      </c>
      <c r="F138" s="2941">
        <v>0.13</v>
      </c>
      <c r="G138" s="2942">
        <v>0.13</v>
      </c>
    </row>
    <row r="139" spans="1:7">
      <c r="A139" s="2951" t="s">
        <v>29</v>
      </c>
      <c r="B139" s="2940" t="s">
        <v>218</v>
      </c>
      <c r="C139" s="2941">
        <v>0.13</v>
      </c>
      <c r="D139" s="2941">
        <v>0.13</v>
      </c>
      <c r="E139" s="2941">
        <v>0.126</v>
      </c>
      <c r="F139" s="2941">
        <v>0.13</v>
      </c>
      <c r="G139" s="2942">
        <v>0.13</v>
      </c>
    </row>
    <row r="140" spans="1:7">
      <c r="A140" s="2951" t="s">
        <v>29</v>
      </c>
      <c r="B140" s="2940" t="s">
        <v>226</v>
      </c>
      <c r="C140" s="2941">
        <v>0.1</v>
      </c>
      <c r="D140" s="2941">
        <v>0.1</v>
      </c>
      <c r="E140" s="2941">
        <v>0.1</v>
      </c>
      <c r="F140" s="2941">
        <v>0.123</v>
      </c>
      <c r="G140" s="2942">
        <v>0.107</v>
      </c>
    </row>
    <row r="141" spans="1:7">
      <c r="A141" s="2951" t="s">
        <v>29</v>
      </c>
      <c r="B141" s="2940" t="s">
        <v>234</v>
      </c>
      <c r="C141" s="2941">
        <v>0.127</v>
      </c>
      <c r="D141" s="2941">
        <v>0.127</v>
      </c>
      <c r="E141" s="2941">
        <v>0.122</v>
      </c>
      <c r="F141" s="2941">
        <v>0.1</v>
      </c>
      <c r="G141" s="2942">
        <v>0.129</v>
      </c>
    </row>
    <row r="142" spans="1:7">
      <c r="A142" s="2951" t="s">
        <v>29</v>
      </c>
      <c r="B142" s="2940" t="s">
        <v>239</v>
      </c>
      <c r="C142" s="2941">
        <v>0.121</v>
      </c>
      <c r="D142" s="2941">
        <v>0.122</v>
      </c>
      <c r="E142" s="2941">
        <v>0.1</v>
      </c>
      <c r="F142" s="2941">
        <v>0.123</v>
      </c>
      <c r="G142" s="2942">
        <v>0.123</v>
      </c>
    </row>
    <row r="143" spans="1:7">
      <c r="A143" s="2951" t="s">
        <v>29</v>
      </c>
      <c r="B143" s="2940" t="s">
        <v>248</v>
      </c>
      <c r="C143" s="2941">
        <v>0.1</v>
      </c>
      <c r="D143" s="2941">
        <v>0.1</v>
      </c>
      <c r="E143" s="2941">
        <v>0.1</v>
      </c>
      <c r="F143" s="2941">
        <v>0.13</v>
      </c>
      <c r="G143" s="2942">
        <v>0.1</v>
      </c>
    </row>
    <row r="144" spans="1:7">
      <c r="A144" s="2951" t="s">
        <v>29</v>
      </c>
      <c r="B144" s="2940" t="s">
        <v>255</v>
      </c>
      <c r="C144" s="2941">
        <v>0.106</v>
      </c>
      <c r="D144" s="2941">
        <v>0.105</v>
      </c>
      <c r="E144" s="2941">
        <v>0.1</v>
      </c>
      <c r="F144" s="2941">
        <v>0.13</v>
      </c>
      <c r="G144" s="2942">
        <v>0.11799999999999999</v>
      </c>
    </row>
    <row r="145" spans="1:7">
      <c r="A145" s="2951" t="s">
        <v>29</v>
      </c>
      <c r="B145" s="2940" t="s">
        <v>263</v>
      </c>
      <c r="C145" s="2941">
        <v>0.123</v>
      </c>
      <c r="D145" s="2941">
        <v>0.123</v>
      </c>
      <c r="E145" s="2941">
        <v>0.11700000000000001</v>
      </c>
      <c r="F145" s="2941">
        <v>0.13</v>
      </c>
      <c r="G145" s="2942">
        <v>0.126</v>
      </c>
    </row>
    <row r="146" spans="1:7">
      <c r="A146" s="2951" t="s">
        <v>29</v>
      </c>
      <c r="B146" s="2940" t="s">
        <v>270</v>
      </c>
      <c r="C146" s="2941">
        <v>0.127</v>
      </c>
      <c r="D146" s="2941">
        <v>0.127</v>
      </c>
      <c r="E146" s="2941">
        <v>0.12</v>
      </c>
      <c r="F146" s="2952"/>
      <c r="G146" s="2942">
        <v>0.129</v>
      </c>
    </row>
    <row r="147" spans="1:7">
      <c r="A147" s="2951" t="s">
        <v>29</v>
      </c>
      <c r="B147" s="2940" t="s">
        <v>274</v>
      </c>
      <c r="C147" s="2941">
        <v>0.13</v>
      </c>
      <c r="D147" s="2941">
        <v>0.13</v>
      </c>
      <c r="E147" s="2941">
        <v>0.126</v>
      </c>
      <c r="F147" s="2952"/>
      <c r="G147" s="2942">
        <v>0.13</v>
      </c>
    </row>
    <row r="148" spans="1:7">
      <c r="A148" s="2951" t="s">
        <v>29</v>
      </c>
      <c r="B148" s="2940" t="s">
        <v>2925</v>
      </c>
      <c r="C148" s="2941">
        <v>0.13</v>
      </c>
      <c r="D148" s="2941">
        <v>0.13</v>
      </c>
      <c r="E148" s="2941">
        <v>0.13</v>
      </c>
      <c r="F148" s="2952"/>
      <c r="G148" s="2942">
        <v>0.13</v>
      </c>
    </row>
    <row r="149" spans="1:7">
      <c r="A149" s="2951" t="s">
        <v>29</v>
      </c>
      <c r="B149" s="2940" t="s">
        <v>2929</v>
      </c>
      <c r="C149" s="2941">
        <v>0.13</v>
      </c>
      <c r="D149" s="2941">
        <v>0.13</v>
      </c>
      <c r="E149" s="2941">
        <v>0.13</v>
      </c>
      <c r="F149" s="2941">
        <v>0.13</v>
      </c>
      <c r="G149" s="2942">
        <v>0.13</v>
      </c>
    </row>
    <row r="150" spans="1:7">
      <c r="A150" s="2951" t="s">
        <v>29</v>
      </c>
      <c r="B150" s="2940" t="s">
        <v>292</v>
      </c>
      <c r="C150" s="2941">
        <v>0.13</v>
      </c>
      <c r="D150" s="2941">
        <v>0.13</v>
      </c>
      <c r="E150" s="2941">
        <v>0.127</v>
      </c>
      <c r="F150" s="2941">
        <v>0.13</v>
      </c>
      <c r="G150" s="2942">
        <v>0.13</v>
      </c>
    </row>
    <row r="151" spans="1:7">
      <c r="A151" s="2951" t="s">
        <v>29</v>
      </c>
      <c r="B151" s="2940" t="s">
        <v>294</v>
      </c>
      <c r="C151" s="2941">
        <v>0.13</v>
      </c>
      <c r="D151" s="2941">
        <v>0.13</v>
      </c>
      <c r="E151" s="2941">
        <v>0.13</v>
      </c>
      <c r="F151" s="2941">
        <v>0.13</v>
      </c>
      <c r="G151" s="2942">
        <v>0.13</v>
      </c>
    </row>
    <row r="152" spans="1:7">
      <c r="A152" s="2951" t="s">
        <v>29</v>
      </c>
      <c r="B152" s="2940" t="s">
        <v>297</v>
      </c>
      <c r="C152" s="2941">
        <v>0.13</v>
      </c>
      <c r="D152" s="2941">
        <v>0.13</v>
      </c>
      <c r="E152" s="2941">
        <v>0.13</v>
      </c>
      <c r="F152" s="2941">
        <v>0.13</v>
      </c>
      <c r="G152" s="2942">
        <v>0.13</v>
      </c>
    </row>
    <row r="153" spans="1:7">
      <c r="A153" s="2951" t="s">
        <v>29</v>
      </c>
      <c r="B153" s="2940" t="s">
        <v>2948</v>
      </c>
      <c r="C153" s="2941">
        <v>0.13</v>
      </c>
      <c r="D153" s="2941">
        <v>0.13</v>
      </c>
      <c r="E153" s="2941">
        <v>0.13</v>
      </c>
      <c r="F153" s="2941">
        <v>0.13</v>
      </c>
      <c r="G153" s="2942">
        <v>0.13</v>
      </c>
    </row>
    <row r="154" spans="1:7">
      <c r="A154" s="2951" t="s">
        <v>29</v>
      </c>
      <c r="B154" s="2940" t="s">
        <v>2955</v>
      </c>
      <c r="C154" s="2941">
        <v>0.121</v>
      </c>
      <c r="D154" s="2941">
        <v>0.121</v>
      </c>
      <c r="E154" s="2941">
        <v>0.105</v>
      </c>
      <c r="F154" s="2941">
        <v>0.121</v>
      </c>
      <c r="G154" s="2942">
        <v>0.123</v>
      </c>
    </row>
    <row r="155" spans="1:7">
      <c r="A155" s="2951" t="s">
        <v>29</v>
      </c>
      <c r="B155" s="2940" t="s">
        <v>2961</v>
      </c>
      <c r="C155" s="2941">
        <v>0.1</v>
      </c>
      <c r="D155" s="2941">
        <v>0.1</v>
      </c>
      <c r="E155" s="2941">
        <v>0.1</v>
      </c>
      <c r="F155" s="2941">
        <v>0.1</v>
      </c>
      <c r="G155" s="2942">
        <v>0.1</v>
      </c>
    </row>
    <row r="156" spans="1:7">
      <c r="A156" s="2951" t="s">
        <v>29</v>
      </c>
      <c r="B156" s="2940" t="s">
        <v>2968</v>
      </c>
      <c r="C156" s="2941">
        <v>0.13</v>
      </c>
      <c r="D156" s="2941">
        <v>0.13</v>
      </c>
      <c r="E156" s="2941">
        <v>0.13</v>
      </c>
      <c r="F156" s="2941">
        <v>0.13</v>
      </c>
      <c r="G156" s="2942">
        <v>0.13</v>
      </c>
    </row>
    <row r="157" spans="1:7">
      <c r="A157" s="2951" t="s">
        <v>29</v>
      </c>
      <c r="B157" s="2940" t="s">
        <v>300</v>
      </c>
      <c r="C157" s="2941">
        <v>0.13</v>
      </c>
      <c r="D157" s="2941">
        <v>0.13</v>
      </c>
      <c r="E157" s="2941">
        <v>0.125</v>
      </c>
      <c r="F157" s="2941">
        <v>0.13</v>
      </c>
      <c r="G157" s="2942">
        <v>0.13</v>
      </c>
    </row>
    <row r="158" spans="1:7">
      <c r="A158" s="2951" t="s">
        <v>29</v>
      </c>
      <c r="B158" s="2940" t="s">
        <v>301</v>
      </c>
      <c r="C158" s="2941">
        <v>0.124</v>
      </c>
      <c r="D158" s="2941">
        <v>0.124</v>
      </c>
      <c r="E158" s="2941">
        <v>0.11700000000000001</v>
      </c>
      <c r="F158" s="2941">
        <v>0.121</v>
      </c>
      <c r="G158" s="2942">
        <v>0.124</v>
      </c>
    </row>
    <row r="159" spans="1:7">
      <c r="A159" s="2951" t="s">
        <v>29</v>
      </c>
      <c r="B159" s="2940" t="s">
        <v>302</v>
      </c>
      <c r="C159" s="2941">
        <v>0.127</v>
      </c>
      <c r="D159" s="2941">
        <v>0.127</v>
      </c>
      <c r="E159" s="2941">
        <v>0.122</v>
      </c>
      <c r="F159" s="2941">
        <v>0.13</v>
      </c>
      <c r="G159" s="2942">
        <v>0.129</v>
      </c>
    </row>
    <row r="160" spans="1:7">
      <c r="A160" s="2951" t="s">
        <v>29</v>
      </c>
      <c r="B160" s="2940" t="s">
        <v>2988</v>
      </c>
      <c r="C160" s="2941">
        <v>0.13</v>
      </c>
      <c r="D160" s="2941">
        <v>0.13</v>
      </c>
      <c r="E160" s="2941">
        <v>0.124</v>
      </c>
      <c r="F160" s="2941">
        <v>0.126</v>
      </c>
      <c r="G160" s="2942">
        <v>0.13</v>
      </c>
    </row>
    <row r="161" spans="1:7">
      <c r="A161" s="2951" t="s">
        <v>29</v>
      </c>
      <c r="B161" s="2940" t="s">
        <v>2993</v>
      </c>
      <c r="C161" s="2941">
        <v>0.13</v>
      </c>
      <c r="D161" s="2941">
        <v>0.13</v>
      </c>
      <c r="E161" s="2941">
        <v>0.124</v>
      </c>
      <c r="F161" s="2941">
        <v>0.127</v>
      </c>
      <c r="G161" s="2942">
        <v>0.13</v>
      </c>
    </row>
    <row r="162" spans="1:7">
      <c r="A162" s="2951" t="s">
        <v>29</v>
      </c>
      <c r="B162" s="2940" t="s">
        <v>2998</v>
      </c>
      <c r="C162" s="2941">
        <v>0.1</v>
      </c>
      <c r="D162" s="2941">
        <v>0.1</v>
      </c>
      <c r="E162" s="2941">
        <v>0.1</v>
      </c>
      <c r="F162" s="2941">
        <v>0.121</v>
      </c>
      <c r="G162" s="2942">
        <v>0.105</v>
      </c>
    </row>
    <row r="163" spans="1:7">
      <c r="A163" s="2951" t="s">
        <v>29</v>
      </c>
      <c r="B163" s="2940" t="s">
        <v>3003</v>
      </c>
      <c r="C163" s="2941">
        <v>0.1</v>
      </c>
      <c r="D163" s="2941">
        <v>0.1</v>
      </c>
      <c r="E163" s="2941">
        <v>0.1</v>
      </c>
      <c r="F163" s="2941">
        <v>0.1</v>
      </c>
      <c r="G163" s="2942">
        <v>0.1</v>
      </c>
    </row>
    <row r="164" spans="1:7">
      <c r="A164" s="2951" t="s">
        <v>29</v>
      </c>
      <c r="B164" s="2940" t="s">
        <v>3008</v>
      </c>
      <c r="C164" s="2957"/>
      <c r="D164" s="2957"/>
      <c r="E164" s="2957"/>
      <c r="F164" s="2941">
        <v>0.1</v>
      </c>
      <c r="G164" s="2953"/>
    </row>
    <row r="165" spans="1:7">
      <c r="A165" s="2951" t="s">
        <v>29</v>
      </c>
      <c r="B165" s="2940" t="s">
        <v>3179</v>
      </c>
      <c r="C165" s="2941">
        <v>0.126</v>
      </c>
      <c r="D165" s="2941">
        <v>0.126</v>
      </c>
      <c r="E165" s="2941">
        <v>0.11899999999999999</v>
      </c>
      <c r="F165" s="2941">
        <v>0.13</v>
      </c>
      <c r="G165" s="2942">
        <v>0.128</v>
      </c>
    </row>
    <row r="166" spans="1:7">
      <c r="A166" s="2951" t="s">
        <v>29</v>
      </c>
      <c r="B166" s="2940" t="s">
        <v>3018</v>
      </c>
      <c r="C166" s="2941">
        <v>0.129</v>
      </c>
      <c r="D166" s="2941">
        <v>0.129</v>
      </c>
      <c r="E166" s="2941">
        <v>0.123</v>
      </c>
      <c r="F166" s="2941">
        <v>0.128</v>
      </c>
      <c r="G166" s="2942">
        <v>0.13</v>
      </c>
    </row>
    <row r="167" spans="1:7">
      <c r="A167" s="2951" t="s">
        <v>29</v>
      </c>
      <c r="B167" s="2940" t="s">
        <v>3022</v>
      </c>
      <c r="C167" s="2941">
        <v>0.125</v>
      </c>
      <c r="D167" s="2941">
        <v>0.125</v>
      </c>
      <c r="E167" s="2941">
        <v>0.11700000000000001</v>
      </c>
      <c r="F167" s="2941">
        <v>0.13</v>
      </c>
      <c r="G167" s="2942">
        <v>0.126</v>
      </c>
    </row>
    <row r="168" spans="1:7">
      <c r="A168" s="2951" t="s">
        <v>29</v>
      </c>
      <c r="B168" s="2940" t="s">
        <v>3027</v>
      </c>
      <c r="C168" s="2941">
        <v>0.128</v>
      </c>
      <c r="D168" s="2941">
        <v>0.128</v>
      </c>
      <c r="E168" s="2941">
        <v>0.123</v>
      </c>
      <c r="F168" s="2952"/>
      <c r="G168" s="2942">
        <v>0.13</v>
      </c>
    </row>
    <row r="169" spans="1:7">
      <c r="A169" s="2951" t="s">
        <v>29</v>
      </c>
      <c r="B169" s="2940" t="s">
        <v>3180</v>
      </c>
      <c r="C169" s="2957"/>
      <c r="D169" s="2957"/>
      <c r="E169" s="2957"/>
      <c r="F169" s="2941">
        <v>0.05</v>
      </c>
      <c r="G169" s="2953"/>
    </row>
    <row r="170" spans="1:7">
      <c r="A170" s="2951" t="s">
        <v>29</v>
      </c>
      <c r="B170" s="2940" t="s">
        <v>3181</v>
      </c>
      <c r="C170" s="2957"/>
      <c r="D170" s="2957"/>
      <c r="E170" s="2957"/>
      <c r="F170" s="2941">
        <v>0.05</v>
      </c>
      <c r="G170" s="2953"/>
    </row>
    <row r="171" spans="1:7">
      <c r="A171" s="2951" t="s">
        <v>29</v>
      </c>
      <c r="B171" s="2940" t="s">
        <v>3182</v>
      </c>
      <c r="C171" s="2957"/>
      <c r="D171" s="2957"/>
      <c r="E171" s="2957"/>
      <c r="F171" s="2941">
        <v>0.05</v>
      </c>
      <c r="G171" s="2958"/>
    </row>
    <row r="172" spans="1:7">
      <c r="A172" s="2951" t="s">
        <v>29</v>
      </c>
      <c r="B172" s="2940" t="s">
        <v>3183</v>
      </c>
      <c r="C172" s="2957"/>
      <c r="D172" s="2957"/>
      <c r="E172" s="2957"/>
      <c r="F172" s="2941">
        <v>0.05</v>
      </c>
      <c r="G172" s="2958"/>
    </row>
    <row r="173" spans="1:7">
      <c r="A173" s="2951" t="s">
        <v>29</v>
      </c>
      <c r="B173" s="2940" t="s">
        <v>3184</v>
      </c>
      <c r="C173" s="2957"/>
      <c r="D173" s="2957"/>
      <c r="E173" s="2957"/>
      <c r="F173" s="2941">
        <v>0.05</v>
      </c>
      <c r="G173" s="2953"/>
    </row>
    <row r="174" spans="1:7">
      <c r="A174" s="2951" t="s">
        <v>29</v>
      </c>
      <c r="B174" s="2940" t="s">
        <v>3185</v>
      </c>
      <c r="C174" s="2957"/>
      <c r="D174" s="2957"/>
      <c r="E174" s="2957"/>
      <c r="F174" s="2941">
        <v>0.05</v>
      </c>
      <c r="G174" s="2953"/>
    </row>
    <row r="175" spans="1:7">
      <c r="A175" s="2951" t="s">
        <v>29</v>
      </c>
      <c r="B175" s="2940" t="s">
        <v>3186</v>
      </c>
      <c r="C175" s="2957"/>
      <c r="D175" s="2957"/>
      <c r="E175" s="2957"/>
      <c r="F175" s="2941">
        <v>0.05</v>
      </c>
      <c r="G175" s="2953"/>
    </row>
    <row r="176" spans="1:7">
      <c r="A176" s="2951" t="s">
        <v>29</v>
      </c>
      <c r="B176" s="2940" t="s">
        <v>3187</v>
      </c>
      <c r="C176" s="2957"/>
      <c r="D176" s="2957"/>
      <c r="E176" s="2957"/>
      <c r="F176" s="2941">
        <v>0.05</v>
      </c>
      <c r="G176" s="2953"/>
    </row>
    <row r="177" spans="1:7">
      <c r="A177" s="2951" t="s">
        <v>29</v>
      </c>
      <c r="B177" s="2940" t="s">
        <v>3188</v>
      </c>
      <c r="C177" s="2952"/>
      <c r="D177" s="2952"/>
      <c r="E177" s="2952"/>
      <c r="F177" s="2941">
        <v>0.05</v>
      </c>
      <c r="G177" s="2958"/>
    </row>
    <row r="178" spans="1:7">
      <c r="A178" s="2951" t="s">
        <v>29</v>
      </c>
      <c r="B178" s="2940" t="s">
        <v>3189</v>
      </c>
      <c r="C178" s="2952"/>
      <c r="D178" s="2952"/>
      <c r="E178" s="2952"/>
      <c r="F178" s="2941">
        <v>0.05</v>
      </c>
      <c r="G178" s="2958"/>
    </row>
    <row r="179" spans="1:7">
      <c r="A179" s="2951" t="s">
        <v>29</v>
      </c>
      <c r="B179" s="2940" t="s">
        <v>3190</v>
      </c>
      <c r="C179" s="2952"/>
      <c r="D179" s="2952"/>
      <c r="E179" s="2952"/>
      <c r="F179" s="2941">
        <v>0.05</v>
      </c>
      <c r="G179" s="2958"/>
    </row>
    <row r="180" spans="1:7">
      <c r="A180" s="2951" t="s">
        <v>29</v>
      </c>
      <c r="B180" s="2940" t="s">
        <v>3191</v>
      </c>
      <c r="C180" s="2952"/>
      <c r="D180" s="2952"/>
      <c r="E180" s="2952"/>
      <c r="F180" s="2941">
        <v>0.05</v>
      </c>
      <c r="G180" s="2958"/>
    </row>
    <row r="181" spans="1:7">
      <c r="A181" s="2951" t="s">
        <v>29</v>
      </c>
      <c r="B181" s="2940" t="s">
        <v>3192</v>
      </c>
      <c r="C181" s="2952"/>
      <c r="D181" s="2952"/>
      <c r="E181" s="2952"/>
      <c r="F181" s="2941">
        <v>0.05</v>
      </c>
      <c r="G181" s="2958"/>
    </row>
    <row r="182" spans="1:7">
      <c r="A182" s="2951" t="s">
        <v>29</v>
      </c>
      <c r="B182" s="2940" t="s">
        <v>3193</v>
      </c>
      <c r="C182" s="2952"/>
      <c r="D182" s="2952"/>
      <c r="E182" s="2952"/>
      <c r="F182" s="2941">
        <v>0.05</v>
      </c>
      <c r="G182" s="2958"/>
    </row>
    <row r="183" spans="1:7">
      <c r="A183" s="2951" t="s">
        <v>29</v>
      </c>
      <c r="B183" s="2940" t="s">
        <v>3194</v>
      </c>
      <c r="C183" s="2952"/>
      <c r="D183" s="2952"/>
      <c r="E183" s="2952"/>
      <c r="F183" s="2941">
        <v>0.05</v>
      </c>
      <c r="G183" s="2958"/>
    </row>
    <row r="184" spans="1:7">
      <c r="A184" s="2951" t="s">
        <v>29</v>
      </c>
      <c r="B184" s="2940" t="s">
        <v>3195</v>
      </c>
      <c r="C184" s="2952"/>
      <c r="D184" s="2952"/>
      <c r="E184" s="2952"/>
      <c r="F184" s="2941">
        <v>0.05</v>
      </c>
      <c r="G184" s="2958"/>
    </row>
    <row r="185" spans="1:7">
      <c r="A185" s="2951" t="s">
        <v>29</v>
      </c>
      <c r="B185" s="2940" t="s">
        <v>3196</v>
      </c>
      <c r="C185" s="2952"/>
      <c r="D185" s="2952"/>
      <c r="E185" s="2952"/>
      <c r="F185" s="2941">
        <v>0.05</v>
      </c>
      <c r="G185" s="2958"/>
    </row>
    <row r="186" spans="1:7">
      <c r="A186" s="2951" t="s">
        <v>29</v>
      </c>
      <c r="B186" s="2940" t="s">
        <v>3197</v>
      </c>
      <c r="C186" s="2952"/>
      <c r="D186" s="2952"/>
      <c r="E186" s="2952"/>
      <c r="F186" s="2941">
        <v>0.05</v>
      </c>
      <c r="G186" s="2958"/>
    </row>
    <row r="187" spans="1:7">
      <c r="A187" s="2951" t="s">
        <v>29</v>
      </c>
      <c r="B187" s="2940" t="s">
        <v>3198</v>
      </c>
      <c r="C187" s="2952"/>
      <c r="D187" s="2952"/>
      <c r="E187" s="2952"/>
      <c r="F187" s="2941">
        <v>0.05</v>
      </c>
      <c r="G187" s="2958"/>
    </row>
    <row r="188" spans="1:7">
      <c r="A188" s="2951" t="s">
        <v>29</v>
      </c>
      <c r="B188" s="2940" t="s">
        <v>3199</v>
      </c>
      <c r="C188" s="2952"/>
      <c r="D188" s="2952"/>
      <c r="E188" s="2952"/>
      <c r="F188" s="2941">
        <v>0.05</v>
      </c>
      <c r="G188" s="2958"/>
    </row>
    <row r="189" spans="1:7" ht="14.25" thickBot="1">
      <c r="A189" s="2954" t="s">
        <v>29</v>
      </c>
      <c r="B189" s="2944" t="s">
        <v>3200</v>
      </c>
      <c r="C189" s="2946"/>
      <c r="D189" s="2946"/>
      <c r="E189" s="2946"/>
      <c r="F189" s="2945">
        <v>0.05</v>
      </c>
      <c r="G189" s="2959"/>
    </row>
    <row r="190" spans="1:7">
      <c r="A190" s="2950" t="s">
        <v>304</v>
      </c>
      <c r="B190" s="2936" t="s">
        <v>2856</v>
      </c>
      <c r="C190" s="2937">
        <v>0.124</v>
      </c>
      <c r="D190" s="2937">
        <v>0.124</v>
      </c>
      <c r="E190" s="2937">
        <v>0.129</v>
      </c>
      <c r="F190" s="2937">
        <v>0.13</v>
      </c>
      <c r="G190" s="2938">
        <v>0.127</v>
      </c>
    </row>
    <row r="191" spans="1:7">
      <c r="A191" s="2951" t="s">
        <v>304</v>
      </c>
      <c r="B191" s="2940" t="s">
        <v>133</v>
      </c>
      <c r="C191" s="2941">
        <v>0.13</v>
      </c>
      <c r="D191" s="2941">
        <v>0.13</v>
      </c>
      <c r="E191" s="2941">
        <v>0.13</v>
      </c>
      <c r="F191" s="2941">
        <v>0.13</v>
      </c>
      <c r="G191" s="2942">
        <v>0.13</v>
      </c>
    </row>
    <row r="192" spans="1:7">
      <c r="A192" s="2951" t="s">
        <v>304</v>
      </c>
      <c r="B192" s="2940" t="s">
        <v>142</v>
      </c>
      <c r="C192" s="2941">
        <v>0.13</v>
      </c>
      <c r="D192" s="2941">
        <v>0.13</v>
      </c>
      <c r="E192" s="2941">
        <v>0.13</v>
      </c>
      <c r="F192" s="2941">
        <v>0.13</v>
      </c>
      <c r="G192" s="2942">
        <v>0.13</v>
      </c>
    </row>
    <row r="193" spans="1:7">
      <c r="A193" s="2951" t="s">
        <v>304</v>
      </c>
      <c r="B193" s="2940" t="s">
        <v>151</v>
      </c>
      <c r="C193" s="2941">
        <v>0.13</v>
      </c>
      <c r="D193" s="2941">
        <v>0.13</v>
      </c>
      <c r="E193" s="2941">
        <v>0.13</v>
      </c>
      <c r="F193" s="2941">
        <v>0.13</v>
      </c>
      <c r="G193" s="2942">
        <v>0.13</v>
      </c>
    </row>
    <row r="194" spans="1:7">
      <c r="A194" s="2951" t="s">
        <v>304</v>
      </c>
      <c r="B194" s="2940" t="s">
        <v>160</v>
      </c>
      <c r="C194" s="2941">
        <v>0.123</v>
      </c>
      <c r="D194" s="2941">
        <v>0.123</v>
      </c>
      <c r="E194" s="2941">
        <v>0.128</v>
      </c>
      <c r="F194" s="2941">
        <v>0.13</v>
      </c>
      <c r="G194" s="2942">
        <v>0.126</v>
      </c>
    </row>
    <row r="195" spans="1:7">
      <c r="A195" s="2951" t="s">
        <v>304</v>
      </c>
      <c r="B195" s="2940" t="s">
        <v>167</v>
      </c>
      <c r="C195" s="2941">
        <v>0.127</v>
      </c>
      <c r="D195" s="2941">
        <v>0.127</v>
      </c>
      <c r="E195" s="2941">
        <v>0.121</v>
      </c>
      <c r="F195" s="2941">
        <v>0.129</v>
      </c>
      <c r="G195" s="2942">
        <v>0.129</v>
      </c>
    </row>
    <row r="196" spans="1:7">
      <c r="A196" s="2951" t="s">
        <v>304</v>
      </c>
      <c r="B196" s="2940" t="s">
        <v>173</v>
      </c>
      <c r="C196" s="2941">
        <v>0.127</v>
      </c>
      <c r="D196" s="2941">
        <v>0.128</v>
      </c>
      <c r="E196" s="2941">
        <v>0.122</v>
      </c>
      <c r="F196" s="2941">
        <v>0.13</v>
      </c>
      <c r="G196" s="2942">
        <v>0.129</v>
      </c>
    </row>
    <row r="197" spans="1:7">
      <c r="A197" s="2951" t="s">
        <v>304</v>
      </c>
      <c r="B197" s="2940" t="s">
        <v>180</v>
      </c>
      <c r="C197" s="2941">
        <v>0.126</v>
      </c>
      <c r="D197" s="2941">
        <v>0.126</v>
      </c>
      <c r="E197" s="2941">
        <v>0.11899999999999999</v>
      </c>
      <c r="F197" s="2941">
        <v>0.13</v>
      </c>
      <c r="G197" s="2942">
        <v>0.128</v>
      </c>
    </row>
    <row r="198" spans="1:7">
      <c r="A198" s="2951" t="s">
        <v>304</v>
      </c>
      <c r="B198" s="2940" t="s">
        <v>190</v>
      </c>
      <c r="C198" s="2941">
        <v>0.13</v>
      </c>
      <c r="D198" s="2941">
        <v>0.13</v>
      </c>
      <c r="E198" s="2941">
        <v>0.126</v>
      </c>
      <c r="F198" s="2957"/>
      <c r="G198" s="2942">
        <v>0.13</v>
      </c>
    </row>
    <row r="199" spans="1:7">
      <c r="A199" s="2951" t="s">
        <v>304</v>
      </c>
      <c r="B199" s="2940" t="s">
        <v>2892</v>
      </c>
      <c r="C199" s="2941">
        <v>0.13</v>
      </c>
      <c r="D199" s="2941">
        <v>0.13</v>
      </c>
      <c r="E199" s="2941">
        <v>0.13</v>
      </c>
      <c r="F199" s="2941">
        <v>0.13</v>
      </c>
      <c r="G199" s="2942">
        <v>0.13</v>
      </c>
    </row>
    <row r="200" spans="1:7">
      <c r="A200" s="2951" t="s">
        <v>304</v>
      </c>
      <c r="B200" s="2940" t="s">
        <v>2895</v>
      </c>
      <c r="C200" s="2957"/>
      <c r="D200" s="2957"/>
      <c r="E200" s="2957"/>
      <c r="F200" s="2941">
        <v>0.13</v>
      </c>
      <c r="G200" s="2953"/>
    </row>
    <row r="201" spans="1:7">
      <c r="A201" s="2951" t="s">
        <v>304</v>
      </c>
      <c r="B201" s="2940" t="s">
        <v>2900</v>
      </c>
      <c r="C201" s="2941">
        <v>0.13</v>
      </c>
      <c r="D201" s="2941">
        <v>0.13</v>
      </c>
      <c r="E201" s="2941">
        <v>0.13</v>
      </c>
      <c r="F201" s="2941">
        <v>0.129</v>
      </c>
      <c r="G201" s="2942">
        <v>0.13</v>
      </c>
    </row>
    <row r="202" spans="1:7">
      <c r="A202" s="2951" t="s">
        <v>304</v>
      </c>
      <c r="B202" s="2940" t="s">
        <v>240</v>
      </c>
      <c r="C202" s="2941">
        <v>0.13</v>
      </c>
      <c r="D202" s="2941">
        <v>0.13</v>
      </c>
      <c r="E202" s="2941">
        <v>0.13</v>
      </c>
      <c r="F202" s="2941">
        <v>0.13</v>
      </c>
      <c r="G202" s="2942">
        <v>0.13</v>
      </c>
    </row>
    <row r="203" spans="1:7">
      <c r="A203" s="2951" t="s">
        <v>304</v>
      </c>
      <c r="B203" s="2940" t="s">
        <v>2903</v>
      </c>
      <c r="C203" s="2941">
        <v>0.129</v>
      </c>
      <c r="D203" s="2941">
        <v>0.129</v>
      </c>
      <c r="E203" s="2941">
        <v>0.13</v>
      </c>
      <c r="F203" s="2941">
        <v>0.13</v>
      </c>
      <c r="G203" s="2942">
        <v>0.13</v>
      </c>
    </row>
    <row r="204" spans="1:7">
      <c r="A204" s="2951" t="s">
        <v>304</v>
      </c>
      <c r="B204" s="2940" t="s">
        <v>2906</v>
      </c>
      <c r="C204" s="2941">
        <v>0.129</v>
      </c>
      <c r="D204" s="2941">
        <v>0.129</v>
      </c>
      <c r="E204" s="2941">
        <v>0.123</v>
      </c>
      <c r="F204" s="2941">
        <v>0.13</v>
      </c>
      <c r="G204" s="2942">
        <v>0.13</v>
      </c>
    </row>
    <row r="205" spans="1:7">
      <c r="A205" s="2951" t="s">
        <v>304</v>
      </c>
      <c r="B205" s="2940" t="s">
        <v>2908</v>
      </c>
      <c r="C205" s="2941">
        <v>0.13</v>
      </c>
      <c r="D205" s="2941">
        <v>0.13</v>
      </c>
      <c r="E205" s="2941">
        <v>0.13</v>
      </c>
      <c r="F205" s="2941">
        <v>0.13</v>
      </c>
      <c r="G205" s="2942">
        <v>0.13</v>
      </c>
    </row>
    <row r="206" spans="1:7">
      <c r="A206" s="2951" t="s">
        <v>304</v>
      </c>
      <c r="B206" s="2940" t="s">
        <v>2911</v>
      </c>
      <c r="C206" s="2941">
        <v>0.13</v>
      </c>
      <c r="D206" s="2941">
        <v>0.13</v>
      </c>
      <c r="E206" s="2941">
        <v>0.13</v>
      </c>
      <c r="F206" s="2941">
        <v>0.128</v>
      </c>
      <c r="G206" s="2942">
        <v>0.13</v>
      </c>
    </row>
    <row r="207" spans="1:7">
      <c r="A207" s="2951" t="s">
        <v>304</v>
      </c>
      <c r="B207" s="2940" t="s">
        <v>2913</v>
      </c>
      <c r="C207" s="2941">
        <v>0.13</v>
      </c>
      <c r="D207" s="2941">
        <v>0.13</v>
      </c>
      <c r="E207" s="2941">
        <v>0.13</v>
      </c>
      <c r="F207" s="2941">
        <v>0.13</v>
      </c>
      <c r="G207" s="2942">
        <v>0.13</v>
      </c>
    </row>
    <row r="208" spans="1:7">
      <c r="A208" s="2951" t="s">
        <v>304</v>
      </c>
      <c r="B208" s="2940" t="s">
        <v>2916</v>
      </c>
      <c r="C208" s="2941">
        <v>0.13</v>
      </c>
      <c r="D208" s="2941">
        <v>0.13</v>
      </c>
      <c r="E208" s="2941">
        <v>0.13</v>
      </c>
      <c r="F208" s="2941">
        <v>0.13</v>
      </c>
      <c r="G208" s="2942">
        <v>0.13</v>
      </c>
    </row>
    <row r="209" spans="1:7">
      <c r="A209" s="2951" t="s">
        <v>304</v>
      </c>
      <c r="B209" s="2940" t="s">
        <v>264</v>
      </c>
      <c r="C209" s="2941">
        <v>0.13</v>
      </c>
      <c r="D209" s="2941">
        <v>0.13</v>
      </c>
      <c r="E209" s="2941">
        <v>0.13</v>
      </c>
      <c r="F209" s="2941">
        <v>0.13</v>
      </c>
      <c r="G209" s="2942">
        <v>0.13</v>
      </c>
    </row>
    <row r="210" spans="1:7">
      <c r="A210" s="2951" t="s">
        <v>304</v>
      </c>
      <c r="B210" s="2940" t="s">
        <v>2923</v>
      </c>
      <c r="C210" s="2941">
        <v>0.121</v>
      </c>
      <c r="D210" s="2941">
        <v>0.121</v>
      </c>
      <c r="E210" s="2941">
        <v>0.125</v>
      </c>
      <c r="F210" s="2941">
        <v>0.13</v>
      </c>
      <c r="G210" s="2942">
        <v>0.123</v>
      </c>
    </row>
    <row r="211" spans="1:7">
      <c r="A211" s="2951" t="s">
        <v>304</v>
      </c>
      <c r="B211" s="2940" t="s">
        <v>2926</v>
      </c>
      <c r="C211" s="2941">
        <v>0.123</v>
      </c>
      <c r="D211" s="2941">
        <v>0.123</v>
      </c>
      <c r="E211" s="2941">
        <v>0.127</v>
      </c>
      <c r="F211" s="2941">
        <v>0.115</v>
      </c>
      <c r="G211" s="2942">
        <v>0.126</v>
      </c>
    </row>
    <row r="212" spans="1:7">
      <c r="A212" s="2951" t="s">
        <v>304</v>
      </c>
      <c r="B212" s="2940" t="s">
        <v>285</v>
      </c>
      <c r="C212" s="2941">
        <v>0.126</v>
      </c>
      <c r="D212" s="2941">
        <v>0.126</v>
      </c>
      <c r="E212" s="2941">
        <v>0.13</v>
      </c>
      <c r="F212" s="2941">
        <v>0.13</v>
      </c>
      <c r="G212" s="2942">
        <v>0.129</v>
      </c>
    </row>
    <row r="213" spans="1:7">
      <c r="A213" s="2951" t="s">
        <v>304</v>
      </c>
      <c r="B213" s="2940" t="s">
        <v>288</v>
      </c>
      <c r="C213" s="2941">
        <v>0.129</v>
      </c>
      <c r="D213" s="2941">
        <v>0.13</v>
      </c>
      <c r="E213" s="2941">
        <v>0.127</v>
      </c>
      <c r="F213" s="2941">
        <v>0.13</v>
      </c>
      <c r="G213" s="2942">
        <v>0.13</v>
      </c>
    </row>
    <row r="214" spans="1:7">
      <c r="A214" s="2951" t="s">
        <v>304</v>
      </c>
      <c r="B214" s="2940" t="s">
        <v>2938</v>
      </c>
      <c r="C214" s="2941">
        <v>0.128</v>
      </c>
      <c r="D214" s="2941">
        <v>0.128</v>
      </c>
      <c r="E214" s="2941">
        <v>0.13</v>
      </c>
      <c r="F214" s="2941">
        <v>0.13</v>
      </c>
      <c r="G214" s="2942">
        <v>0.13</v>
      </c>
    </row>
    <row r="215" spans="1:7">
      <c r="A215" s="2951" t="s">
        <v>304</v>
      </c>
      <c r="B215" s="2940" t="s">
        <v>2942</v>
      </c>
      <c r="C215" s="2941">
        <v>0.13</v>
      </c>
      <c r="D215" s="2941">
        <v>0.13</v>
      </c>
      <c r="E215" s="2941">
        <v>0.13</v>
      </c>
      <c r="F215" s="2941">
        <v>0.129</v>
      </c>
      <c r="G215" s="2942">
        <v>0.13</v>
      </c>
    </row>
    <row r="216" spans="1:7">
      <c r="A216" s="2951" t="s">
        <v>304</v>
      </c>
      <c r="B216" s="2940" t="s">
        <v>2949</v>
      </c>
      <c r="C216" s="2941">
        <v>0.13</v>
      </c>
      <c r="D216" s="2941">
        <v>0.13</v>
      </c>
      <c r="E216" s="2941">
        <v>0.13</v>
      </c>
      <c r="F216" s="2941">
        <v>0.13</v>
      </c>
      <c r="G216" s="2942">
        <v>0.13</v>
      </c>
    </row>
    <row r="217" spans="1:7">
      <c r="A217" s="2951" t="s">
        <v>304</v>
      </c>
      <c r="B217" s="2940" t="s">
        <v>2956</v>
      </c>
      <c r="C217" s="2941">
        <v>0.129</v>
      </c>
      <c r="D217" s="2941">
        <v>0.129</v>
      </c>
      <c r="E217" s="2941">
        <v>0.13</v>
      </c>
      <c r="F217" s="2941">
        <v>0.13</v>
      </c>
      <c r="G217" s="2942">
        <v>0.13</v>
      </c>
    </row>
    <row r="218" spans="1:7">
      <c r="A218" s="2951" t="s">
        <v>304</v>
      </c>
      <c r="B218" s="2940" t="s">
        <v>2962</v>
      </c>
      <c r="C218" s="2952"/>
      <c r="D218" s="2952"/>
      <c r="E218" s="2952"/>
      <c r="F218" s="2941">
        <v>0.05</v>
      </c>
      <c r="G218" s="2958"/>
    </row>
    <row r="219" spans="1:7">
      <c r="A219" s="2951" t="s">
        <v>304</v>
      </c>
      <c r="B219" s="2940" t="s">
        <v>2969</v>
      </c>
      <c r="C219" s="2952"/>
      <c r="D219" s="2952"/>
      <c r="E219" s="2952"/>
      <c r="F219" s="2941">
        <v>0.05</v>
      </c>
      <c r="G219" s="2958"/>
    </row>
    <row r="220" spans="1:7">
      <c r="A220" s="2951" t="s">
        <v>304</v>
      </c>
      <c r="B220" s="2940" t="s">
        <v>2975</v>
      </c>
      <c r="C220" s="2952"/>
      <c r="D220" s="2952"/>
      <c r="E220" s="2952"/>
      <c r="F220" s="2941">
        <v>0.05</v>
      </c>
      <c r="G220" s="2958"/>
    </row>
    <row r="221" spans="1:7">
      <c r="A221" s="2951" t="s">
        <v>304</v>
      </c>
      <c r="B221" s="2940" t="s">
        <v>2980</v>
      </c>
      <c r="C221" s="2952"/>
      <c r="D221" s="2952"/>
      <c r="E221" s="2952"/>
      <c r="F221" s="2941">
        <v>0.05</v>
      </c>
      <c r="G221" s="2958"/>
    </row>
    <row r="222" spans="1:7">
      <c r="A222" s="2951" t="s">
        <v>304</v>
      </c>
      <c r="B222" s="2940" t="s">
        <v>2984</v>
      </c>
      <c r="C222" s="2952"/>
      <c r="D222" s="2952"/>
      <c r="E222" s="2952"/>
      <c r="F222" s="2941">
        <v>0.05</v>
      </c>
      <c r="G222" s="2958"/>
    </row>
    <row r="223" spans="1:7">
      <c r="A223" s="2951" t="s">
        <v>304</v>
      </c>
      <c r="B223" s="2940" t="s">
        <v>2989</v>
      </c>
      <c r="C223" s="2952"/>
      <c r="D223" s="2952"/>
      <c r="E223" s="2952"/>
      <c r="F223" s="2941">
        <v>0.05</v>
      </c>
      <c r="G223" s="2958"/>
    </row>
    <row r="224" spans="1:7">
      <c r="A224" s="2951" t="s">
        <v>304</v>
      </c>
      <c r="B224" s="2940" t="s">
        <v>2994</v>
      </c>
      <c r="C224" s="2952"/>
      <c r="D224" s="2952"/>
      <c r="E224" s="2952"/>
      <c r="F224" s="2941">
        <v>0.05</v>
      </c>
      <c r="G224" s="2958"/>
    </row>
    <row r="225" spans="1:7">
      <c r="A225" s="2951" t="s">
        <v>304</v>
      </c>
      <c r="B225" s="2940" t="s">
        <v>2999</v>
      </c>
      <c r="C225" s="2952"/>
      <c r="D225" s="2952"/>
      <c r="E225" s="2952"/>
      <c r="F225" s="2941">
        <v>0.05</v>
      </c>
      <c r="G225" s="2958"/>
    </row>
    <row r="226" spans="1:7">
      <c r="A226" s="2951" t="s">
        <v>304</v>
      </c>
      <c r="B226" s="2940" t="s">
        <v>3201</v>
      </c>
      <c r="C226" s="2952"/>
      <c r="D226" s="2952"/>
      <c r="E226" s="2952"/>
      <c r="F226" s="2941">
        <v>0.05</v>
      </c>
      <c r="G226" s="2958"/>
    </row>
    <row r="227" spans="1:7">
      <c r="A227" s="2951" t="s">
        <v>304</v>
      </c>
      <c r="B227" s="2940" t="s">
        <v>3202</v>
      </c>
      <c r="C227" s="2952"/>
      <c r="D227" s="2952"/>
      <c r="E227" s="2952"/>
      <c r="F227" s="2941">
        <v>0.05</v>
      </c>
      <c r="G227" s="2958"/>
    </row>
    <row r="228" spans="1:7">
      <c r="A228" s="2951" t="s">
        <v>304</v>
      </c>
      <c r="B228" s="2940" t="s">
        <v>3203</v>
      </c>
      <c r="C228" s="2952"/>
      <c r="D228" s="2952"/>
      <c r="E228" s="2952"/>
      <c r="F228" s="2941">
        <v>0.05</v>
      </c>
      <c r="G228" s="2958"/>
    </row>
    <row r="229" spans="1:7">
      <c r="A229" s="2951" t="s">
        <v>304</v>
      </c>
      <c r="B229" s="2940" t="s">
        <v>3204</v>
      </c>
      <c r="C229" s="2952"/>
      <c r="D229" s="2952"/>
      <c r="E229" s="2952"/>
      <c r="F229" s="2941">
        <v>0.05</v>
      </c>
      <c r="G229" s="2958"/>
    </row>
    <row r="230" spans="1:7">
      <c r="A230" s="2951" t="s">
        <v>304</v>
      </c>
      <c r="B230" s="2940" t="s">
        <v>3205</v>
      </c>
      <c r="C230" s="2952"/>
      <c r="D230" s="2952"/>
      <c r="E230" s="2952"/>
      <c r="F230" s="2941">
        <v>0.05</v>
      </c>
      <c r="G230" s="2958"/>
    </row>
    <row r="231" spans="1:7">
      <c r="A231" s="2951" t="s">
        <v>304</v>
      </c>
      <c r="B231" s="2940" t="s">
        <v>3206</v>
      </c>
      <c r="C231" s="2952"/>
      <c r="D231" s="2952"/>
      <c r="E231" s="2952"/>
      <c r="F231" s="2941">
        <v>0.05</v>
      </c>
      <c r="G231" s="2958"/>
    </row>
    <row r="232" spans="1:7">
      <c r="A232" s="2951" t="s">
        <v>304</v>
      </c>
      <c r="B232" s="2940" t="s">
        <v>3207</v>
      </c>
      <c r="C232" s="2952"/>
      <c r="D232" s="2952"/>
      <c r="E232" s="2952"/>
      <c r="F232" s="2941">
        <v>0.05</v>
      </c>
      <c r="G232" s="2958"/>
    </row>
    <row r="233" spans="1:7" ht="14.25" thickBot="1">
      <c r="A233" s="2954" t="s">
        <v>304</v>
      </c>
      <c r="B233" s="2944" t="s">
        <v>3208</v>
      </c>
      <c r="C233" s="2946"/>
      <c r="D233" s="2946"/>
      <c r="E233" s="2946"/>
      <c r="F233" s="2945">
        <v>0.05</v>
      </c>
      <c r="G233" s="2959"/>
    </row>
    <row r="234" spans="1:7">
      <c r="A234" s="2950" t="s">
        <v>305</v>
      </c>
      <c r="B234" s="2936" t="s">
        <v>2857</v>
      </c>
      <c r="C234" s="2937">
        <v>0.13</v>
      </c>
      <c r="D234" s="2937">
        <v>0.128</v>
      </c>
      <c r="E234" s="2937">
        <v>0.14199999999999999</v>
      </c>
      <c r="F234" s="2937">
        <v>0.14699999999999999</v>
      </c>
      <c r="G234" s="2938">
        <v>0.14000000000000001</v>
      </c>
    </row>
    <row r="235" spans="1:7">
      <c r="A235" s="2951" t="s">
        <v>305</v>
      </c>
      <c r="B235" s="2940" t="s">
        <v>134</v>
      </c>
      <c r="C235" s="2941">
        <v>0.13600000000000001</v>
      </c>
      <c r="D235" s="2941">
        <v>0.13800000000000001</v>
      </c>
      <c r="E235" s="2941">
        <v>0.14499999999999999</v>
      </c>
      <c r="F235" s="2941">
        <v>0.14299999999999999</v>
      </c>
      <c r="G235" s="2942">
        <v>0.14099999999999999</v>
      </c>
    </row>
    <row r="236" spans="1:7">
      <c r="A236" s="2951" t="s">
        <v>305</v>
      </c>
      <c r="B236" s="2940" t="s">
        <v>143</v>
      </c>
      <c r="C236" s="2941">
        <v>0.15</v>
      </c>
      <c r="D236" s="2941">
        <v>0.15</v>
      </c>
      <c r="E236" s="2941">
        <v>0.15</v>
      </c>
      <c r="F236" s="2941">
        <v>0.15</v>
      </c>
      <c r="G236" s="2942">
        <v>0.15</v>
      </c>
    </row>
    <row r="237" spans="1:7">
      <c r="A237" s="2951" t="s">
        <v>305</v>
      </c>
      <c r="B237" s="2940" t="s">
        <v>152</v>
      </c>
      <c r="C237" s="2941">
        <v>0.15</v>
      </c>
      <c r="D237" s="2941">
        <v>0.15</v>
      </c>
      <c r="E237" s="2941">
        <v>0.15</v>
      </c>
      <c r="F237" s="2941">
        <v>0.15</v>
      </c>
      <c r="G237" s="2942">
        <v>0.15</v>
      </c>
    </row>
    <row r="238" spans="1:7">
      <c r="A238" s="2951" t="s">
        <v>305</v>
      </c>
      <c r="B238" s="2940" t="s">
        <v>2877</v>
      </c>
      <c r="C238" s="2941">
        <v>0.14899999999999999</v>
      </c>
      <c r="D238" s="2941">
        <v>0.14899999999999999</v>
      </c>
      <c r="E238" s="2941">
        <v>0.15</v>
      </c>
      <c r="F238" s="2941">
        <v>0.15</v>
      </c>
      <c r="G238" s="2942">
        <v>0.15</v>
      </c>
    </row>
    <row r="239" spans="1:7">
      <c r="A239" s="2951" t="s">
        <v>305</v>
      </c>
      <c r="B239" s="2940" t="s">
        <v>2881</v>
      </c>
      <c r="C239" s="2941">
        <v>0.15</v>
      </c>
      <c r="D239" s="2941">
        <v>0.15</v>
      </c>
      <c r="E239" s="2941">
        <v>0.15</v>
      </c>
      <c r="F239" s="2941">
        <v>0.15</v>
      </c>
      <c r="G239" s="2942">
        <v>0.15</v>
      </c>
    </row>
    <row r="240" spans="1:7">
      <c r="A240" s="2951" t="s">
        <v>305</v>
      </c>
      <c r="B240" s="2940" t="s">
        <v>2886</v>
      </c>
      <c r="C240" s="2941">
        <v>0.15</v>
      </c>
      <c r="D240" s="2941">
        <v>0.15</v>
      </c>
      <c r="E240" s="2941">
        <v>0.15</v>
      </c>
      <c r="F240" s="2941">
        <v>0.15</v>
      </c>
      <c r="G240" s="2942">
        <v>0.15</v>
      </c>
    </row>
    <row r="241" spans="1:7">
      <c r="A241" s="2951" t="s">
        <v>305</v>
      </c>
      <c r="B241" s="2940" t="s">
        <v>2890</v>
      </c>
      <c r="C241" s="2941">
        <v>0.14099999999999999</v>
      </c>
      <c r="D241" s="2941">
        <v>0.14199999999999999</v>
      </c>
      <c r="E241" s="2941">
        <v>0.14899999999999999</v>
      </c>
      <c r="F241" s="2941">
        <v>0.15</v>
      </c>
      <c r="G241" s="2942">
        <v>0.14399999999999999</v>
      </c>
    </row>
    <row r="242" spans="1:7">
      <c r="A242" s="2951" t="s">
        <v>305</v>
      </c>
      <c r="B242" s="2940" t="s">
        <v>181</v>
      </c>
      <c r="C242" s="2941">
        <v>0.14099999999999999</v>
      </c>
      <c r="D242" s="2941">
        <v>0.14199999999999999</v>
      </c>
      <c r="E242" s="2941">
        <v>0.14799999999999999</v>
      </c>
      <c r="F242" s="2941">
        <v>0.127</v>
      </c>
      <c r="G242" s="2942">
        <v>0.14399999999999999</v>
      </c>
    </row>
    <row r="243" spans="1:7">
      <c r="A243" s="2951" t="s">
        <v>305</v>
      </c>
      <c r="B243" s="2940" t="s">
        <v>191</v>
      </c>
      <c r="C243" s="2941">
        <v>0.14699999999999999</v>
      </c>
      <c r="D243" s="2941">
        <v>0.14699999999999999</v>
      </c>
      <c r="E243" s="2941">
        <v>0.15</v>
      </c>
      <c r="F243" s="2941">
        <v>0.15</v>
      </c>
      <c r="G243" s="2942">
        <v>0.14899999999999999</v>
      </c>
    </row>
    <row r="244" spans="1:7">
      <c r="A244" s="2951" t="s">
        <v>305</v>
      </c>
      <c r="B244" s="2940" t="s">
        <v>2896</v>
      </c>
      <c r="C244" s="2941">
        <v>0.15</v>
      </c>
      <c r="D244" s="2941">
        <v>0.15</v>
      </c>
      <c r="E244" s="2941">
        <v>0.15</v>
      </c>
      <c r="F244" s="2941">
        <v>0.15</v>
      </c>
      <c r="G244" s="2942">
        <v>0.15</v>
      </c>
    </row>
    <row r="245" spans="1:7">
      <c r="A245" s="2951" t="s">
        <v>305</v>
      </c>
      <c r="B245" s="2940" t="s">
        <v>206</v>
      </c>
      <c r="C245" s="2941">
        <v>0.14199999999999999</v>
      </c>
      <c r="D245" s="2941">
        <v>0.14199999999999999</v>
      </c>
      <c r="E245" s="2941">
        <v>0.15</v>
      </c>
      <c r="F245" s="2941">
        <v>0.15</v>
      </c>
      <c r="G245" s="2942">
        <v>0.14499999999999999</v>
      </c>
    </row>
    <row r="246" spans="1:7">
      <c r="A246" s="2951" t="s">
        <v>305</v>
      </c>
      <c r="B246" s="2940" t="s">
        <v>213</v>
      </c>
      <c r="C246" s="2941">
        <v>0.14199999999999999</v>
      </c>
      <c r="D246" s="2941">
        <v>0.14299999999999999</v>
      </c>
      <c r="E246" s="2941">
        <v>0.15</v>
      </c>
      <c r="F246" s="2941">
        <v>0.14199999999999999</v>
      </c>
      <c r="G246" s="2942">
        <v>0.14399999999999999</v>
      </c>
    </row>
    <row r="247" spans="1:7">
      <c r="A247" s="2951" t="s">
        <v>305</v>
      </c>
      <c r="B247" s="2940" t="s">
        <v>2904</v>
      </c>
      <c r="C247" s="2941">
        <v>0.14899999999999999</v>
      </c>
      <c r="D247" s="2941">
        <v>0.14899999999999999</v>
      </c>
      <c r="E247" s="2941">
        <v>0.15</v>
      </c>
      <c r="F247" s="2941">
        <v>0.15</v>
      </c>
      <c r="G247" s="2942">
        <v>0.15</v>
      </c>
    </row>
    <row r="248" spans="1:7">
      <c r="A248" s="2951" t="s">
        <v>305</v>
      </c>
      <c r="B248" s="2940" t="s">
        <v>227</v>
      </c>
      <c r="C248" s="2941">
        <v>0.14399999999999999</v>
      </c>
      <c r="D248" s="2941">
        <v>0.14399999999999999</v>
      </c>
      <c r="E248" s="2941">
        <v>0.14899999999999999</v>
      </c>
      <c r="F248" s="2941">
        <v>0.14799999999999999</v>
      </c>
      <c r="G248" s="2942">
        <v>0.14599999999999999</v>
      </c>
    </row>
    <row r="249" spans="1:7">
      <c r="A249" s="2951" t="s">
        <v>305</v>
      </c>
      <c r="B249" s="2940" t="s">
        <v>2909</v>
      </c>
      <c r="C249" s="2941">
        <v>0.14000000000000001</v>
      </c>
      <c r="D249" s="2941">
        <v>0.14000000000000001</v>
      </c>
      <c r="E249" s="2941">
        <v>0.14699999999999999</v>
      </c>
      <c r="F249" s="2941">
        <v>0.14899999999999999</v>
      </c>
      <c r="G249" s="2942">
        <v>0.14199999999999999</v>
      </c>
    </row>
    <row r="250" spans="1:7">
      <c r="A250" s="2951" t="s">
        <v>305</v>
      </c>
      <c r="B250" s="2940" t="s">
        <v>241</v>
      </c>
      <c r="C250" s="2941">
        <v>0.14399999999999999</v>
      </c>
      <c r="D250" s="2941">
        <v>0.14299999999999999</v>
      </c>
      <c r="E250" s="2941">
        <v>0.14899999999999999</v>
      </c>
      <c r="F250" s="2941">
        <v>0.15</v>
      </c>
      <c r="G250" s="2942">
        <v>0.14599999999999999</v>
      </c>
    </row>
    <row r="251" spans="1:7">
      <c r="A251" s="2951" t="s">
        <v>305</v>
      </c>
      <c r="B251" s="2940" t="s">
        <v>249</v>
      </c>
      <c r="C251" s="2957"/>
      <c r="D251" s="2952"/>
      <c r="E251" s="2952"/>
      <c r="F251" s="2941">
        <v>0.1</v>
      </c>
      <c r="G251" s="2958"/>
    </row>
    <row r="252" spans="1:7">
      <c r="A252" s="2951" t="s">
        <v>305</v>
      </c>
      <c r="B252" s="2940" t="s">
        <v>2917</v>
      </c>
      <c r="C252" s="2941">
        <v>0.14399999999999999</v>
      </c>
      <c r="D252" s="2941">
        <v>0.14399999999999999</v>
      </c>
      <c r="E252" s="2941">
        <v>0.15</v>
      </c>
      <c r="F252" s="2941">
        <v>0.14899999999999999</v>
      </c>
      <c r="G252" s="2942">
        <v>0.14599999999999999</v>
      </c>
    </row>
    <row r="253" spans="1:7">
      <c r="A253" s="2951" t="s">
        <v>305</v>
      </c>
      <c r="B253" s="2940" t="s">
        <v>283</v>
      </c>
      <c r="C253" s="2941">
        <v>0.14199999999999999</v>
      </c>
      <c r="D253" s="2941">
        <v>0.14199999999999999</v>
      </c>
      <c r="E253" s="2941">
        <v>0.14599999999999999</v>
      </c>
      <c r="F253" s="2941">
        <v>0.14799999999999999</v>
      </c>
      <c r="G253" s="2942">
        <v>0.14499999999999999</v>
      </c>
    </row>
    <row r="254" spans="1:7">
      <c r="A254" s="2951" t="s">
        <v>305</v>
      </c>
      <c r="B254" s="2940" t="s">
        <v>286</v>
      </c>
      <c r="C254" s="2941">
        <v>0.15</v>
      </c>
      <c r="D254" s="2941">
        <v>0.15</v>
      </c>
      <c r="E254" s="2941">
        <v>0.15</v>
      </c>
      <c r="F254" s="2941">
        <v>0.15</v>
      </c>
      <c r="G254" s="2942">
        <v>0.15</v>
      </c>
    </row>
    <row r="255" spans="1:7">
      <c r="A255" s="2951" t="s">
        <v>305</v>
      </c>
      <c r="B255" s="2940" t="s">
        <v>289</v>
      </c>
      <c r="C255" s="2941">
        <v>0.14299999999999999</v>
      </c>
      <c r="D255" s="2941">
        <v>0.14299999999999999</v>
      </c>
      <c r="E255" s="2941">
        <v>0.15</v>
      </c>
      <c r="F255" s="2941">
        <v>0.15</v>
      </c>
      <c r="G255" s="2942">
        <v>0.14499999999999999</v>
      </c>
    </row>
    <row r="256" spans="1:7">
      <c r="A256" s="2951" t="s">
        <v>305</v>
      </c>
      <c r="B256" s="2940" t="s">
        <v>2930</v>
      </c>
      <c r="C256" s="2941">
        <v>0.15</v>
      </c>
      <c r="D256" s="2941">
        <v>0.15</v>
      </c>
      <c r="E256" s="2941">
        <v>0.15</v>
      </c>
      <c r="F256" s="2941">
        <v>0.14599999999999999</v>
      </c>
      <c r="G256" s="2942">
        <v>0.15</v>
      </c>
    </row>
    <row r="257" spans="1:7">
      <c r="A257" s="2951" t="s">
        <v>305</v>
      </c>
      <c r="B257" s="2940" t="s">
        <v>275</v>
      </c>
      <c r="C257" s="2941">
        <v>0.14199999999999999</v>
      </c>
      <c r="D257" s="2941">
        <v>0.14299999999999999</v>
      </c>
      <c r="E257" s="2941">
        <v>0.14799999999999999</v>
      </c>
      <c r="F257" s="2941">
        <v>0.15</v>
      </c>
      <c r="G257" s="2942">
        <v>0.14499999999999999</v>
      </c>
    </row>
    <row r="258" spans="1:7">
      <c r="A258" s="2951" t="s">
        <v>305</v>
      </c>
      <c r="B258" s="2940" t="s">
        <v>2939</v>
      </c>
      <c r="C258" s="2941">
        <v>0.14299999999999999</v>
      </c>
      <c r="D258" s="2941">
        <v>0.14299999999999999</v>
      </c>
      <c r="E258" s="2941">
        <v>0.15</v>
      </c>
      <c r="F258" s="2941">
        <v>0.14799999999999999</v>
      </c>
      <c r="G258" s="2942">
        <v>0.14599999999999999</v>
      </c>
    </row>
    <row r="259" spans="1:7">
      <c r="A259" s="2951" t="s">
        <v>305</v>
      </c>
      <c r="B259" s="2940" t="s">
        <v>2943</v>
      </c>
      <c r="C259" s="2941">
        <v>0.14399999999999999</v>
      </c>
      <c r="D259" s="2941">
        <v>0.14399999999999999</v>
      </c>
      <c r="E259" s="2941">
        <v>0.14899999999999999</v>
      </c>
      <c r="F259" s="2941">
        <v>0.14699999999999999</v>
      </c>
      <c r="G259" s="2942">
        <v>0.14599999999999999</v>
      </c>
    </row>
    <row r="260" spans="1:7">
      <c r="A260" s="2951" t="s">
        <v>305</v>
      </c>
      <c r="B260" s="2940" t="s">
        <v>2950</v>
      </c>
      <c r="C260" s="2941">
        <v>0.109</v>
      </c>
      <c r="D260" s="2941">
        <v>0.111</v>
      </c>
      <c r="E260" s="2941">
        <v>0.13100000000000001</v>
      </c>
      <c r="F260" s="2941">
        <v>0.126</v>
      </c>
      <c r="G260" s="2942">
        <v>0.11899999999999999</v>
      </c>
    </row>
    <row r="261" spans="1:7">
      <c r="A261" s="2951" t="s">
        <v>305</v>
      </c>
      <c r="B261" s="2940" t="s">
        <v>2957</v>
      </c>
      <c r="C261" s="2941">
        <v>0.1</v>
      </c>
      <c r="D261" s="2941">
        <v>0.1</v>
      </c>
      <c r="E261" s="2941">
        <v>0.11799999999999999</v>
      </c>
      <c r="F261" s="2941">
        <v>0.108</v>
      </c>
      <c r="G261" s="2942">
        <v>0.107</v>
      </c>
    </row>
    <row r="262" spans="1:7">
      <c r="A262" s="2951" t="s">
        <v>305</v>
      </c>
      <c r="B262" s="2940" t="s">
        <v>2963</v>
      </c>
      <c r="C262" s="2941">
        <v>0.1</v>
      </c>
      <c r="D262" s="2941">
        <v>0.1</v>
      </c>
      <c r="E262" s="2941">
        <v>0.1</v>
      </c>
      <c r="F262" s="2941">
        <v>0.14099999999999999</v>
      </c>
      <c r="G262" s="2942">
        <v>0.1</v>
      </c>
    </row>
    <row r="263" spans="1:7">
      <c r="A263" s="2951" t="s">
        <v>305</v>
      </c>
      <c r="B263" s="2940" t="s">
        <v>2970</v>
      </c>
      <c r="C263" s="2941">
        <v>0.14799999999999999</v>
      </c>
      <c r="D263" s="2941">
        <v>0.14799999999999999</v>
      </c>
      <c r="E263" s="2941">
        <v>0.15</v>
      </c>
      <c r="F263" s="2941">
        <v>0.14699999999999999</v>
      </c>
      <c r="G263" s="2942">
        <v>0.15</v>
      </c>
    </row>
    <row r="264" spans="1:7">
      <c r="A264" s="2951" t="s">
        <v>305</v>
      </c>
      <c r="B264" s="2940" t="s">
        <v>299</v>
      </c>
      <c r="C264" s="2941">
        <v>0.14299999999999999</v>
      </c>
      <c r="D264" s="2941">
        <v>0.14299999999999999</v>
      </c>
      <c r="E264" s="2941">
        <v>0.15</v>
      </c>
      <c r="F264" s="2941">
        <v>0.14899999999999999</v>
      </c>
      <c r="G264" s="2942">
        <v>0.14599999999999999</v>
      </c>
    </row>
    <row r="265" spans="1:7">
      <c r="A265" s="2951" t="s">
        <v>305</v>
      </c>
      <c r="B265" s="2940" t="s">
        <v>2981</v>
      </c>
      <c r="C265" s="2952"/>
      <c r="D265" s="2952"/>
      <c r="E265" s="2952"/>
      <c r="F265" s="2941">
        <v>0.05</v>
      </c>
      <c r="G265" s="2958"/>
    </row>
    <row r="266" spans="1:7">
      <c r="A266" s="2951" t="s">
        <v>305</v>
      </c>
      <c r="B266" s="2940" t="s">
        <v>2985</v>
      </c>
      <c r="C266" s="2952"/>
      <c r="D266" s="2952"/>
      <c r="E266" s="2952"/>
      <c r="F266" s="2941">
        <v>0.05</v>
      </c>
      <c r="G266" s="2958"/>
    </row>
    <row r="267" spans="1:7">
      <c r="A267" s="2951" t="s">
        <v>305</v>
      </c>
      <c r="B267" s="2940" t="s">
        <v>2990</v>
      </c>
      <c r="C267" s="2952"/>
      <c r="D267" s="2952"/>
      <c r="E267" s="2952"/>
      <c r="F267" s="2941">
        <v>0.05</v>
      </c>
      <c r="G267" s="2958"/>
    </row>
    <row r="268" spans="1:7">
      <c r="A268" s="2951" t="s">
        <v>305</v>
      </c>
      <c r="B268" s="2940" t="s">
        <v>2995</v>
      </c>
      <c r="C268" s="2952"/>
      <c r="D268" s="2952"/>
      <c r="E268" s="2952"/>
      <c r="F268" s="2941">
        <v>0.05</v>
      </c>
      <c r="G268" s="2958"/>
    </row>
    <row r="269" spans="1:7">
      <c r="A269" s="2951" t="s">
        <v>305</v>
      </c>
      <c r="B269" s="2940" t="s">
        <v>3000</v>
      </c>
      <c r="C269" s="2952"/>
      <c r="D269" s="2952"/>
      <c r="E269" s="2952"/>
      <c r="F269" s="2941">
        <v>0.05</v>
      </c>
      <c r="G269" s="2958"/>
    </row>
    <row r="270" spans="1:7">
      <c r="A270" s="2951" t="s">
        <v>305</v>
      </c>
      <c r="B270" s="2940" t="s">
        <v>3005</v>
      </c>
      <c r="C270" s="2952"/>
      <c r="D270" s="2952"/>
      <c r="E270" s="2952"/>
      <c r="F270" s="2941">
        <v>0.05</v>
      </c>
      <c r="G270" s="2958"/>
    </row>
    <row r="271" spans="1:7">
      <c r="A271" s="2951" t="s">
        <v>305</v>
      </c>
      <c r="B271" s="2940" t="s">
        <v>3209</v>
      </c>
      <c r="C271" s="2952"/>
      <c r="D271" s="2952"/>
      <c r="E271" s="2952"/>
      <c r="F271" s="2941">
        <v>0.05</v>
      </c>
      <c r="G271" s="2958"/>
    </row>
    <row r="272" spans="1:7">
      <c r="A272" s="2951" t="s">
        <v>305</v>
      </c>
      <c r="B272" s="2940" t="s">
        <v>3210</v>
      </c>
      <c r="C272" s="2952"/>
      <c r="D272" s="2952"/>
      <c r="E272" s="2952"/>
      <c r="F272" s="2941">
        <v>0.05</v>
      </c>
      <c r="G272" s="2958"/>
    </row>
    <row r="273" spans="1:7">
      <c r="A273" s="2951" t="s">
        <v>305</v>
      </c>
      <c r="B273" s="2940" t="s">
        <v>3211</v>
      </c>
      <c r="C273" s="2952"/>
      <c r="D273" s="2952"/>
      <c r="E273" s="2952"/>
      <c r="F273" s="2941">
        <v>0.05</v>
      </c>
      <c r="G273" s="2958"/>
    </row>
    <row r="274" spans="1:7">
      <c r="A274" s="2951" t="s">
        <v>305</v>
      </c>
      <c r="B274" s="2940" t="s">
        <v>3212</v>
      </c>
      <c r="C274" s="2952"/>
      <c r="D274" s="2952"/>
      <c r="E274" s="2952"/>
      <c r="F274" s="2941">
        <v>0.05</v>
      </c>
      <c r="G274" s="2958"/>
    </row>
    <row r="275" spans="1:7">
      <c r="A275" s="2951" t="s">
        <v>305</v>
      </c>
      <c r="B275" s="2940" t="s">
        <v>3213</v>
      </c>
      <c r="C275" s="2952"/>
      <c r="D275" s="2952"/>
      <c r="E275" s="2952"/>
      <c r="F275" s="2941">
        <v>0.05</v>
      </c>
      <c r="G275" s="2958"/>
    </row>
    <row r="276" spans="1:7" ht="14.25" thickBot="1">
      <c r="A276" s="2954" t="s">
        <v>305</v>
      </c>
      <c r="B276" s="2944" t="s">
        <v>3214</v>
      </c>
      <c r="C276" s="2946"/>
      <c r="D276" s="2946"/>
      <c r="E276" s="2946"/>
      <c r="F276" s="2945">
        <v>0.05</v>
      </c>
      <c r="G276" s="2959"/>
    </row>
    <row r="277" spans="1:7">
      <c r="A277" s="2950" t="s">
        <v>306</v>
      </c>
      <c r="B277" s="2936" t="s">
        <v>2858</v>
      </c>
      <c r="C277" s="2937">
        <v>0.15</v>
      </c>
      <c r="D277" s="2937">
        <v>0.15</v>
      </c>
      <c r="E277" s="2937">
        <v>0.15</v>
      </c>
      <c r="F277" s="2937">
        <v>0.15</v>
      </c>
      <c r="G277" s="2938">
        <v>0.15</v>
      </c>
    </row>
    <row r="278" spans="1:7">
      <c r="A278" s="2951" t="s">
        <v>306</v>
      </c>
      <c r="B278" s="2940" t="s">
        <v>135</v>
      </c>
      <c r="C278" s="2941">
        <v>0.15</v>
      </c>
      <c r="D278" s="2941">
        <v>0.15</v>
      </c>
      <c r="E278" s="2941">
        <v>0.15</v>
      </c>
      <c r="F278" s="2941">
        <v>0.15</v>
      </c>
      <c r="G278" s="2942">
        <v>0.15</v>
      </c>
    </row>
    <row r="279" spans="1:7">
      <c r="A279" s="2951" t="s">
        <v>306</v>
      </c>
      <c r="B279" s="2940" t="s">
        <v>2870</v>
      </c>
      <c r="C279" s="2941">
        <v>0.15</v>
      </c>
      <c r="D279" s="2941">
        <v>0.15</v>
      </c>
      <c r="E279" s="2941">
        <v>0.15</v>
      </c>
      <c r="F279" s="2941">
        <v>0.15</v>
      </c>
      <c r="G279" s="2942">
        <v>0.15</v>
      </c>
    </row>
    <row r="280" spans="1:7">
      <c r="A280" s="2951" t="s">
        <v>306</v>
      </c>
      <c r="B280" s="2940" t="s">
        <v>2874</v>
      </c>
      <c r="C280" s="2941">
        <v>0.15</v>
      </c>
      <c r="D280" s="2941">
        <v>0.15</v>
      </c>
      <c r="E280" s="2941">
        <v>0.15</v>
      </c>
      <c r="F280" s="2941">
        <v>0.15</v>
      </c>
      <c r="G280" s="2942">
        <v>0.15</v>
      </c>
    </row>
    <row r="281" spans="1:7">
      <c r="A281" s="2951" t="s">
        <v>306</v>
      </c>
      <c r="B281" s="2940" t="s">
        <v>2878</v>
      </c>
      <c r="C281" s="2941">
        <v>0.15</v>
      </c>
      <c r="D281" s="2941">
        <v>0.15</v>
      </c>
      <c r="E281" s="2941">
        <v>0.15</v>
      </c>
      <c r="F281" s="2941">
        <v>0.15</v>
      </c>
      <c r="G281" s="2942">
        <v>0.15</v>
      </c>
    </row>
    <row r="282" spans="1:7">
      <c r="A282" s="2951" t="s">
        <v>306</v>
      </c>
      <c r="B282" s="2940" t="s">
        <v>2882</v>
      </c>
      <c r="C282" s="2941">
        <v>0.15</v>
      </c>
      <c r="D282" s="2941">
        <v>0.15</v>
      </c>
      <c r="E282" s="2941">
        <v>0.15</v>
      </c>
      <c r="F282" s="2941">
        <v>0.14499999999999999</v>
      </c>
      <c r="G282" s="2942">
        <v>0.15</v>
      </c>
    </row>
    <row r="283" spans="1:7">
      <c r="A283" s="2951" t="s">
        <v>306</v>
      </c>
      <c r="B283" s="2940" t="s">
        <v>174</v>
      </c>
      <c r="C283" s="2941">
        <v>0.15</v>
      </c>
      <c r="D283" s="2941">
        <v>0.15</v>
      </c>
      <c r="E283" s="2941">
        <v>0.15</v>
      </c>
      <c r="F283" s="2941">
        <v>0.14199999999999999</v>
      </c>
      <c r="G283" s="2942">
        <v>0.15</v>
      </c>
    </row>
    <row r="284" spans="1:7">
      <c r="A284" s="2951" t="s">
        <v>306</v>
      </c>
      <c r="B284" s="2940" t="s">
        <v>182</v>
      </c>
      <c r="C284" s="2941">
        <v>0.15</v>
      </c>
      <c r="D284" s="2941">
        <v>0.15</v>
      </c>
      <c r="E284" s="2941">
        <v>0.15</v>
      </c>
      <c r="F284" s="2941">
        <v>0.15</v>
      </c>
      <c r="G284" s="2942">
        <v>0.15</v>
      </c>
    </row>
    <row r="285" spans="1:7">
      <c r="A285" s="2951" t="s">
        <v>306</v>
      </c>
      <c r="B285" s="2940" t="s">
        <v>192</v>
      </c>
      <c r="C285" s="2941">
        <v>0.15</v>
      </c>
      <c r="D285" s="2941">
        <v>0.15</v>
      </c>
      <c r="E285" s="2941">
        <v>0.15</v>
      </c>
      <c r="F285" s="2941">
        <v>0.15</v>
      </c>
      <c r="G285" s="2942">
        <v>0.15</v>
      </c>
    </row>
    <row r="286" spans="1:7">
      <c r="A286" s="2951" t="s">
        <v>306</v>
      </c>
      <c r="B286" s="2940" t="s">
        <v>199</v>
      </c>
      <c r="C286" s="2941">
        <v>0.14499999999999999</v>
      </c>
      <c r="D286" s="2941">
        <v>0.14499999999999999</v>
      </c>
      <c r="E286" s="2941">
        <v>0.15</v>
      </c>
      <c r="F286" s="2941">
        <v>0.14099999999999999</v>
      </c>
      <c r="G286" s="2942">
        <v>0.14499999999999999</v>
      </c>
    </row>
    <row r="287" spans="1:7">
      <c r="A287" s="2951" t="s">
        <v>306</v>
      </c>
      <c r="B287" s="2940" t="s">
        <v>2897</v>
      </c>
      <c r="C287" s="2941">
        <v>0.11</v>
      </c>
      <c r="D287" s="2941">
        <v>0.111</v>
      </c>
      <c r="E287" s="2941">
        <v>0.14099999999999999</v>
      </c>
      <c r="F287" s="2941">
        <v>0.11</v>
      </c>
      <c r="G287" s="2942">
        <v>0.12</v>
      </c>
    </row>
    <row r="288" spans="1:7">
      <c r="A288" s="2951" t="s">
        <v>306</v>
      </c>
      <c r="B288" s="2940" t="s">
        <v>219</v>
      </c>
      <c r="C288" s="2941">
        <v>0.14199999999999999</v>
      </c>
      <c r="D288" s="2941">
        <v>0.14299999999999999</v>
      </c>
      <c r="E288" s="2941">
        <v>0.15</v>
      </c>
      <c r="F288" s="2941">
        <v>0.14199999999999999</v>
      </c>
      <c r="G288" s="2942">
        <v>0.14399999999999999</v>
      </c>
    </row>
    <row r="289" spans="1:7">
      <c r="A289" s="2951" t="s">
        <v>306</v>
      </c>
      <c r="B289" s="2940" t="s">
        <v>2902</v>
      </c>
      <c r="C289" s="2941">
        <v>0.14299999999999999</v>
      </c>
      <c r="D289" s="2941">
        <v>0.14299999999999999</v>
      </c>
      <c r="E289" s="2941">
        <v>0.14799999999999999</v>
      </c>
      <c r="F289" s="2941">
        <v>0.14399999999999999</v>
      </c>
      <c r="G289" s="2942">
        <v>0.14399999999999999</v>
      </c>
    </row>
    <row r="290" spans="1:7">
      <c r="A290" s="2951" t="s">
        <v>306</v>
      </c>
      <c r="B290" s="2940" t="s">
        <v>242</v>
      </c>
      <c r="C290" s="2941">
        <v>0.14799999999999999</v>
      </c>
      <c r="D290" s="2941">
        <v>0.14899999999999999</v>
      </c>
      <c r="E290" s="2941">
        <v>0.15</v>
      </c>
      <c r="F290" s="2941">
        <v>0.127</v>
      </c>
      <c r="G290" s="2942">
        <v>0.15</v>
      </c>
    </row>
    <row r="291" spans="1:7">
      <c r="A291" s="2951" t="s">
        <v>306</v>
      </c>
      <c r="B291" s="2940" t="s">
        <v>250</v>
      </c>
      <c r="C291" s="2941">
        <v>0.15</v>
      </c>
      <c r="D291" s="2941">
        <v>0.15</v>
      </c>
      <c r="E291" s="2941">
        <v>0.15</v>
      </c>
      <c r="F291" s="2941">
        <v>0.14899999999999999</v>
      </c>
      <c r="G291" s="2942">
        <v>0.15</v>
      </c>
    </row>
    <row r="292" spans="1:7">
      <c r="A292" s="2951" t="s">
        <v>306</v>
      </c>
      <c r="B292" s="2940" t="s">
        <v>256</v>
      </c>
      <c r="C292" s="2941">
        <v>0.15</v>
      </c>
      <c r="D292" s="2941">
        <v>0.15</v>
      </c>
      <c r="E292" s="2941">
        <v>0.15</v>
      </c>
      <c r="F292" s="2941">
        <v>0.14399999999999999</v>
      </c>
      <c r="G292" s="2942">
        <v>0.15</v>
      </c>
    </row>
    <row r="293" spans="1:7">
      <c r="A293" s="2951" t="s">
        <v>306</v>
      </c>
      <c r="B293" s="2940" t="s">
        <v>2912</v>
      </c>
      <c r="C293" s="2941">
        <v>0.15</v>
      </c>
      <c r="D293" s="2941">
        <v>0.15</v>
      </c>
      <c r="E293" s="2941">
        <v>0.15</v>
      </c>
      <c r="F293" s="2941">
        <v>0.14499999999999999</v>
      </c>
      <c r="G293" s="2942">
        <v>0.15</v>
      </c>
    </row>
    <row r="294" spans="1:7">
      <c r="A294" s="2951" t="s">
        <v>306</v>
      </c>
      <c r="B294" s="2940" t="s">
        <v>2914</v>
      </c>
      <c r="C294" s="2941">
        <v>0.15</v>
      </c>
      <c r="D294" s="2941">
        <v>0.15</v>
      </c>
      <c r="E294" s="2941">
        <v>0.15</v>
      </c>
      <c r="F294" s="2941">
        <v>0.14899999999999999</v>
      </c>
      <c r="G294" s="2942">
        <v>0.15</v>
      </c>
    </row>
    <row r="295" spans="1:7">
      <c r="A295" s="2951" t="s">
        <v>306</v>
      </c>
      <c r="B295" s="2940" t="s">
        <v>290</v>
      </c>
      <c r="C295" s="2941">
        <v>0.15</v>
      </c>
      <c r="D295" s="2941">
        <v>0.15</v>
      </c>
      <c r="E295" s="2941">
        <v>0.15</v>
      </c>
      <c r="F295" s="2941">
        <v>0.14799999999999999</v>
      </c>
      <c r="G295" s="2942">
        <v>0.15</v>
      </c>
    </row>
    <row r="296" spans="1:7">
      <c r="A296" s="2951" t="s">
        <v>306</v>
      </c>
      <c r="B296" s="2940" t="s">
        <v>293</v>
      </c>
      <c r="C296" s="2941">
        <v>0.15</v>
      </c>
      <c r="D296" s="2941">
        <v>0.15</v>
      </c>
      <c r="E296" s="2941">
        <v>0.15</v>
      </c>
      <c r="F296" s="2941">
        <v>0.14399999999999999</v>
      </c>
      <c r="G296" s="2942">
        <v>0.15</v>
      </c>
    </row>
    <row r="297" spans="1:7">
      <c r="A297" s="2951" t="s">
        <v>306</v>
      </c>
      <c r="B297" s="2940" t="s">
        <v>295</v>
      </c>
      <c r="C297" s="2941">
        <v>0.15</v>
      </c>
      <c r="D297" s="2941">
        <v>0.15</v>
      </c>
      <c r="E297" s="2941">
        <v>0.15</v>
      </c>
      <c r="F297" s="2941">
        <v>0.14499999999999999</v>
      </c>
      <c r="G297" s="2942">
        <v>0.15</v>
      </c>
    </row>
    <row r="298" spans="1:7">
      <c r="A298" s="2951" t="s">
        <v>306</v>
      </c>
      <c r="B298" s="2940" t="s">
        <v>298</v>
      </c>
      <c r="C298" s="2941">
        <v>0.15</v>
      </c>
      <c r="D298" s="2941">
        <v>0.15</v>
      </c>
      <c r="E298" s="2941">
        <v>0.15</v>
      </c>
      <c r="F298" s="2941">
        <v>0.15</v>
      </c>
      <c r="G298" s="2942">
        <v>0.15</v>
      </c>
    </row>
    <row r="299" spans="1:7">
      <c r="A299" s="2951" t="s">
        <v>306</v>
      </c>
      <c r="B299" s="2960" t="s">
        <v>2931</v>
      </c>
      <c r="C299" s="2941">
        <v>0.15</v>
      </c>
      <c r="D299" s="2941">
        <v>0.15</v>
      </c>
      <c r="E299" s="2941">
        <v>0.15</v>
      </c>
      <c r="F299" s="2941">
        <v>0.14499999999999999</v>
      </c>
      <c r="G299" s="2942">
        <v>0.15</v>
      </c>
    </row>
    <row r="300" spans="1:7">
      <c r="A300" s="2951" t="s">
        <v>306</v>
      </c>
      <c r="B300" s="2960" t="s">
        <v>271</v>
      </c>
      <c r="C300" s="2941">
        <v>0.15</v>
      </c>
      <c r="D300" s="2941">
        <v>0.15</v>
      </c>
      <c r="E300" s="2941">
        <v>0.15</v>
      </c>
      <c r="F300" s="2941">
        <v>0.14599999999999999</v>
      </c>
      <c r="G300" s="2942">
        <v>0.15</v>
      </c>
    </row>
    <row r="301" spans="1:7">
      <c r="A301" s="2951" t="s">
        <v>306</v>
      </c>
      <c r="B301" s="2960" t="s">
        <v>276</v>
      </c>
      <c r="C301" s="2941">
        <v>0.126</v>
      </c>
      <c r="D301" s="2941">
        <v>0.124</v>
      </c>
      <c r="E301" s="2941">
        <v>0.14099999999999999</v>
      </c>
      <c r="F301" s="2941">
        <v>0.14399999999999999</v>
      </c>
      <c r="G301" s="2942">
        <v>0.13</v>
      </c>
    </row>
    <row r="302" spans="1:7">
      <c r="A302" s="2951" t="s">
        <v>306</v>
      </c>
      <c r="B302" s="2940" t="s">
        <v>2944</v>
      </c>
      <c r="C302" s="2941">
        <v>0.15</v>
      </c>
      <c r="D302" s="2941">
        <v>0.15</v>
      </c>
      <c r="E302" s="2941">
        <v>0.15</v>
      </c>
      <c r="F302" s="2941">
        <v>0.14699999999999999</v>
      </c>
      <c r="G302" s="2942">
        <v>0.15</v>
      </c>
    </row>
    <row r="303" spans="1:7">
      <c r="A303" s="2951" t="s">
        <v>306</v>
      </c>
      <c r="B303" s="2940" t="s">
        <v>2951</v>
      </c>
      <c r="C303" s="2941">
        <v>0.15</v>
      </c>
      <c r="D303" s="2941">
        <v>0.15</v>
      </c>
      <c r="E303" s="2941">
        <v>0.15</v>
      </c>
      <c r="F303" s="2941">
        <v>0.14199999999999999</v>
      </c>
      <c r="G303" s="2942">
        <v>0.15</v>
      </c>
    </row>
    <row r="304" spans="1:7">
      <c r="A304" s="2951" t="s">
        <v>306</v>
      </c>
      <c r="B304" s="2940" t="s">
        <v>2958</v>
      </c>
      <c r="C304" s="2941">
        <v>0.15</v>
      </c>
      <c r="D304" s="2941">
        <v>0.15</v>
      </c>
      <c r="E304" s="2941">
        <v>0.15</v>
      </c>
      <c r="F304" s="2941">
        <v>0.14499999999999999</v>
      </c>
      <c r="G304" s="2942">
        <v>0.15</v>
      </c>
    </row>
    <row r="305" spans="1:7">
      <c r="A305" s="2951" t="s">
        <v>306</v>
      </c>
      <c r="B305" s="2940" t="s">
        <v>2964</v>
      </c>
      <c r="C305" s="2941">
        <v>0.15</v>
      </c>
      <c r="D305" s="2941">
        <v>0.15</v>
      </c>
      <c r="E305" s="2941">
        <v>0.15</v>
      </c>
      <c r="F305" s="2941">
        <v>0.111</v>
      </c>
      <c r="G305" s="2942">
        <v>0.15</v>
      </c>
    </row>
    <row r="306" spans="1:7">
      <c r="A306" s="2951" t="s">
        <v>306</v>
      </c>
      <c r="B306" s="2940" t="s">
        <v>2971</v>
      </c>
      <c r="C306" s="2941">
        <v>0.15</v>
      </c>
      <c r="D306" s="2941">
        <v>0.15</v>
      </c>
      <c r="E306" s="2941">
        <v>0.15</v>
      </c>
      <c r="F306" s="2941">
        <v>0.126</v>
      </c>
      <c r="G306" s="2942">
        <v>0.15</v>
      </c>
    </row>
    <row r="307" spans="1:7">
      <c r="A307" s="2951" t="s">
        <v>306</v>
      </c>
      <c r="B307" s="2940" t="s">
        <v>2976</v>
      </c>
      <c r="C307" s="2941">
        <v>0.15</v>
      </c>
      <c r="D307" s="2941">
        <v>0.15</v>
      </c>
      <c r="E307" s="2941">
        <v>0.15</v>
      </c>
      <c r="F307" s="2941">
        <v>0.12</v>
      </c>
      <c r="G307" s="2942">
        <v>0.15</v>
      </c>
    </row>
    <row r="308" spans="1:7">
      <c r="A308" s="2951" t="s">
        <v>306</v>
      </c>
      <c r="B308" s="2940" t="s">
        <v>2982</v>
      </c>
      <c r="C308" s="2941">
        <v>0.15</v>
      </c>
      <c r="D308" s="2941">
        <v>0.15</v>
      </c>
      <c r="E308" s="2941">
        <v>0.15</v>
      </c>
      <c r="F308" s="2941">
        <v>0.13</v>
      </c>
      <c r="G308" s="2942">
        <v>0.15</v>
      </c>
    </row>
    <row r="309" spans="1:7">
      <c r="A309" s="2951" t="s">
        <v>306</v>
      </c>
      <c r="B309" s="2940" t="s">
        <v>2986</v>
      </c>
      <c r="C309" s="2941">
        <v>0.15</v>
      </c>
      <c r="D309" s="2941">
        <v>0.15</v>
      </c>
      <c r="E309" s="2941">
        <v>0.15</v>
      </c>
      <c r="F309" s="2941">
        <v>0.14099999999999999</v>
      </c>
      <c r="G309" s="2942">
        <v>0.15</v>
      </c>
    </row>
    <row r="310" spans="1:7">
      <c r="A310" s="2951" t="s">
        <v>306</v>
      </c>
      <c r="B310" s="2940" t="s">
        <v>2991</v>
      </c>
      <c r="C310" s="2941">
        <v>0.15</v>
      </c>
      <c r="D310" s="2941">
        <v>0.15</v>
      </c>
      <c r="E310" s="2941">
        <v>0.15</v>
      </c>
      <c r="F310" s="2941">
        <v>0.15</v>
      </c>
      <c r="G310" s="2942">
        <v>0.15</v>
      </c>
    </row>
    <row r="311" spans="1:7">
      <c r="A311" s="2951" t="s">
        <v>306</v>
      </c>
      <c r="B311" s="2940" t="s">
        <v>2996</v>
      </c>
      <c r="C311" s="2941">
        <v>0.13200000000000001</v>
      </c>
      <c r="D311" s="2941">
        <v>0.13300000000000001</v>
      </c>
      <c r="E311" s="2941">
        <v>0.14499999999999999</v>
      </c>
      <c r="F311" s="2941">
        <v>0.14199999999999999</v>
      </c>
      <c r="G311" s="2942">
        <v>0.14000000000000001</v>
      </c>
    </row>
    <row r="312" spans="1:7">
      <c r="A312" s="2951" t="s">
        <v>306</v>
      </c>
      <c r="B312" s="2940" t="s">
        <v>3001</v>
      </c>
      <c r="C312" s="2941">
        <v>0.13800000000000001</v>
      </c>
      <c r="D312" s="2941">
        <v>0.14000000000000001</v>
      </c>
      <c r="E312" s="2941">
        <v>0.14599999999999999</v>
      </c>
      <c r="F312" s="2941">
        <v>0.14899999999999999</v>
      </c>
      <c r="G312" s="2942">
        <v>0.14199999999999999</v>
      </c>
    </row>
    <row r="313" spans="1:7">
      <c r="A313" s="2951" t="s">
        <v>306</v>
      </c>
      <c r="B313" s="2940" t="s">
        <v>3006</v>
      </c>
      <c r="C313" s="2941">
        <v>0.125</v>
      </c>
      <c r="D313" s="2941">
        <v>0.127</v>
      </c>
      <c r="E313" s="2941">
        <v>0.14399999999999999</v>
      </c>
      <c r="F313" s="2941">
        <v>0.115</v>
      </c>
      <c r="G313" s="2942">
        <v>0.13600000000000001</v>
      </c>
    </row>
    <row r="314" spans="1:7">
      <c r="A314" s="2951" t="s">
        <v>306</v>
      </c>
      <c r="B314" s="2940" t="s">
        <v>3215</v>
      </c>
      <c r="C314" s="2957"/>
      <c r="D314" s="2957"/>
      <c r="E314" s="2957"/>
      <c r="F314" s="2941">
        <v>0.05</v>
      </c>
      <c r="G314" s="2958"/>
    </row>
    <row r="315" spans="1:7">
      <c r="A315" s="2951" t="s">
        <v>306</v>
      </c>
      <c r="B315" s="2940" t="s">
        <v>3216</v>
      </c>
      <c r="C315" s="2957"/>
      <c r="D315" s="2957"/>
      <c r="E315" s="2957"/>
      <c r="F315" s="2941">
        <v>0.05</v>
      </c>
      <c r="G315" s="2958"/>
    </row>
    <row r="316" spans="1:7">
      <c r="A316" s="2951" t="s">
        <v>306</v>
      </c>
      <c r="B316" s="2940" t="s">
        <v>3217</v>
      </c>
      <c r="C316" s="2952"/>
      <c r="D316" s="2952"/>
      <c r="E316" s="2952"/>
      <c r="F316" s="2941">
        <v>0.05</v>
      </c>
      <c r="G316" s="2958"/>
    </row>
    <row r="317" spans="1:7">
      <c r="A317" s="2951" t="s">
        <v>306</v>
      </c>
      <c r="B317" s="2940" t="s">
        <v>3218</v>
      </c>
      <c r="C317" s="2952"/>
      <c r="D317" s="2952"/>
      <c r="E317" s="2952"/>
      <c r="F317" s="2941">
        <v>0.05</v>
      </c>
      <c r="G317" s="2958"/>
    </row>
    <row r="318" spans="1:7">
      <c r="A318" s="2951" t="s">
        <v>306</v>
      </c>
      <c r="B318" s="2940" t="s">
        <v>3219</v>
      </c>
      <c r="C318" s="2952"/>
      <c r="D318" s="2952"/>
      <c r="E318" s="2952"/>
      <c r="F318" s="2941">
        <v>0.05</v>
      </c>
      <c r="G318" s="2958"/>
    </row>
    <row r="319" spans="1:7">
      <c r="A319" s="2951" t="s">
        <v>306</v>
      </c>
      <c r="B319" s="2940" t="s">
        <v>3220</v>
      </c>
      <c r="C319" s="2952"/>
      <c r="D319" s="2952"/>
      <c r="E319" s="2952"/>
      <c r="F319" s="2941">
        <v>0.05</v>
      </c>
      <c r="G319" s="2958"/>
    </row>
    <row r="320" spans="1:7">
      <c r="A320" s="2951" t="s">
        <v>306</v>
      </c>
      <c r="B320" s="2940" t="s">
        <v>3221</v>
      </c>
      <c r="C320" s="2952"/>
      <c r="D320" s="2952"/>
      <c r="E320" s="2952"/>
      <c r="F320" s="2941">
        <v>0.05</v>
      </c>
      <c r="G320" s="2958"/>
    </row>
    <row r="321" spans="1:7">
      <c r="A321" s="2951" t="s">
        <v>306</v>
      </c>
      <c r="B321" s="2940" t="s">
        <v>3222</v>
      </c>
      <c r="C321" s="2952"/>
      <c r="D321" s="2952"/>
      <c r="E321" s="2952"/>
      <c r="F321" s="2941">
        <v>0.05</v>
      </c>
      <c r="G321" s="2958"/>
    </row>
    <row r="322" spans="1:7">
      <c r="A322" s="2951" t="s">
        <v>306</v>
      </c>
      <c r="B322" s="2940" t="s">
        <v>3223</v>
      </c>
      <c r="C322" s="2952"/>
      <c r="D322" s="2952"/>
      <c r="E322" s="2952"/>
      <c r="F322" s="2941">
        <v>0.05</v>
      </c>
      <c r="G322" s="2958"/>
    </row>
    <row r="323" spans="1:7">
      <c r="A323" s="2951" t="s">
        <v>306</v>
      </c>
      <c r="B323" s="2940" t="s">
        <v>3224</v>
      </c>
      <c r="C323" s="2952"/>
      <c r="D323" s="2952"/>
      <c r="E323" s="2952"/>
      <c r="F323" s="2941">
        <v>0.05</v>
      </c>
      <c r="G323" s="2958"/>
    </row>
    <row r="324" spans="1:7">
      <c r="A324" s="2951" t="s">
        <v>306</v>
      </c>
      <c r="B324" s="2940" t="s">
        <v>3225</v>
      </c>
      <c r="C324" s="2952"/>
      <c r="D324" s="2952"/>
      <c r="E324" s="2952"/>
      <c r="F324" s="2941">
        <v>0.05</v>
      </c>
      <c r="G324" s="2958"/>
    </row>
    <row r="325" spans="1:7">
      <c r="A325" s="2951" t="s">
        <v>306</v>
      </c>
      <c r="B325" s="2940" t="s">
        <v>3226</v>
      </c>
      <c r="C325" s="2952"/>
      <c r="D325" s="2952"/>
      <c r="E325" s="2952"/>
      <c r="F325" s="2941">
        <v>0.05</v>
      </c>
      <c r="G325" s="2958"/>
    </row>
    <row r="326" spans="1:7" ht="14.25" thickBot="1">
      <c r="A326" s="2954" t="s">
        <v>306</v>
      </c>
      <c r="B326" s="2944" t="s">
        <v>3227</v>
      </c>
      <c r="C326" s="2946"/>
      <c r="D326" s="2946"/>
      <c r="E326" s="2946"/>
      <c r="F326" s="2945">
        <v>0.05</v>
      </c>
      <c r="G326" s="2959"/>
    </row>
    <row r="327" spans="1:7">
      <c r="A327" s="2950" t="s">
        <v>307</v>
      </c>
      <c r="B327" s="2936" t="s">
        <v>2859</v>
      </c>
      <c r="C327" s="2937">
        <v>0.15</v>
      </c>
      <c r="D327" s="2937">
        <v>0.15</v>
      </c>
      <c r="E327" s="2937">
        <v>0.15</v>
      </c>
      <c r="F327" s="2937">
        <v>0.15</v>
      </c>
      <c r="G327" s="2938">
        <v>0.15</v>
      </c>
    </row>
    <row r="328" spans="1:7">
      <c r="A328" s="2951" t="s">
        <v>307</v>
      </c>
      <c r="B328" s="2940" t="s">
        <v>136</v>
      </c>
      <c r="C328" s="2941">
        <v>0.15</v>
      </c>
      <c r="D328" s="2941">
        <v>0.15</v>
      </c>
      <c r="E328" s="2941">
        <v>0.15</v>
      </c>
      <c r="F328" s="2941">
        <v>0.126</v>
      </c>
      <c r="G328" s="2942">
        <v>0.15</v>
      </c>
    </row>
    <row r="329" spans="1:7">
      <c r="A329" s="2951" t="s">
        <v>307</v>
      </c>
      <c r="B329" s="2940" t="s">
        <v>2871</v>
      </c>
      <c r="C329" s="2941">
        <v>0.15</v>
      </c>
      <c r="D329" s="2941">
        <v>0.15</v>
      </c>
      <c r="E329" s="2941">
        <v>0.15</v>
      </c>
      <c r="F329" s="2941">
        <v>0.15</v>
      </c>
      <c r="G329" s="2942">
        <v>0.15</v>
      </c>
    </row>
    <row r="330" spans="1:7">
      <c r="A330" s="2951" t="s">
        <v>307</v>
      </c>
      <c r="B330" s="2940" t="s">
        <v>2875</v>
      </c>
      <c r="C330" s="2941">
        <v>0.15</v>
      </c>
      <c r="D330" s="2941">
        <v>0.15</v>
      </c>
      <c r="E330" s="2941">
        <v>0.15</v>
      </c>
      <c r="F330" s="2941">
        <v>0.15</v>
      </c>
      <c r="G330" s="2942">
        <v>0.15</v>
      </c>
    </row>
    <row r="331" spans="1:7">
      <c r="A331" s="2951" t="s">
        <v>307</v>
      </c>
      <c r="B331" s="2940" t="s">
        <v>161</v>
      </c>
      <c r="C331" s="2941">
        <v>0.15</v>
      </c>
      <c r="D331" s="2941">
        <v>0.15</v>
      </c>
      <c r="E331" s="2941">
        <v>0.15</v>
      </c>
      <c r="F331" s="2941">
        <v>0.15</v>
      </c>
      <c r="G331" s="2942">
        <v>0.15</v>
      </c>
    </row>
    <row r="332" spans="1:7">
      <c r="A332" s="2951" t="s">
        <v>307</v>
      </c>
      <c r="B332" s="2940" t="s">
        <v>2883</v>
      </c>
      <c r="C332" s="2941">
        <v>0.15</v>
      </c>
      <c r="D332" s="2941">
        <v>0.15</v>
      </c>
      <c r="E332" s="2941">
        <v>0.15</v>
      </c>
      <c r="F332" s="2941">
        <v>0.15</v>
      </c>
      <c r="G332" s="2942">
        <v>0.15</v>
      </c>
    </row>
    <row r="333" spans="1:7">
      <c r="A333" s="2951" t="s">
        <v>307</v>
      </c>
      <c r="B333" s="2940" t="s">
        <v>2887</v>
      </c>
      <c r="C333" s="2941">
        <v>0.14899999999999999</v>
      </c>
      <c r="D333" s="2941">
        <v>0.14899999999999999</v>
      </c>
      <c r="E333" s="2941">
        <v>0.15</v>
      </c>
      <c r="F333" s="2941">
        <v>0.11600000000000001</v>
      </c>
      <c r="G333" s="2942">
        <v>0.15</v>
      </c>
    </row>
    <row r="334" spans="1:7">
      <c r="A334" s="2951" t="s">
        <v>307</v>
      </c>
      <c r="B334" s="2940" t="s">
        <v>183</v>
      </c>
      <c r="C334" s="2941">
        <v>0.15</v>
      </c>
      <c r="D334" s="2941">
        <v>0.15</v>
      </c>
      <c r="E334" s="2941">
        <v>0.15</v>
      </c>
      <c r="F334" s="2941">
        <v>0.13</v>
      </c>
      <c r="G334" s="2942">
        <v>0.15</v>
      </c>
    </row>
    <row r="335" spans="1:7">
      <c r="A335" s="2951" t="s">
        <v>307</v>
      </c>
      <c r="B335" s="2940" t="s">
        <v>193</v>
      </c>
      <c r="C335" s="2941">
        <v>0.15</v>
      </c>
      <c r="D335" s="2941">
        <v>0.15</v>
      </c>
      <c r="E335" s="2941">
        <v>0.15</v>
      </c>
      <c r="F335" s="2941">
        <v>0.14399999999999999</v>
      </c>
      <c r="G335" s="2942">
        <v>0.15</v>
      </c>
    </row>
    <row r="336" spans="1:7">
      <c r="A336" s="2951" t="s">
        <v>307</v>
      </c>
      <c r="B336" s="2940" t="s">
        <v>2893</v>
      </c>
      <c r="C336" s="2941">
        <v>0.15</v>
      </c>
      <c r="D336" s="2941">
        <v>0.15</v>
      </c>
      <c r="E336" s="2941">
        <v>0.15</v>
      </c>
      <c r="F336" s="2941">
        <v>0.14199999999999999</v>
      </c>
      <c r="G336" s="2942">
        <v>0.15</v>
      </c>
    </row>
    <row r="337" spans="1:7">
      <c r="A337" s="2951" t="s">
        <v>307</v>
      </c>
      <c r="B337" s="2940" t="s">
        <v>2898</v>
      </c>
      <c r="C337" s="2941">
        <v>0.15</v>
      </c>
      <c r="D337" s="2941">
        <v>0.15</v>
      </c>
      <c r="E337" s="2941">
        <v>0.15</v>
      </c>
      <c r="F337" s="2941">
        <v>0.14499999999999999</v>
      </c>
      <c r="G337" s="2942">
        <v>0.15</v>
      </c>
    </row>
    <row r="338" spans="1:7">
      <c r="A338" s="2951" t="s">
        <v>307</v>
      </c>
      <c r="B338" s="2940" t="s">
        <v>220</v>
      </c>
      <c r="C338" s="2941">
        <v>0.15</v>
      </c>
      <c r="D338" s="2941">
        <v>0.15</v>
      </c>
      <c r="E338" s="2941">
        <v>0.15</v>
      </c>
      <c r="F338" s="2941">
        <v>0.15</v>
      </c>
      <c r="G338" s="2942">
        <v>0.15</v>
      </c>
    </row>
    <row r="339" spans="1:7">
      <c r="A339" s="2951" t="s">
        <v>307</v>
      </c>
      <c r="B339" s="2940" t="s">
        <v>228</v>
      </c>
      <c r="C339" s="2941">
        <v>0.15</v>
      </c>
      <c r="D339" s="2941">
        <v>0.15</v>
      </c>
      <c r="E339" s="2941">
        <v>0.15</v>
      </c>
      <c r="F339" s="2941">
        <v>0.14699999999999999</v>
      </c>
      <c r="G339" s="2942">
        <v>0.15</v>
      </c>
    </row>
    <row r="340" spans="1:7">
      <c r="A340" s="2951" t="s">
        <v>307</v>
      </c>
      <c r="B340" s="2940" t="s">
        <v>2905</v>
      </c>
      <c r="C340" s="2941">
        <v>0.14599999999999999</v>
      </c>
      <c r="D340" s="2941">
        <v>0.14599999999999999</v>
      </c>
      <c r="E340" s="2941">
        <v>0.15</v>
      </c>
      <c r="F340" s="2941">
        <v>0.14099999999999999</v>
      </c>
      <c r="G340" s="2942">
        <v>0.14699999999999999</v>
      </c>
    </row>
    <row r="341" spans="1:7">
      <c r="A341" s="2951" t="s">
        <v>307</v>
      </c>
      <c r="B341" s="2940" t="s">
        <v>207</v>
      </c>
      <c r="C341" s="2941">
        <v>0.126</v>
      </c>
      <c r="D341" s="2941">
        <v>0.124</v>
      </c>
      <c r="E341" s="2941">
        <v>0.14099999999999999</v>
      </c>
      <c r="F341" s="2941">
        <v>0.14399999999999999</v>
      </c>
      <c r="G341" s="2942">
        <v>0.13</v>
      </c>
    </row>
    <row r="342" spans="1:7">
      <c r="A342" s="2951" t="s">
        <v>307</v>
      </c>
      <c r="B342" s="2940" t="s">
        <v>2910</v>
      </c>
      <c r="C342" s="2941">
        <v>0.15</v>
      </c>
      <c r="D342" s="2941">
        <v>0.15</v>
      </c>
      <c r="E342" s="2941">
        <v>0.15</v>
      </c>
      <c r="F342" s="2941">
        <v>0.14399999999999999</v>
      </c>
      <c r="G342" s="2942">
        <v>0.15</v>
      </c>
    </row>
    <row r="343" spans="1:7">
      <c r="A343" s="2951" t="s">
        <v>307</v>
      </c>
      <c r="B343" s="2940" t="s">
        <v>257</v>
      </c>
      <c r="C343" s="2941">
        <v>0.15</v>
      </c>
      <c r="D343" s="2941">
        <v>0.15</v>
      </c>
      <c r="E343" s="2941">
        <v>0.15</v>
      </c>
      <c r="F343" s="2941">
        <v>0.128</v>
      </c>
      <c r="G343" s="2942">
        <v>0.15</v>
      </c>
    </row>
    <row r="344" spans="1:7">
      <c r="A344" s="2951" t="s">
        <v>307</v>
      </c>
      <c r="B344" s="2940" t="s">
        <v>265</v>
      </c>
      <c r="C344" s="2941">
        <v>0.15</v>
      </c>
      <c r="D344" s="2941">
        <v>0.15</v>
      </c>
      <c r="E344" s="2941">
        <v>0.15</v>
      </c>
      <c r="F344" s="2941">
        <v>0.14799999999999999</v>
      </c>
      <c r="G344" s="2942">
        <v>0.15</v>
      </c>
    </row>
    <row r="345" spans="1:7">
      <c r="A345" s="2951" t="s">
        <v>307</v>
      </c>
      <c r="B345" s="2940" t="s">
        <v>2918</v>
      </c>
      <c r="C345" s="2941">
        <v>0.15</v>
      </c>
      <c r="D345" s="2941">
        <v>0.15</v>
      </c>
      <c r="E345" s="2941">
        <v>0.15</v>
      </c>
      <c r="F345" s="2941">
        <v>0.13800000000000001</v>
      </c>
      <c r="G345" s="2942">
        <v>0.15</v>
      </c>
    </row>
    <row r="346" spans="1:7">
      <c r="A346" s="2951" t="s">
        <v>307</v>
      </c>
      <c r="B346" s="2940" t="s">
        <v>2920</v>
      </c>
      <c r="C346" s="2941">
        <v>0.15</v>
      </c>
      <c r="D346" s="2941">
        <v>0.15</v>
      </c>
      <c r="E346" s="2941">
        <v>0.15</v>
      </c>
      <c r="F346" s="2941">
        <v>0.14399999999999999</v>
      </c>
      <c r="G346" s="2942">
        <v>0.15</v>
      </c>
    </row>
    <row r="347" spans="1:7">
      <c r="A347" s="2951" t="s">
        <v>307</v>
      </c>
      <c r="B347" s="2940" t="s">
        <v>243</v>
      </c>
      <c r="C347" s="2941">
        <v>0.15</v>
      </c>
      <c r="D347" s="2941">
        <v>0.15</v>
      </c>
      <c r="E347" s="2941">
        <v>0.15</v>
      </c>
      <c r="F347" s="2941">
        <v>0.14599999999999999</v>
      </c>
      <c r="G347" s="2942">
        <v>0.15</v>
      </c>
    </row>
    <row r="348" spans="1:7">
      <c r="A348" s="2951" t="s">
        <v>307</v>
      </c>
      <c r="B348" s="2940" t="s">
        <v>2927</v>
      </c>
      <c r="C348" s="2941">
        <v>0.15</v>
      </c>
      <c r="D348" s="2941">
        <v>0.15</v>
      </c>
      <c r="E348" s="2941">
        <v>0.15</v>
      </c>
      <c r="F348" s="2941">
        <v>0.14399999999999999</v>
      </c>
      <c r="G348" s="2942">
        <v>0.15</v>
      </c>
    </row>
    <row r="349" spans="1:7">
      <c r="A349" s="2951" t="s">
        <v>307</v>
      </c>
      <c r="B349" s="2940" t="s">
        <v>2932</v>
      </c>
      <c r="C349" s="2941">
        <v>0.15</v>
      </c>
      <c r="D349" s="2941">
        <v>0.15</v>
      </c>
      <c r="E349" s="2941">
        <v>0.15</v>
      </c>
      <c r="F349" s="2941">
        <v>0.15</v>
      </c>
      <c r="G349" s="2942">
        <v>0.15</v>
      </c>
    </row>
    <row r="350" spans="1:7">
      <c r="A350" s="2951" t="s">
        <v>307</v>
      </c>
      <c r="B350" s="2940" t="s">
        <v>2935</v>
      </c>
      <c r="C350" s="2941">
        <v>0.15</v>
      </c>
      <c r="D350" s="2941">
        <v>0.15</v>
      </c>
      <c r="E350" s="2941">
        <v>0.15</v>
      </c>
      <c r="F350" s="2941">
        <v>0.14699999999999999</v>
      </c>
      <c r="G350" s="2942">
        <v>0.15</v>
      </c>
    </row>
    <row r="351" spans="1:7">
      <c r="A351" s="2951" t="s">
        <v>307</v>
      </c>
      <c r="B351" s="2940" t="s">
        <v>2940</v>
      </c>
      <c r="C351" s="2941">
        <v>0.15</v>
      </c>
      <c r="D351" s="2941">
        <v>0.15</v>
      </c>
      <c r="E351" s="2941">
        <v>0.15</v>
      </c>
      <c r="F351" s="2941">
        <v>0.13</v>
      </c>
      <c r="G351" s="2942">
        <v>0.15</v>
      </c>
    </row>
    <row r="352" spans="1:7">
      <c r="A352" s="2951" t="s">
        <v>307</v>
      </c>
      <c r="B352" s="2940" t="s">
        <v>2945</v>
      </c>
      <c r="C352" s="2941">
        <v>0.15</v>
      </c>
      <c r="D352" s="2941">
        <v>0.15</v>
      </c>
      <c r="E352" s="2941">
        <v>0.15</v>
      </c>
      <c r="F352" s="2941">
        <v>0.14599999999999999</v>
      </c>
      <c r="G352" s="2942">
        <v>0.15</v>
      </c>
    </row>
    <row r="353" spans="1:7">
      <c r="A353" s="2951" t="s">
        <v>307</v>
      </c>
      <c r="B353" s="2940" t="s">
        <v>2952</v>
      </c>
      <c r="C353" s="2941">
        <v>0.15</v>
      </c>
      <c r="D353" s="2941">
        <v>0.15</v>
      </c>
      <c r="E353" s="2941">
        <v>0.15</v>
      </c>
      <c r="F353" s="2941">
        <v>0.14499999999999999</v>
      </c>
      <c r="G353" s="2942">
        <v>0.15</v>
      </c>
    </row>
    <row r="354" spans="1:7">
      <c r="A354" s="2951" t="s">
        <v>307</v>
      </c>
      <c r="B354" s="2940" t="s">
        <v>280</v>
      </c>
      <c r="C354" s="2941">
        <v>0.15</v>
      </c>
      <c r="D354" s="2941">
        <v>0.15</v>
      </c>
      <c r="E354" s="2941">
        <v>0.15</v>
      </c>
      <c r="F354" s="2941">
        <v>0.14099999999999999</v>
      </c>
      <c r="G354" s="2942">
        <v>0.15</v>
      </c>
    </row>
    <row r="355" spans="1:7">
      <c r="A355" s="2951" t="s">
        <v>307</v>
      </c>
      <c r="B355" s="2940" t="s">
        <v>2965</v>
      </c>
      <c r="C355" s="2941">
        <v>0.15</v>
      </c>
      <c r="D355" s="2941">
        <v>0.15</v>
      </c>
      <c r="E355" s="2941">
        <v>0.15</v>
      </c>
      <c r="F355" s="2941">
        <v>0.15</v>
      </c>
      <c r="G355" s="2942">
        <v>0.15</v>
      </c>
    </row>
    <row r="356" spans="1:7">
      <c r="A356" s="2951" t="s">
        <v>307</v>
      </c>
      <c r="B356" s="2940" t="s">
        <v>2972</v>
      </c>
      <c r="C356" s="2941">
        <v>0.15</v>
      </c>
      <c r="D356" s="2941">
        <v>0.15</v>
      </c>
      <c r="E356" s="2941">
        <v>0.15</v>
      </c>
      <c r="F356" s="2941">
        <v>0.15</v>
      </c>
      <c r="G356" s="2942">
        <v>0.15</v>
      </c>
    </row>
    <row r="357" spans="1:7" ht="14.25" thickBot="1">
      <c r="A357" s="2954" t="s">
        <v>307</v>
      </c>
      <c r="B357" s="2944" t="s">
        <v>2977</v>
      </c>
      <c r="C357" s="2945">
        <v>0.126</v>
      </c>
      <c r="D357" s="2945">
        <v>0.127</v>
      </c>
      <c r="E357" s="2945">
        <v>0.14299999999999999</v>
      </c>
      <c r="F357" s="2945">
        <v>0.125</v>
      </c>
      <c r="G357" s="2947">
        <v>0.129</v>
      </c>
    </row>
    <row r="358" spans="1:7">
      <c r="A358" s="2950" t="s">
        <v>2846</v>
      </c>
      <c r="B358" s="2936" t="s">
        <v>2860</v>
      </c>
      <c r="C358" s="2937">
        <v>0.15</v>
      </c>
      <c r="D358" s="2937">
        <v>0.15</v>
      </c>
      <c r="E358" s="2937">
        <v>0.15</v>
      </c>
      <c r="F358" s="2937">
        <v>0.15</v>
      </c>
      <c r="G358" s="2938">
        <v>0.15</v>
      </c>
    </row>
    <row r="359" spans="1:7">
      <c r="A359" s="2951" t="s">
        <v>2846</v>
      </c>
      <c r="B359" s="2940" t="s">
        <v>2866</v>
      </c>
      <c r="C359" s="2941">
        <v>0.1</v>
      </c>
      <c r="D359" s="2941">
        <v>0.1</v>
      </c>
      <c r="E359" s="2941">
        <v>0.1</v>
      </c>
      <c r="F359" s="2941">
        <v>0.1</v>
      </c>
      <c r="G359" s="2942">
        <v>0.1</v>
      </c>
    </row>
    <row r="360" spans="1:7">
      <c r="A360" s="2951" t="s">
        <v>2846</v>
      </c>
      <c r="B360" s="2940" t="s">
        <v>2872</v>
      </c>
      <c r="C360" s="2941">
        <v>0.15</v>
      </c>
      <c r="D360" s="2941">
        <v>0.15</v>
      </c>
      <c r="E360" s="2941">
        <v>0.15</v>
      </c>
      <c r="F360" s="2941">
        <v>0.14899999999999999</v>
      </c>
      <c r="G360" s="2942">
        <v>0.15</v>
      </c>
    </row>
    <row r="361" spans="1:7">
      <c r="A361" s="2951" t="s">
        <v>2846</v>
      </c>
      <c r="B361" s="2940" t="s">
        <v>153</v>
      </c>
      <c r="C361" s="2941">
        <v>0.15</v>
      </c>
      <c r="D361" s="2941">
        <v>0.15</v>
      </c>
      <c r="E361" s="2941">
        <v>0.15</v>
      </c>
      <c r="F361" s="2941">
        <v>0.115</v>
      </c>
      <c r="G361" s="2942">
        <v>0.15</v>
      </c>
    </row>
    <row r="362" spans="1:7">
      <c r="A362" s="2951" t="s">
        <v>2846</v>
      </c>
      <c r="B362" s="2940" t="s">
        <v>2879</v>
      </c>
      <c r="C362" s="2941">
        <v>0.15</v>
      </c>
      <c r="D362" s="2941">
        <v>0.15</v>
      </c>
      <c r="E362" s="2941">
        <v>0.15</v>
      </c>
      <c r="F362" s="2941">
        <v>0.106</v>
      </c>
      <c r="G362" s="2942">
        <v>0.15</v>
      </c>
    </row>
    <row r="363" spans="1:7">
      <c r="A363" s="2951" t="s">
        <v>2846</v>
      </c>
      <c r="B363" s="2940" t="s">
        <v>2884</v>
      </c>
      <c r="C363" s="2941">
        <v>0.15</v>
      </c>
      <c r="D363" s="2941">
        <v>0.15</v>
      </c>
      <c r="E363" s="2941">
        <v>0.15</v>
      </c>
      <c r="F363" s="2941">
        <v>0.14699999999999999</v>
      </c>
      <c r="G363" s="2942">
        <v>0.15</v>
      </c>
    </row>
    <row r="364" spans="1:7">
      <c r="A364" s="2951" t="s">
        <v>2846</v>
      </c>
      <c r="B364" s="2940" t="s">
        <v>2888</v>
      </c>
      <c r="C364" s="2941">
        <v>0.15</v>
      </c>
      <c r="D364" s="2941">
        <v>0.15</v>
      </c>
      <c r="E364" s="2941">
        <v>0.15</v>
      </c>
      <c r="F364" s="2941">
        <v>0.14799999999999999</v>
      </c>
      <c r="G364" s="2942">
        <v>0.15</v>
      </c>
    </row>
    <row r="365" spans="1:7">
      <c r="A365" s="2951" t="s">
        <v>2846</v>
      </c>
      <c r="B365" s="2940" t="s">
        <v>200</v>
      </c>
      <c r="C365" s="2941">
        <v>0.15</v>
      </c>
      <c r="D365" s="2941">
        <v>0.15</v>
      </c>
      <c r="E365" s="2941">
        <v>0.15</v>
      </c>
      <c r="F365" s="2941">
        <v>0.15</v>
      </c>
      <c r="G365" s="2942">
        <v>0.15</v>
      </c>
    </row>
    <row r="366" spans="1:7">
      <c r="A366" s="2951" t="s">
        <v>2846</v>
      </c>
      <c r="B366" s="2940" t="s">
        <v>2891</v>
      </c>
      <c r="C366" s="2941">
        <v>0.15</v>
      </c>
      <c r="D366" s="2941">
        <v>0.15</v>
      </c>
      <c r="E366" s="2941">
        <v>0.15</v>
      </c>
      <c r="F366" s="2941">
        <v>0.15</v>
      </c>
      <c r="G366" s="2942">
        <v>0.15</v>
      </c>
    </row>
    <row r="367" spans="1:7">
      <c r="A367" s="2951" t="s">
        <v>2846</v>
      </c>
      <c r="B367" s="2940" t="s">
        <v>2894</v>
      </c>
      <c r="C367" s="2941">
        <v>0.15</v>
      </c>
      <c r="D367" s="2941">
        <v>0.15</v>
      </c>
      <c r="E367" s="2941">
        <v>0.15</v>
      </c>
      <c r="F367" s="2941">
        <v>0.14699999999999999</v>
      </c>
      <c r="G367" s="2942">
        <v>0.15</v>
      </c>
    </row>
    <row r="368" spans="1:7">
      <c r="A368" s="2951" t="s">
        <v>2846</v>
      </c>
      <c r="B368" s="2940" t="s">
        <v>2899</v>
      </c>
      <c r="C368" s="2941">
        <v>0.15</v>
      </c>
      <c r="D368" s="2941">
        <v>0.15</v>
      </c>
      <c r="E368" s="2941">
        <v>0.15</v>
      </c>
      <c r="F368" s="2941">
        <v>0.13600000000000001</v>
      </c>
      <c r="G368" s="2942">
        <v>0.15</v>
      </c>
    </row>
    <row r="369" spans="1:7">
      <c r="A369" s="2951" t="s">
        <v>2846</v>
      </c>
      <c r="B369" s="2940" t="s">
        <v>214</v>
      </c>
      <c r="C369" s="2941">
        <v>0.15</v>
      </c>
      <c r="D369" s="2941">
        <v>0.15</v>
      </c>
      <c r="E369" s="2941">
        <v>0.15</v>
      </c>
      <c r="F369" s="2941">
        <v>0.14399999999999999</v>
      </c>
      <c r="G369" s="2942">
        <v>0.15</v>
      </c>
    </row>
    <row r="370" spans="1:7">
      <c r="A370" s="2951" t="s">
        <v>2846</v>
      </c>
      <c r="B370" s="2940" t="s">
        <v>221</v>
      </c>
      <c r="C370" s="2941">
        <v>0.15</v>
      </c>
      <c r="D370" s="2941">
        <v>0.15</v>
      </c>
      <c r="E370" s="2941">
        <v>0.15</v>
      </c>
      <c r="F370" s="2941">
        <v>0.14599999999999999</v>
      </c>
      <c r="G370" s="2942">
        <v>0.15</v>
      </c>
    </row>
    <row r="371" spans="1:7">
      <c r="A371" s="2951" t="s">
        <v>2846</v>
      </c>
      <c r="B371" s="2940" t="s">
        <v>229</v>
      </c>
      <c r="C371" s="2941">
        <v>0.15</v>
      </c>
      <c r="D371" s="2941">
        <v>0.15</v>
      </c>
      <c r="E371" s="2941">
        <v>0.15</v>
      </c>
      <c r="F371" s="2941">
        <v>0.12</v>
      </c>
      <c r="G371" s="2942">
        <v>0.15</v>
      </c>
    </row>
    <row r="372" spans="1:7">
      <c r="A372" s="2951" t="s">
        <v>2846</v>
      </c>
      <c r="B372" s="2940" t="s">
        <v>2907</v>
      </c>
      <c r="C372" s="2941">
        <v>0.15</v>
      </c>
      <c r="D372" s="2941">
        <v>0.15</v>
      </c>
      <c r="E372" s="2941">
        <v>0.15</v>
      </c>
      <c r="F372" s="2941">
        <v>0.14299999999999999</v>
      </c>
      <c r="G372" s="2942">
        <v>0.15</v>
      </c>
    </row>
    <row r="373" spans="1:7">
      <c r="A373" s="2951" t="s">
        <v>2846</v>
      </c>
      <c r="B373" s="2940" t="s">
        <v>258</v>
      </c>
      <c r="C373" s="2941">
        <v>0.15</v>
      </c>
      <c r="D373" s="2941">
        <v>0.15</v>
      </c>
      <c r="E373" s="2941">
        <v>0.15</v>
      </c>
      <c r="F373" s="2941">
        <v>0.14599999999999999</v>
      </c>
      <c r="G373" s="2942">
        <v>0.15</v>
      </c>
    </row>
    <row r="374" spans="1:7">
      <c r="A374" s="2951" t="s">
        <v>2846</v>
      </c>
      <c r="B374" s="2940" t="s">
        <v>266</v>
      </c>
      <c r="C374" s="2941">
        <v>0.15</v>
      </c>
      <c r="D374" s="2941">
        <v>0.15</v>
      </c>
      <c r="E374" s="2941">
        <v>0.15</v>
      </c>
      <c r="F374" s="2941">
        <v>0.14399999999999999</v>
      </c>
      <c r="G374" s="2942">
        <v>0.15</v>
      </c>
    </row>
    <row r="375" spans="1:7">
      <c r="A375" s="2951" t="s">
        <v>2846</v>
      </c>
      <c r="B375" s="2940" t="s">
        <v>2915</v>
      </c>
      <c r="C375" s="2941">
        <v>0.15</v>
      </c>
      <c r="D375" s="2941">
        <v>0.15</v>
      </c>
      <c r="E375" s="2941">
        <v>0.15</v>
      </c>
      <c r="F375" s="2941">
        <v>0.13</v>
      </c>
      <c r="G375" s="2942">
        <v>0.15</v>
      </c>
    </row>
    <row r="376" spans="1:7">
      <c r="A376" s="2951" t="s">
        <v>2846</v>
      </c>
      <c r="B376" s="2940" t="s">
        <v>277</v>
      </c>
      <c r="C376" s="2941">
        <v>0.15</v>
      </c>
      <c r="D376" s="2941">
        <v>0.15</v>
      </c>
      <c r="E376" s="2941">
        <v>0.15</v>
      </c>
      <c r="F376" s="2941">
        <v>0.14199999999999999</v>
      </c>
      <c r="G376" s="2942">
        <v>0.15</v>
      </c>
    </row>
    <row r="377" spans="1:7" ht="14.25" thickBot="1">
      <c r="A377" s="2954" t="s">
        <v>2846</v>
      </c>
      <c r="B377" s="2944" t="s">
        <v>2921</v>
      </c>
      <c r="C377" s="2945">
        <v>0.15</v>
      </c>
      <c r="D377" s="2945">
        <v>0.15</v>
      </c>
      <c r="E377" s="2945">
        <v>0.15</v>
      </c>
      <c r="F377" s="2945">
        <v>0.14000000000000001</v>
      </c>
      <c r="G377" s="2947">
        <v>0.15</v>
      </c>
    </row>
    <row r="378" spans="1:7">
      <c r="A378" s="2950" t="s">
        <v>2847</v>
      </c>
      <c r="B378" s="2936" t="s">
        <v>2861</v>
      </c>
      <c r="C378" s="2937">
        <v>0.15</v>
      </c>
      <c r="D378" s="2937">
        <v>0.15</v>
      </c>
      <c r="E378" s="2937">
        <v>0.15</v>
      </c>
      <c r="F378" s="2937">
        <v>0.107</v>
      </c>
      <c r="G378" s="2938">
        <v>0.15</v>
      </c>
    </row>
    <row r="379" spans="1:7">
      <c r="A379" s="2951" t="s">
        <v>2847</v>
      </c>
      <c r="B379" s="2940" t="s">
        <v>2867</v>
      </c>
      <c r="C379" s="2941">
        <v>0.15</v>
      </c>
      <c r="D379" s="2941">
        <v>0.15</v>
      </c>
      <c r="E379" s="2941">
        <v>0.15</v>
      </c>
      <c r="F379" s="2941">
        <v>0.115</v>
      </c>
      <c r="G379" s="2942">
        <v>0.14899999999999999</v>
      </c>
    </row>
    <row r="380" spans="1:7">
      <c r="A380" s="2951" t="s">
        <v>2847</v>
      </c>
      <c r="B380" s="2940" t="s">
        <v>2873</v>
      </c>
      <c r="C380" s="2941">
        <v>0.15</v>
      </c>
      <c r="D380" s="2941">
        <v>0.15</v>
      </c>
      <c r="E380" s="2941">
        <v>0.15</v>
      </c>
      <c r="F380" s="2941">
        <v>0.1</v>
      </c>
      <c r="G380" s="2942">
        <v>0.14799999999999999</v>
      </c>
    </row>
    <row r="381" spans="1:7">
      <c r="A381" s="2951" t="s">
        <v>2847</v>
      </c>
      <c r="B381" s="2940" t="s">
        <v>2876</v>
      </c>
      <c r="C381" s="2941">
        <v>0.15</v>
      </c>
      <c r="D381" s="2941">
        <v>0.15</v>
      </c>
      <c r="E381" s="2941">
        <v>0.15</v>
      </c>
      <c r="F381" s="2941">
        <v>0.126</v>
      </c>
      <c r="G381" s="2942">
        <v>0.15</v>
      </c>
    </row>
    <row r="382" spans="1:7">
      <c r="A382" s="2951" t="s">
        <v>2847</v>
      </c>
      <c r="B382" s="2940" t="s">
        <v>2880</v>
      </c>
      <c r="C382" s="2941">
        <v>0.15</v>
      </c>
      <c r="D382" s="2941">
        <v>0.15</v>
      </c>
      <c r="E382" s="2941">
        <v>0.15</v>
      </c>
      <c r="F382" s="2941">
        <v>0.15</v>
      </c>
      <c r="G382" s="2942">
        <v>0.15</v>
      </c>
    </row>
    <row r="383" spans="1:7">
      <c r="A383" s="2951" t="s">
        <v>2847</v>
      </c>
      <c r="B383" s="2940" t="s">
        <v>2885</v>
      </c>
      <c r="C383" s="2941">
        <v>0.15</v>
      </c>
      <c r="D383" s="2941">
        <v>0.15</v>
      </c>
      <c r="E383" s="2941">
        <v>0.15</v>
      </c>
      <c r="F383" s="2941">
        <v>0.14699999999999999</v>
      </c>
      <c r="G383" s="2942">
        <v>0.15</v>
      </c>
    </row>
    <row r="384" spans="1:7" ht="14.25" thickBot="1">
      <c r="A384" s="2961" t="s">
        <v>2847</v>
      </c>
      <c r="B384" s="2962" t="s">
        <v>2889</v>
      </c>
      <c r="C384" s="2963">
        <v>0.15</v>
      </c>
      <c r="D384" s="2963">
        <v>0.15</v>
      </c>
      <c r="E384" s="2963">
        <v>0.15</v>
      </c>
      <c r="F384" s="2963">
        <v>0.15</v>
      </c>
      <c r="G384" s="296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05"/>
  </cols>
  <sheetData>
    <row r="1" spans="1:6">
      <c r="A1" s="3516" t="s">
        <v>3228</v>
      </c>
      <c r="B1" s="3516"/>
      <c r="C1" s="3516"/>
      <c r="D1" s="3516"/>
      <c r="E1" s="3516"/>
      <c r="F1" s="3517"/>
    </row>
    <row r="2" spans="1:6">
      <c r="A2" s="2965" t="s">
        <v>3229</v>
      </c>
    </row>
    <row r="3" spans="1:6">
      <c r="A3" s="2965" t="s">
        <v>3230</v>
      </c>
      <c r="F3" s="2966" t="s">
        <v>3231</v>
      </c>
    </row>
    <row r="4" spans="1:6">
      <c r="A4" s="2967" t="s">
        <v>672</v>
      </c>
      <c r="B4" s="2967" t="s">
        <v>673</v>
      </c>
      <c r="C4" s="2967" t="s">
        <v>21</v>
      </c>
      <c r="D4" s="2967" t="s">
        <v>674</v>
      </c>
      <c r="E4" s="2967" t="s">
        <v>3</v>
      </c>
      <c r="F4" s="2967" t="s">
        <v>3232</v>
      </c>
    </row>
    <row r="5" spans="1:6">
      <c r="A5" s="2968" t="s">
        <v>675</v>
      </c>
      <c r="B5" s="2967"/>
      <c r="C5" s="2967"/>
      <c r="D5" s="2967"/>
      <c r="E5" s="2967"/>
      <c r="F5" s="2969"/>
    </row>
    <row r="6" spans="1:6">
      <c r="A6" s="2968" t="s">
        <v>144</v>
      </c>
      <c r="B6" s="2970">
        <v>35380</v>
      </c>
      <c r="C6" s="2970">
        <v>35180</v>
      </c>
      <c r="D6" s="2970">
        <v>35030</v>
      </c>
      <c r="E6" s="2970">
        <v>13780</v>
      </c>
      <c r="F6" s="2970">
        <v>25980</v>
      </c>
    </row>
    <row r="7" spans="1:6">
      <c r="A7" s="2968" t="s">
        <v>184</v>
      </c>
      <c r="B7" s="2970">
        <v>29960</v>
      </c>
      <c r="C7" s="2970">
        <v>29800</v>
      </c>
      <c r="D7" s="2970">
        <v>29690</v>
      </c>
      <c r="E7" s="2970">
        <v>10100</v>
      </c>
      <c r="F7" s="2970">
        <v>21690</v>
      </c>
    </row>
    <row r="8" spans="1:6">
      <c r="A8" s="2968" t="s">
        <v>296</v>
      </c>
      <c r="B8" s="2970">
        <v>24480</v>
      </c>
      <c r="C8" s="2970">
        <v>24380</v>
      </c>
      <c r="D8" s="2970">
        <v>25590</v>
      </c>
      <c r="E8" s="2970">
        <v>7010</v>
      </c>
      <c r="F8" s="2970">
        <v>17060</v>
      </c>
    </row>
    <row r="9" spans="1:6">
      <c r="A9" s="2968" t="s">
        <v>110</v>
      </c>
      <c r="B9" s="2970">
        <v>19370</v>
      </c>
      <c r="C9" s="2970">
        <v>19290</v>
      </c>
      <c r="D9" s="2970">
        <v>21280</v>
      </c>
      <c r="E9" s="2970">
        <v>4910</v>
      </c>
      <c r="F9" s="2970">
        <v>13090</v>
      </c>
    </row>
    <row r="10" spans="1:6">
      <c r="A10" s="2968" t="s">
        <v>303</v>
      </c>
      <c r="B10" s="2970">
        <v>15050</v>
      </c>
      <c r="C10" s="2970">
        <v>14980</v>
      </c>
      <c r="D10" s="2970">
        <v>17300</v>
      </c>
      <c r="E10" s="2970">
        <v>3450</v>
      </c>
      <c r="F10" s="2970">
        <v>9900</v>
      </c>
    </row>
    <row r="11" spans="1:6">
      <c r="A11" s="2968" t="s">
        <v>29</v>
      </c>
      <c r="B11" s="2970">
        <v>11550</v>
      </c>
      <c r="C11" s="2970">
        <v>11490</v>
      </c>
      <c r="D11" s="2970">
        <v>13850</v>
      </c>
      <c r="E11" s="2970">
        <v>2400</v>
      </c>
      <c r="F11" s="2970">
        <v>7390</v>
      </c>
    </row>
    <row r="12" spans="1:6">
      <c r="A12" s="2968" t="s">
        <v>304</v>
      </c>
      <c r="B12" s="2970">
        <v>8630</v>
      </c>
      <c r="C12" s="2970">
        <v>8580</v>
      </c>
      <c r="D12" s="2970">
        <v>10740</v>
      </c>
      <c r="E12" s="2970">
        <v>1720</v>
      </c>
      <c r="F12" s="2970">
        <v>5420</v>
      </c>
    </row>
    <row r="13" spans="1:6">
      <c r="A13" s="2968" t="s">
        <v>305</v>
      </c>
      <c r="B13" s="2970">
        <v>6620</v>
      </c>
      <c r="C13" s="2970">
        <v>6580</v>
      </c>
      <c r="D13" s="2970">
        <v>7830</v>
      </c>
      <c r="E13" s="2970">
        <v>1260</v>
      </c>
      <c r="F13" s="2970">
        <v>4040</v>
      </c>
    </row>
    <row r="14" spans="1:6">
      <c r="A14" s="2968" t="s">
        <v>306</v>
      </c>
      <c r="B14" s="2970">
        <v>4900</v>
      </c>
      <c r="C14" s="2970">
        <v>4860</v>
      </c>
      <c r="D14" s="2970">
        <v>5540</v>
      </c>
      <c r="E14" s="2970">
        <v>950</v>
      </c>
      <c r="F14" s="2970">
        <v>2930</v>
      </c>
    </row>
    <row r="15" spans="1:6">
      <c r="A15" s="2968" t="s">
        <v>307</v>
      </c>
      <c r="B15" s="2970">
        <v>3380</v>
      </c>
      <c r="C15" s="2970">
        <v>3340</v>
      </c>
      <c r="D15" s="2970">
        <v>3630</v>
      </c>
      <c r="E15" s="2970">
        <v>730</v>
      </c>
      <c r="F15" s="2970">
        <v>1990</v>
      </c>
    </row>
    <row r="16" spans="1:6">
      <c r="A16" s="2968" t="s">
        <v>369</v>
      </c>
      <c r="B16" s="2970">
        <v>2230</v>
      </c>
      <c r="C16" s="2970">
        <v>2200</v>
      </c>
      <c r="D16" s="2970">
        <v>2180</v>
      </c>
      <c r="E16" s="2970">
        <v>570</v>
      </c>
      <c r="F16" s="2970">
        <v>1330</v>
      </c>
    </row>
    <row r="17" spans="1:6">
      <c r="A17" s="2968" t="s">
        <v>370</v>
      </c>
      <c r="B17" s="2970">
        <v>1390</v>
      </c>
      <c r="C17" s="2970">
        <v>1360</v>
      </c>
      <c r="D17" s="2970">
        <v>1340</v>
      </c>
      <c r="E17" s="2970">
        <v>450</v>
      </c>
      <c r="F17" s="297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29">
        <f>基准地价修正!G23</f>
        <v>45635</v>
      </c>
      <c r="B1" s="2921" t="s">
        <v>3378</v>
      </c>
      <c r="C1" s="2922"/>
      <c r="D1" s="2922"/>
      <c r="E1" s="2922"/>
      <c r="F1" s="2922"/>
      <c r="G1" s="2922"/>
      <c r="H1" s="2922"/>
      <c r="I1" s="2922"/>
      <c r="J1" s="2888"/>
      <c r="K1" s="2922" t="s">
        <v>454</v>
      </c>
      <c r="L1" s="2922"/>
      <c r="M1" s="2922"/>
      <c r="N1" s="2922"/>
      <c r="O1" s="2922"/>
      <c r="P1" s="2922"/>
      <c r="Q1" s="2888"/>
      <c r="R1" s="3518" t="s">
        <v>456</v>
      </c>
      <c r="S1" s="3519"/>
      <c r="T1" s="3519"/>
      <c r="U1" s="3519"/>
      <c r="V1" s="3519"/>
      <c r="W1" s="3519"/>
      <c r="X1" s="2888"/>
      <c r="Y1" s="3518" t="s">
        <v>457</v>
      </c>
      <c r="Z1" s="3519"/>
      <c r="AA1" s="3519"/>
      <c r="AB1" s="3519"/>
      <c r="AC1" s="3519"/>
      <c r="AD1" s="3519"/>
    </row>
    <row r="2" spans="1:30" s="2005" customFormat="1" ht="14.25" thickBot="1">
      <c r="B2" s="2873"/>
      <c r="C2" s="2874"/>
      <c r="D2" s="2006" t="s">
        <v>2806</v>
      </c>
      <c r="E2" s="2007" t="s">
        <v>2807</v>
      </c>
      <c r="F2" s="2007" t="s">
        <v>2808</v>
      </c>
      <c r="G2" s="2007" t="s">
        <v>2809</v>
      </c>
      <c r="H2" s="2007" t="s">
        <v>2810</v>
      </c>
      <c r="I2" s="2007" t="s">
        <v>2627</v>
      </c>
      <c r="J2" s="2875"/>
      <c r="K2" s="2006" t="s">
        <v>2806</v>
      </c>
      <c r="L2" s="2007" t="s">
        <v>2807</v>
      </c>
      <c r="M2" s="2007" t="s">
        <v>2808</v>
      </c>
      <c r="N2" s="2007" t="s">
        <v>2809</v>
      </c>
      <c r="O2" s="2007" t="s">
        <v>2811</v>
      </c>
      <c r="P2" s="2007" t="s">
        <v>2627</v>
      </c>
      <c r="Q2" s="2875"/>
      <c r="R2" s="2006" t="s">
        <v>2806</v>
      </c>
      <c r="S2" s="2007" t="s">
        <v>2807</v>
      </c>
      <c r="T2" s="2007" t="s">
        <v>2808</v>
      </c>
      <c r="U2" s="2007" t="s">
        <v>2812</v>
      </c>
      <c r="V2" s="2007" t="s">
        <v>2813</v>
      </c>
      <c r="W2" s="2007" t="s">
        <v>2627</v>
      </c>
      <c r="X2" s="2875"/>
      <c r="Y2" s="2006" t="s">
        <v>2806</v>
      </c>
      <c r="Z2" s="2007" t="s">
        <v>2807</v>
      </c>
      <c r="AA2" s="2007" t="s">
        <v>2808</v>
      </c>
      <c r="AB2" s="2007" t="s">
        <v>2814</v>
      </c>
      <c r="AC2" s="2007" t="s">
        <v>2813</v>
      </c>
      <c r="AD2" s="2007" t="s">
        <v>2627</v>
      </c>
    </row>
    <row r="3" spans="1:30" s="2878" customFormat="1" ht="12.75">
      <c r="A3" s="2876" t="s">
        <v>2815</v>
      </c>
      <c r="B3" s="2877"/>
      <c r="D3" s="2878">
        <f>ROUND(AVERAGEIF(D4:D21,"&lt;&gt;0"),2)</f>
        <v>0.47</v>
      </c>
      <c r="E3" s="2878">
        <f>ROUND(AVERAGEIF(E4:E21,"&lt;&gt;0"),2)</f>
        <v>0.3</v>
      </c>
      <c r="F3" s="2878">
        <f>ROUND(AVERAGEIF(F4:F21,"&lt;&gt;0"),2)</f>
        <v>0.04</v>
      </c>
      <c r="G3" s="2878">
        <f>ROUND(AVERAGEIF(G4:G21,"&lt;&gt;0"),2)</f>
        <v>0.51</v>
      </c>
      <c r="H3" s="2878">
        <f>ROUND(AVERAGEIF(H4:H21,"&lt;&gt;0"),2)</f>
        <v>0.55000000000000004</v>
      </c>
      <c r="I3" s="2878">
        <f>F3</f>
        <v>0.04</v>
      </c>
      <c r="J3" s="2879"/>
      <c r="K3" s="2880">
        <f>ROUND(AVERAGEIF(K4:K21,"&lt;&gt;0"),4)</f>
        <v>4.7000000000000002E-3</v>
      </c>
      <c r="L3" s="2881">
        <f>ROUND(AVERAGEIF(L4:L21,"&lt;&gt;0"),4)</f>
        <v>3.0000000000000001E-3</v>
      </c>
      <c r="M3" s="2881">
        <f>ROUND(AVERAGEIF(M4:M21,"&lt;&gt;0"),4)</f>
        <v>4.0000000000000002E-4</v>
      </c>
      <c r="N3" s="2881">
        <f>ROUND(AVERAGEIF(N4:N21,"&lt;&gt;0"),4)</f>
        <v>5.1000000000000004E-3</v>
      </c>
      <c r="O3" s="2881">
        <f>ROUND(AVERAGEIF(O4:O21,"&lt;&gt;0"),4)</f>
        <v>5.4999999999999997E-3</v>
      </c>
      <c r="P3" s="2881">
        <f>M3</f>
        <v>4.0000000000000002E-4</v>
      </c>
      <c r="Q3" s="2879"/>
      <c r="R3" s="2882">
        <f>ROUND(SUMPRODUCT(PRODUCT(1+K4:K21)),4)</f>
        <v>1.0723</v>
      </c>
      <c r="S3" s="2883">
        <f>ROUND(SUMPRODUCT(PRODUCT(1+L4:L21)),4)</f>
        <v>1.0465</v>
      </c>
      <c r="T3" s="2883">
        <f>ROUND(SUMPRODUCT(PRODUCT(1+M4:M21)),4)</f>
        <v>1.0054000000000001</v>
      </c>
      <c r="U3" s="2883">
        <f>ROUND(SUMPRODUCT(PRODUCT(1+N4:N21)),4)</f>
        <v>1.0790999999999999</v>
      </c>
      <c r="V3" s="2883">
        <f>ROUND(SUMPRODUCT(PRODUCT(1+O4:O21)),4)</f>
        <v>1.0857000000000001</v>
      </c>
      <c r="W3" s="2882">
        <f>T3</f>
        <v>1.0054000000000001</v>
      </c>
      <c r="X3" s="2879"/>
      <c r="Y3" s="2884">
        <f>ROUND(AVERAGEIF(Y8:Y21,"&lt;&gt;0"),4)</f>
        <v>8.3999999999999995E-3</v>
      </c>
      <c r="Z3" s="2885">
        <f>ROUND(AVERAGEIF(Z8:Z21,"&lt;&gt;0"),4)</f>
        <v>3.5000000000000001E-3</v>
      </c>
      <c r="AA3" s="2886">
        <f>ROUND(AVERAGEIF(AA8:AA21,"&lt;&gt;0"),4)</f>
        <v>8.0000000000000004E-4</v>
      </c>
      <c r="AB3" s="2884">
        <f>ROUND(AVERAGEIF(AB8:AB21,"&lt;&gt;0"),4)</f>
        <v>9.1000000000000004E-3</v>
      </c>
      <c r="AC3" s="2887">
        <f>ROUND(AVERAGEIF(AC8:AC21,"&lt;&gt;0"),4)</f>
        <v>6.1000000000000004E-3</v>
      </c>
      <c r="AD3" s="2884">
        <f>AA3</f>
        <v>8.0000000000000004E-4</v>
      </c>
    </row>
    <row r="4" spans="1:30" s="2004" customFormat="1" ht="12.75">
      <c r="B4" s="2020"/>
      <c r="J4" s="2888"/>
      <c r="K4" s="2889"/>
      <c r="L4" s="2890"/>
      <c r="M4" s="2890"/>
      <c r="N4" s="2890"/>
      <c r="O4" s="2890"/>
      <c r="P4" s="2890"/>
      <c r="Q4" s="2888"/>
      <c r="R4" s="2022"/>
      <c r="S4" s="2891"/>
      <c r="T4" s="2892"/>
      <c r="U4" s="2022"/>
      <c r="V4" s="2893"/>
      <c r="W4" s="2022"/>
      <c r="X4" s="2888"/>
      <c r="Y4" s="2023"/>
      <c r="Z4" s="2894"/>
      <c r="AA4" s="2895"/>
      <c r="AB4" s="2023"/>
      <c r="AC4" s="2896"/>
      <c r="AD4" s="2023"/>
    </row>
    <row r="5" spans="1:30" s="2040" customFormat="1" ht="12.75">
      <c r="A5" s="2035" t="s">
        <v>3374</v>
      </c>
      <c r="B5" s="2026">
        <v>2025</v>
      </c>
      <c r="C5" s="2037">
        <v>1</v>
      </c>
      <c r="D5" s="2002">
        <v>0</v>
      </c>
      <c r="E5" s="2002">
        <v>0</v>
      </c>
      <c r="F5" s="2002">
        <v>0</v>
      </c>
      <c r="G5" s="2002">
        <v>0</v>
      </c>
      <c r="H5" s="2002">
        <v>0</v>
      </c>
      <c r="I5" s="2003">
        <f>F5</f>
        <v>0</v>
      </c>
      <c r="J5" s="2898"/>
      <c r="K5" s="2038">
        <f t="shared" ref="K5:O7" si="0">D5/100</f>
        <v>0</v>
      </c>
      <c r="L5" s="2023">
        <f t="shared" si="0"/>
        <v>0</v>
      </c>
      <c r="M5" s="2023">
        <f t="shared" si="0"/>
        <v>0</v>
      </c>
      <c r="N5" s="2023">
        <f t="shared" si="0"/>
        <v>0</v>
      </c>
      <c r="O5" s="2023">
        <f t="shared" si="0"/>
        <v>0</v>
      </c>
      <c r="P5" s="2023">
        <f t="shared" ref="P5:P13" si="1">M5</f>
        <v>0</v>
      </c>
      <c r="Q5" s="2898"/>
      <c r="R5" s="2022">
        <f>ROUND(IF(项目基本情况!$B$8="出让",SUMPRODUCT(PRODUCT(1+K5:$K$21)),SUMPRODUCT(PRODUCT(1+K5:$K$20))),4)</f>
        <v>1.0620000000000001</v>
      </c>
      <c r="S5" s="2022">
        <f>ROUND(IF(项目基本情况!$B$8="出让",SUMPRODUCT(PRODUCT(1+L5:$L$21)),SUMPRODUCT(PRODUCT(1+L5:$L$20))),4)</f>
        <v>1.0448</v>
      </c>
      <c r="T5" s="2022">
        <f>ROUND(IF(项目基本情况!$B$8="出让",SUMPRODUCT(PRODUCT(1+M5:$M$21)),SUMPRODUCT(PRODUCT(1+M5:$M$20))),4)</f>
        <v>1.0079</v>
      </c>
      <c r="U5" s="2022">
        <f>ROUND(IF(项目基本情况!$B$8="出让",SUMPRODUCT(PRODUCT(1+N5:$N$21)),SUMPRODUCT(PRODUCT(1+N5:$N$20))),4)</f>
        <v>1.0672999999999999</v>
      </c>
      <c r="V5" s="2022">
        <f>ROUND(IF(项目基本情况!$B$8="出让",SUMPRODUCT(PRODUCT(1+O5:$O$21)),SUMPRODUCT(PRODUCT(1+O5:$O$20))),4)</f>
        <v>1.0818000000000001</v>
      </c>
      <c r="W5" s="2022">
        <f t="shared" ref="W5:W12" si="2">T5</f>
        <v>1.0079</v>
      </c>
      <c r="X5" s="2898"/>
      <c r="Y5" s="2023">
        <f t="shared" ref="Y5:AC8" si="3">IF(D5=0,0,ROUND(AVERAGE(D5:D18)/100,4))</f>
        <v>0</v>
      </c>
      <c r="Z5" s="2023">
        <f t="shared" si="3"/>
        <v>0</v>
      </c>
      <c r="AA5" s="2023">
        <f t="shared" si="3"/>
        <v>0</v>
      </c>
      <c r="AB5" s="2023">
        <f t="shared" si="3"/>
        <v>0</v>
      </c>
      <c r="AC5" s="2023">
        <f t="shared" si="3"/>
        <v>0</v>
      </c>
      <c r="AD5" s="2023">
        <f>AA5</f>
        <v>0</v>
      </c>
    </row>
    <row r="6" spans="1:30" s="2908" customFormat="1" ht="12.75">
      <c r="A6" s="2899" t="s">
        <v>3383</v>
      </c>
      <c r="B6" s="2900">
        <v>2024</v>
      </c>
      <c r="C6" s="2901">
        <v>4</v>
      </c>
      <c r="D6" s="2902">
        <v>0</v>
      </c>
      <c r="E6" s="2902">
        <v>0</v>
      </c>
      <c r="F6" s="2902">
        <v>0</v>
      </c>
      <c r="G6" s="2902">
        <v>0</v>
      </c>
      <c r="H6" s="2903">
        <v>0</v>
      </c>
      <c r="I6" s="2904">
        <f>F6</f>
        <v>0</v>
      </c>
      <c r="J6" s="2905"/>
      <c r="K6" s="2906">
        <f t="shared" si="0"/>
        <v>0</v>
      </c>
      <c r="L6" s="2907">
        <f t="shared" si="0"/>
        <v>0</v>
      </c>
      <c r="M6" s="2907">
        <f t="shared" si="0"/>
        <v>0</v>
      </c>
      <c r="N6" s="2907">
        <f t="shared" si="0"/>
        <v>0</v>
      </c>
      <c r="O6" s="2907">
        <f t="shared" si="0"/>
        <v>0</v>
      </c>
      <c r="P6" s="2907">
        <f t="shared" si="1"/>
        <v>0</v>
      </c>
      <c r="Q6" s="2905"/>
      <c r="R6" s="2905">
        <f>ROUND(IF(项目基本情况!$B$8="出让",SUMPRODUCT(PRODUCT(1+K6:$K$21)),SUMPRODUCT(PRODUCT(1+K6:$K$20))),4)</f>
        <v>1.0620000000000001</v>
      </c>
      <c r="S6" s="2905">
        <f>ROUND(IF(项目基本情况!$B$8="出让",SUMPRODUCT(PRODUCT(1+L6:$L$21)),SUMPRODUCT(PRODUCT(1+L6:$L$20))),4)</f>
        <v>1.0448</v>
      </c>
      <c r="T6" s="2905">
        <f>ROUND(IF(项目基本情况!$B$8="出让",SUMPRODUCT(PRODUCT(1+M6:$M$21)),SUMPRODUCT(PRODUCT(1+M6:$M$20))),4)</f>
        <v>1.0079</v>
      </c>
      <c r="U6" s="2905">
        <f>ROUND(IF(项目基本情况!$B$8="出让",SUMPRODUCT(PRODUCT(1+N6:$N$21)),SUMPRODUCT(PRODUCT(1+N6:$N$20))),4)</f>
        <v>1.0672999999999999</v>
      </c>
      <c r="V6" s="2905">
        <f>ROUND(IF(项目基本情况!$B$8="出让",SUMPRODUCT(PRODUCT(1+O6:$O$21)),SUMPRODUCT(PRODUCT(1+O6:$O$20))),4)</f>
        <v>1.0818000000000001</v>
      </c>
      <c r="W6" s="2905">
        <f t="shared" si="2"/>
        <v>1.0079</v>
      </c>
      <c r="X6" s="2905"/>
      <c r="Y6" s="2907">
        <f t="shared" si="3"/>
        <v>0</v>
      </c>
      <c r="Z6" s="2907">
        <f t="shared" si="3"/>
        <v>0</v>
      </c>
      <c r="AA6" s="2907">
        <f t="shared" si="3"/>
        <v>0</v>
      </c>
      <c r="AB6" s="2907">
        <f t="shared" si="3"/>
        <v>0</v>
      </c>
      <c r="AC6" s="2907">
        <f t="shared" si="3"/>
        <v>0</v>
      </c>
      <c r="AD6" s="2907">
        <f>AA6</f>
        <v>0</v>
      </c>
    </row>
    <row r="7" spans="1:30" s="2040" customFormat="1" ht="12.75">
      <c r="A7" s="2035" t="s">
        <v>3382</v>
      </c>
      <c r="B7" s="2026">
        <v>2024</v>
      </c>
      <c r="C7" s="2037">
        <v>3</v>
      </c>
      <c r="D7" s="2002">
        <v>-1.19</v>
      </c>
      <c r="E7" s="2002">
        <v>-0.47</v>
      </c>
      <c r="F7" s="2002">
        <v>-0.28999999999999998</v>
      </c>
      <c r="G7" s="2002">
        <v>-0.74</v>
      </c>
      <c r="H7" s="2002">
        <v>-0.21</v>
      </c>
      <c r="I7" s="2003">
        <f>F7</f>
        <v>-0.28999999999999998</v>
      </c>
      <c r="J7" s="2898"/>
      <c r="K7" s="2038">
        <f t="shared" si="0"/>
        <v>-1.1899999999999999E-2</v>
      </c>
      <c r="L7" s="2023">
        <f t="shared" si="0"/>
        <v>-4.6999999999999993E-3</v>
      </c>
      <c r="M7" s="2023">
        <f t="shared" si="0"/>
        <v>-2.8999999999999998E-3</v>
      </c>
      <c r="N7" s="2023">
        <f t="shared" si="0"/>
        <v>-7.4000000000000003E-3</v>
      </c>
      <c r="O7" s="2023">
        <f t="shared" si="0"/>
        <v>-2.0999999999999999E-3</v>
      </c>
      <c r="P7" s="2023">
        <f t="shared" si="1"/>
        <v>-2.8999999999999998E-3</v>
      </c>
      <c r="Q7" s="2898"/>
      <c r="R7" s="2022">
        <f>ROUND(IF(项目基本情况!$B$8="出让",SUMPRODUCT(PRODUCT(1+K7:$K$21)),SUMPRODUCT(PRODUCT(1+K7:$K$20))),4)</f>
        <v>1.0620000000000001</v>
      </c>
      <c r="S7" s="2022">
        <f>ROUND(IF(项目基本情况!$B$8="出让",SUMPRODUCT(PRODUCT(1+L7:$L$21)),SUMPRODUCT(PRODUCT(1+L7:$L$20))),4)</f>
        <v>1.0448</v>
      </c>
      <c r="T7" s="2022">
        <f>ROUND(IF(项目基本情况!$B$8="出让",SUMPRODUCT(PRODUCT(1+M7:$M$21)),SUMPRODUCT(PRODUCT(1+M7:$M$20))),4)</f>
        <v>1.0079</v>
      </c>
      <c r="U7" s="2022">
        <f>ROUND(IF(项目基本情况!$B$8="出让",SUMPRODUCT(PRODUCT(1+N7:$N$21)),SUMPRODUCT(PRODUCT(1+N7:$N$20))),4)</f>
        <v>1.0672999999999999</v>
      </c>
      <c r="V7" s="2022">
        <f>ROUND(IF(项目基本情况!$B$8="出让",SUMPRODUCT(PRODUCT(1+O7:$O$21)),SUMPRODUCT(PRODUCT(1+O7:$O$20))),4)</f>
        <v>1.0818000000000001</v>
      </c>
      <c r="W7" s="2022">
        <f t="shared" si="2"/>
        <v>1.0079</v>
      </c>
      <c r="X7" s="2898"/>
      <c r="Y7" s="2023">
        <f t="shared" si="3"/>
        <v>4.3E-3</v>
      </c>
      <c r="Z7" s="2023">
        <f t="shared" si="3"/>
        <v>3.0999999999999999E-3</v>
      </c>
      <c r="AA7" s="2023">
        <f t="shared" si="3"/>
        <v>5.9999999999999995E-4</v>
      </c>
      <c r="AB7" s="2023">
        <f t="shared" si="3"/>
        <v>4.7000000000000002E-3</v>
      </c>
      <c r="AC7" s="2023">
        <f t="shared" si="3"/>
        <v>5.5999999999999999E-3</v>
      </c>
      <c r="AD7" s="2023">
        <f>AA7</f>
        <v>5.9999999999999995E-4</v>
      </c>
    </row>
    <row r="8" spans="1:30" s="2040" customFormat="1" ht="12.75">
      <c r="A8" s="2897" t="s">
        <v>3375</v>
      </c>
      <c r="B8" s="2026">
        <v>2024</v>
      </c>
      <c r="C8" s="2037">
        <v>2</v>
      </c>
      <c r="D8" s="2002">
        <v>-0.59</v>
      </c>
      <c r="E8" s="2002">
        <v>-0.21</v>
      </c>
      <c r="F8" s="2002">
        <v>-1.38</v>
      </c>
      <c r="G8" s="2002">
        <v>-1.24</v>
      </c>
      <c r="H8" s="2909">
        <v>0.34</v>
      </c>
      <c r="I8" s="2003">
        <f t="shared" ref="I8:I21" si="4">F8</f>
        <v>-1.38</v>
      </c>
      <c r="J8" s="2898"/>
      <c r="K8" s="2038">
        <f t="shared" ref="K8:O21" si="5">D8/100</f>
        <v>-5.8999999999999999E-3</v>
      </c>
      <c r="L8" s="2023">
        <f t="shared" si="5"/>
        <v>-2.0999999999999999E-3</v>
      </c>
      <c r="M8" s="2023">
        <f t="shared" si="5"/>
        <v>-1.38E-2</v>
      </c>
      <c r="N8" s="2023">
        <f t="shared" si="5"/>
        <v>-1.24E-2</v>
      </c>
      <c r="O8" s="2023">
        <f t="shared" si="5"/>
        <v>3.4000000000000002E-3</v>
      </c>
      <c r="P8" s="2023">
        <f t="shared" si="1"/>
        <v>-1.38E-2</v>
      </c>
      <c r="Q8" s="2898"/>
      <c r="R8" s="2022">
        <f>ROUND(IF(项目基本情况!$B$8="出让",SUMPRODUCT(PRODUCT(1+K8:$K$21)),SUMPRODUCT(PRODUCT(1+K8:$K$20))),4)</f>
        <v>1.0748</v>
      </c>
      <c r="S8" s="2022">
        <f>ROUND(IF(项目基本情况!$B$8="出让",SUMPRODUCT(PRODUCT(1+L8:$L$21)),SUMPRODUCT(PRODUCT(1+L8:$L$20))),4)</f>
        <v>1.0498000000000001</v>
      </c>
      <c r="T8" s="2022">
        <f>ROUND(IF(项目基本情况!$B$8="出让",SUMPRODUCT(PRODUCT(1+M8:$M$21)),SUMPRODUCT(PRODUCT(1+M8:$M$20))),4)</f>
        <v>1.0107999999999999</v>
      </c>
      <c r="U8" s="2022">
        <f>ROUND(IF(项目基本情况!$B$8="出让",SUMPRODUCT(PRODUCT(1+N8:$N$21)),SUMPRODUCT(PRODUCT(1+N8:$N$20))),4)</f>
        <v>1.0752999999999999</v>
      </c>
      <c r="V8" s="2022">
        <f>ROUND(IF(项目基本情况!$B$8="出让",SUMPRODUCT(PRODUCT(1+O8:$O$21)),SUMPRODUCT(PRODUCT(1+O8:$O$20))),4)</f>
        <v>1.0841000000000001</v>
      </c>
      <c r="W8" s="2022">
        <f t="shared" si="2"/>
        <v>1.0107999999999999</v>
      </c>
      <c r="X8" s="2898"/>
      <c r="Y8" s="2023">
        <f t="shared" si="3"/>
        <v>5.8999999999999999E-3</v>
      </c>
      <c r="Z8" s="2023">
        <f t="shared" si="3"/>
        <v>3.5999999999999999E-3</v>
      </c>
      <c r="AA8" s="2023">
        <f t="shared" si="3"/>
        <v>5.9999999999999995E-4</v>
      </c>
      <c r="AB8" s="2023">
        <f t="shared" si="3"/>
        <v>6.0000000000000001E-3</v>
      </c>
      <c r="AC8" s="2023">
        <f t="shared" si="3"/>
        <v>6.0000000000000001E-3</v>
      </c>
      <c r="AD8" s="2023">
        <f t="shared" ref="AD8:AD20" si="6">AA8</f>
        <v>5.9999999999999995E-4</v>
      </c>
    </row>
    <row r="9" spans="1:30" s="2040" customFormat="1" ht="12.75">
      <c r="A9" s="2897" t="s">
        <v>3371</v>
      </c>
      <c r="B9" s="2026">
        <v>2024</v>
      </c>
      <c r="C9" s="2037">
        <v>1</v>
      </c>
      <c r="D9" s="2002">
        <v>0.08</v>
      </c>
      <c r="E9" s="2002">
        <v>0.46</v>
      </c>
      <c r="F9" s="2002">
        <v>-0.16</v>
      </c>
      <c r="G9" s="2002">
        <v>0.26</v>
      </c>
      <c r="H9" s="2909">
        <v>0.59</v>
      </c>
      <c r="I9" s="2003">
        <v>0</v>
      </c>
      <c r="J9" s="2898"/>
      <c r="K9" s="2038">
        <f>D9/100</f>
        <v>8.0000000000000004E-4</v>
      </c>
      <c r="L9" s="2023">
        <f>E9/100</f>
        <v>4.5999999999999999E-3</v>
      </c>
      <c r="M9" s="2023">
        <f>F9/100</f>
        <v>-1.6000000000000001E-3</v>
      </c>
      <c r="N9" s="2023">
        <f>G9/100</f>
        <v>2.5999999999999999E-3</v>
      </c>
      <c r="O9" s="2023">
        <f>H9/100</f>
        <v>5.8999999999999999E-3</v>
      </c>
      <c r="P9" s="2023">
        <f t="shared" si="1"/>
        <v>-1.6000000000000001E-3</v>
      </c>
      <c r="Q9" s="2898"/>
      <c r="R9" s="2022">
        <f>ROUND(IF(项目基本情况!$B$8="出让",SUMPRODUCT(PRODUCT(1+K9:$K$21)),SUMPRODUCT(PRODUCT(1+K9:$K$20))),4)</f>
        <v>1.0811999999999999</v>
      </c>
      <c r="S9" s="2022">
        <f>ROUND(IF(项目基本情况!$B$8="出让",SUMPRODUCT(PRODUCT(1+L9:$L$21)),SUMPRODUCT(PRODUCT(1+L9:$L$20))),4)</f>
        <v>1.052</v>
      </c>
      <c r="T9" s="2022">
        <f>ROUND(IF(项目基本情况!$B$8="出让",SUMPRODUCT(PRODUCT(1+M9:$M$21)),SUMPRODUCT(PRODUCT(1+M9:$M$20))),4)</f>
        <v>1.0249999999999999</v>
      </c>
      <c r="U9" s="2022">
        <f>ROUND(IF(项目基本情况!$B$8="出让",SUMPRODUCT(PRODUCT(1+N9:$N$21)),SUMPRODUCT(PRODUCT(1+N9:$N$20))),4)</f>
        <v>1.0888</v>
      </c>
      <c r="V9" s="2022">
        <f>ROUND(IF(项目基本情况!$B$8="出让",SUMPRODUCT(PRODUCT(1+O9:$O$21)),SUMPRODUCT(PRODUCT(1+O9:$O$20))),4)</f>
        <v>1.0804</v>
      </c>
      <c r="W9" s="2022">
        <f t="shared" si="2"/>
        <v>1.0249999999999999</v>
      </c>
      <c r="X9" s="2898"/>
      <c r="Y9" s="2023"/>
      <c r="Z9" s="2023"/>
      <c r="AA9" s="2023"/>
      <c r="AB9" s="2023"/>
      <c r="AC9" s="2023"/>
      <c r="AD9" s="2023"/>
    </row>
    <row r="10" spans="1:30" s="2040" customFormat="1" ht="12.75">
      <c r="A10" s="2897" t="s">
        <v>3367</v>
      </c>
      <c r="B10" s="2026">
        <v>2023</v>
      </c>
      <c r="C10" s="2037">
        <v>4</v>
      </c>
      <c r="D10" s="2002">
        <v>0.19</v>
      </c>
      <c r="E10" s="2002">
        <v>0.24</v>
      </c>
      <c r="F10" s="2002">
        <v>-0.16</v>
      </c>
      <c r="G10" s="2002">
        <v>0.17</v>
      </c>
      <c r="H10" s="2909">
        <v>0.61</v>
      </c>
      <c r="I10" s="2003">
        <f>F10</f>
        <v>-0.16</v>
      </c>
      <c r="J10" s="2898"/>
      <c r="K10" s="2038">
        <f t="shared" si="5"/>
        <v>1.9E-3</v>
      </c>
      <c r="L10" s="2023">
        <f t="shared" si="5"/>
        <v>2.3999999999999998E-3</v>
      </c>
      <c r="M10" s="2023">
        <f t="shared" si="5"/>
        <v>-1.6000000000000001E-3</v>
      </c>
      <c r="N10" s="2023">
        <f t="shared" si="5"/>
        <v>1.7000000000000001E-3</v>
      </c>
      <c r="O10" s="2023">
        <f t="shared" si="5"/>
        <v>6.0999999999999995E-3</v>
      </c>
      <c r="P10" s="2023">
        <f t="shared" si="1"/>
        <v>-1.6000000000000001E-3</v>
      </c>
      <c r="Q10" s="2898"/>
      <c r="R10" s="2022">
        <f>ROUND(IF(项目基本情况!$B$8="出让",SUMPRODUCT(PRODUCT(1+K10:$K$21)),SUMPRODUCT(PRODUCT(1+K10:$K$20))),4)</f>
        <v>1.0804</v>
      </c>
      <c r="S10" s="2022">
        <f>ROUND(IF(项目基本情况!$B$8="出让",SUMPRODUCT(PRODUCT(1+L10:$L$21)),SUMPRODUCT(PRODUCT(1+L10:$L$20))),4)</f>
        <v>1.0471999999999999</v>
      </c>
      <c r="T10" s="2022">
        <f>ROUND(IF(项目基本情况!$B$8="出让",SUMPRODUCT(PRODUCT(1+M10:$M$21)),SUMPRODUCT(PRODUCT(1+M10:$M$20))),4)</f>
        <v>1.0266</v>
      </c>
      <c r="U10" s="2022">
        <f>ROUND(IF(项目基本情况!$B$8="出让",SUMPRODUCT(PRODUCT(1+N10:$N$21)),SUMPRODUCT(PRODUCT(1+N10:$N$20))),4)</f>
        <v>1.0859000000000001</v>
      </c>
      <c r="V10" s="2022">
        <f>ROUND(IF(项目基本情况!$B$8="出让",SUMPRODUCT(PRODUCT(1+O10:$O$21)),SUMPRODUCT(PRODUCT(1+O10:$O$20))),4)</f>
        <v>1.0741000000000001</v>
      </c>
      <c r="W10" s="2022">
        <f t="shared" si="2"/>
        <v>1.0266</v>
      </c>
      <c r="X10" s="2898"/>
      <c r="Y10" s="2023"/>
      <c r="Z10" s="2023"/>
      <c r="AA10" s="2023"/>
      <c r="AB10" s="2023"/>
      <c r="AC10" s="2023"/>
      <c r="AD10" s="2023"/>
    </row>
    <row r="11" spans="1:30" s="2040" customFormat="1" ht="12.75">
      <c r="A11" s="2897" t="s">
        <v>3366</v>
      </c>
      <c r="B11" s="2026">
        <v>2023</v>
      </c>
      <c r="C11" s="2037">
        <v>3</v>
      </c>
      <c r="D11" s="2002">
        <v>0.25</v>
      </c>
      <c r="E11" s="2002">
        <v>0.5</v>
      </c>
      <c r="F11" s="2002">
        <v>0.31</v>
      </c>
      <c r="G11" s="2002">
        <v>0.21</v>
      </c>
      <c r="H11" s="2909">
        <v>0.43</v>
      </c>
      <c r="I11" s="2003">
        <f t="shared" si="4"/>
        <v>0.31</v>
      </c>
      <c r="J11" s="2898"/>
      <c r="K11" s="2038">
        <f t="shared" ref="K11:O13" si="7">D11/100</f>
        <v>2.5000000000000001E-3</v>
      </c>
      <c r="L11" s="2023">
        <f t="shared" si="7"/>
        <v>5.0000000000000001E-3</v>
      </c>
      <c r="M11" s="2023">
        <f t="shared" si="7"/>
        <v>3.0999999999999999E-3</v>
      </c>
      <c r="N11" s="2023">
        <f t="shared" si="7"/>
        <v>2.0999999999999999E-3</v>
      </c>
      <c r="O11" s="2023">
        <f t="shared" si="7"/>
        <v>4.3E-3</v>
      </c>
      <c r="P11" s="2023">
        <f t="shared" si="1"/>
        <v>3.0999999999999999E-3</v>
      </c>
      <c r="Q11" s="2898"/>
      <c r="R11" s="2022">
        <f>ROUND(IF(项目基本情况!$B$8="出让",SUMPRODUCT(PRODUCT(1+K11:$K$21)),SUMPRODUCT(PRODUCT(1+K11:$K$20))),4)</f>
        <v>1.0783</v>
      </c>
      <c r="S11" s="2022">
        <f>ROUND(IF(项目基本情况!$B$8="出让",SUMPRODUCT(PRODUCT(1+L11:$L$21)),SUMPRODUCT(PRODUCT(1+L11:$L$20))),4)</f>
        <v>1.0447</v>
      </c>
      <c r="T11" s="2022">
        <f>ROUND(IF(项目基本情况!$B$8="出让",SUMPRODUCT(PRODUCT(1+M11:$M$21)),SUMPRODUCT(PRODUCT(1+M11:$M$20))),4)</f>
        <v>1.0282</v>
      </c>
      <c r="U11" s="2022">
        <f>ROUND(IF(项目基本情况!$B$8="出让",SUMPRODUCT(PRODUCT(1+N11:$N$21)),SUMPRODUCT(PRODUCT(1+N11:$N$20))),4)</f>
        <v>1.0841000000000001</v>
      </c>
      <c r="V11" s="2022">
        <f>ROUND(IF(项目基本情况!$B$8="出让",SUMPRODUCT(PRODUCT(1+O11:$O$21)),SUMPRODUCT(PRODUCT(1+O11:$O$20))),4)</f>
        <v>1.0674999999999999</v>
      </c>
      <c r="W11" s="2022">
        <f t="shared" si="2"/>
        <v>1.0282</v>
      </c>
      <c r="X11" s="2898"/>
      <c r="Y11" s="2023"/>
      <c r="Z11" s="2023"/>
      <c r="AA11" s="2023"/>
      <c r="AB11" s="2023"/>
      <c r="AC11" s="2023"/>
      <c r="AD11" s="2023"/>
    </row>
    <row r="12" spans="1:30" s="2040" customFormat="1" ht="12.75">
      <c r="A12" s="2897" t="s">
        <v>3364</v>
      </c>
      <c r="B12" s="2026">
        <v>2023</v>
      </c>
      <c r="C12" s="2037">
        <v>2</v>
      </c>
      <c r="D12" s="2002">
        <v>0.91</v>
      </c>
      <c r="E12" s="2002">
        <v>0.66</v>
      </c>
      <c r="F12" s="2002">
        <v>0.47</v>
      </c>
      <c r="G12" s="2002">
        <v>0.96</v>
      </c>
      <c r="H12" s="2909">
        <v>0.71</v>
      </c>
      <c r="I12" s="2003">
        <f t="shared" si="4"/>
        <v>0.47</v>
      </c>
      <c r="J12" s="2898"/>
      <c r="K12" s="2038">
        <f t="shared" si="7"/>
        <v>9.1000000000000004E-3</v>
      </c>
      <c r="L12" s="2023">
        <f t="shared" si="7"/>
        <v>6.6E-3</v>
      </c>
      <c r="M12" s="2023">
        <f t="shared" si="7"/>
        <v>4.6999999999999993E-3</v>
      </c>
      <c r="N12" s="2023">
        <f t="shared" si="7"/>
        <v>9.5999999999999992E-3</v>
      </c>
      <c r="O12" s="2023">
        <f t="shared" si="7"/>
        <v>7.0999999999999995E-3</v>
      </c>
      <c r="P12" s="2023">
        <f t="shared" si="1"/>
        <v>4.6999999999999993E-3</v>
      </c>
      <c r="Q12" s="2898"/>
      <c r="R12" s="2022">
        <f>ROUND(IF(项目基本情况!$B$8="出让",SUMPRODUCT(PRODUCT(1+K12:$K$21)),SUMPRODUCT(PRODUCT(1+K12:$K$20))),4)</f>
        <v>1.0755999999999999</v>
      </c>
      <c r="S12" s="2022">
        <f>ROUND(IF(项目基本情况!$B$8="出让",SUMPRODUCT(PRODUCT(1+L12:$L$21)),SUMPRODUCT(PRODUCT(1+L12:$L$20))),4)</f>
        <v>1.0395000000000001</v>
      </c>
      <c r="T12" s="2022">
        <f>ROUND(IF(项目基本情况!$B$8="出让",SUMPRODUCT(PRODUCT(1+M12:$M$21)),SUMPRODUCT(PRODUCT(1+M12:$M$20))),4)</f>
        <v>1.0250999999999999</v>
      </c>
      <c r="U12" s="2022">
        <f>ROUND(IF(项目基本情况!$B$8="出让",SUMPRODUCT(PRODUCT(1+N12:$N$21)),SUMPRODUCT(PRODUCT(1+N12:$N$20))),4)</f>
        <v>1.0818000000000001</v>
      </c>
      <c r="V12" s="2022">
        <f>ROUND(IF(项目基本情况!$B$8="出让",SUMPRODUCT(PRODUCT(1+O12:$O$21)),SUMPRODUCT(PRODUCT(1+O12:$O$20))),4)</f>
        <v>1.0629999999999999</v>
      </c>
      <c r="W12" s="2022">
        <f t="shared" si="2"/>
        <v>1.0250999999999999</v>
      </c>
      <c r="X12" s="2898"/>
      <c r="Y12" s="2023"/>
      <c r="Z12" s="2023"/>
      <c r="AA12" s="2023"/>
      <c r="AB12" s="2023"/>
      <c r="AC12" s="2023"/>
      <c r="AD12" s="2023"/>
    </row>
    <row r="13" spans="1:30" s="2040" customFormat="1" ht="12.75">
      <c r="A13" s="2897" t="s">
        <v>3363</v>
      </c>
      <c r="B13" s="2026">
        <v>2023</v>
      </c>
      <c r="C13" s="2037">
        <v>1</v>
      </c>
      <c r="D13" s="2002">
        <v>0.89</v>
      </c>
      <c r="E13" s="2002">
        <v>0.74</v>
      </c>
      <c r="F13" s="2002">
        <v>0.56999999999999995</v>
      </c>
      <c r="G13" s="2002">
        <v>0.92</v>
      </c>
      <c r="H13" s="2909">
        <v>0.5</v>
      </c>
      <c r="I13" s="2003">
        <f t="shared" si="4"/>
        <v>0.56999999999999995</v>
      </c>
      <c r="J13" s="2898"/>
      <c r="K13" s="2038">
        <f t="shared" si="7"/>
        <v>8.8999999999999999E-3</v>
      </c>
      <c r="L13" s="2023">
        <f t="shared" si="7"/>
        <v>7.4000000000000003E-3</v>
      </c>
      <c r="M13" s="2023">
        <f t="shared" si="7"/>
        <v>5.6999999999999993E-3</v>
      </c>
      <c r="N13" s="2023">
        <f t="shared" si="7"/>
        <v>9.1999999999999998E-3</v>
      </c>
      <c r="O13" s="2023">
        <f t="shared" si="7"/>
        <v>5.0000000000000001E-3</v>
      </c>
      <c r="P13" s="2023">
        <f t="shared" si="1"/>
        <v>5.6999999999999993E-3</v>
      </c>
      <c r="Q13" s="2898"/>
      <c r="R13" s="2022">
        <f>ROUND(IF(项目基本情况!$B$8="出让",SUMPRODUCT(PRODUCT(1+K13:$K$21)),SUMPRODUCT(PRODUCT(1+K13:$K$20))),4)</f>
        <v>1.0659000000000001</v>
      </c>
      <c r="S13" s="2022">
        <f>ROUND(IF(项目基本情况!$B$8="出让",SUMPRODUCT(PRODUCT(1+L13:$L$21)),SUMPRODUCT(PRODUCT(1+L13:$L$20))),4)</f>
        <v>1.0326</v>
      </c>
      <c r="T13" s="2022">
        <f>ROUND(IF(项目基本情况!$B$8="出让",SUMPRODUCT(PRODUCT(1+M13:$M$21)),SUMPRODUCT(PRODUCT(1+M13:$M$20))),4)</f>
        <v>1.0203</v>
      </c>
      <c r="U13" s="2022">
        <f>ROUND(IF(项目基本情况!$B$8="出让",SUMPRODUCT(PRODUCT(1+N13:$N$21)),SUMPRODUCT(PRODUCT(1+N13:$N$20))),4)</f>
        <v>1.0714999999999999</v>
      </c>
      <c r="V13" s="2022">
        <f>ROUND(IF(项目基本情况!$B$8="出让",SUMPRODUCT(PRODUCT(1+O13:$O$21)),SUMPRODUCT(PRODUCT(1+O13:$O$20))),4)</f>
        <v>1.0555000000000001</v>
      </c>
      <c r="W13" s="2022">
        <f t="shared" ref="W13:W20" si="8">T13</f>
        <v>1.0203</v>
      </c>
      <c r="X13" s="2898"/>
      <c r="Y13" s="2023"/>
      <c r="Z13" s="2023"/>
      <c r="AA13" s="2023"/>
      <c r="AB13" s="2023"/>
      <c r="AC13" s="2023"/>
      <c r="AD13" s="2023"/>
    </row>
    <row r="14" spans="1:30" s="2040" customFormat="1" ht="12.75">
      <c r="A14" s="2897" t="s">
        <v>3362</v>
      </c>
      <c r="B14" s="2026">
        <v>2022</v>
      </c>
      <c r="C14" s="2037">
        <v>4</v>
      </c>
      <c r="D14" s="2002">
        <v>0.62</v>
      </c>
      <c r="E14" s="2002">
        <v>0.2</v>
      </c>
      <c r="F14" s="2002">
        <v>0.11</v>
      </c>
      <c r="G14" s="2002">
        <v>0.69</v>
      </c>
      <c r="H14" s="2909">
        <v>0.53</v>
      </c>
      <c r="I14" s="2003">
        <f t="shared" si="4"/>
        <v>0.11</v>
      </c>
      <c r="J14" s="2898"/>
      <c r="K14" s="2038">
        <f t="shared" si="5"/>
        <v>6.1999999999999998E-3</v>
      </c>
      <c r="L14" s="2023">
        <f t="shared" si="5"/>
        <v>2E-3</v>
      </c>
      <c r="M14" s="2023">
        <f t="shared" si="5"/>
        <v>1.1000000000000001E-3</v>
      </c>
      <c r="N14" s="2023">
        <f t="shared" si="5"/>
        <v>6.8999999999999999E-3</v>
      </c>
      <c r="O14" s="2023">
        <f t="shared" si="5"/>
        <v>5.3E-3</v>
      </c>
      <c r="P14" s="2023">
        <f t="shared" ref="P14:P21" si="9">M14</f>
        <v>1.1000000000000001E-3</v>
      </c>
      <c r="Q14" s="2898"/>
      <c r="R14" s="2022">
        <f>ROUND(IF(项目基本情况!$B$8="出让",SUMPRODUCT(PRODUCT(1+K14:$K$21)),SUMPRODUCT(PRODUCT(1+K14:$K$20))),4)</f>
        <v>1.0565</v>
      </c>
      <c r="S14" s="2022">
        <f>ROUND(IF(项目基本情况!$B$8="出让",SUMPRODUCT(PRODUCT(1+L14:$L$21)),SUMPRODUCT(PRODUCT(1+L14:$L$20))),4)</f>
        <v>1.0250999999999999</v>
      </c>
      <c r="T14" s="2022">
        <f>ROUND(IF(项目基本情况!$B$8="出让",SUMPRODUCT(PRODUCT(1+M14:$M$21)),SUMPRODUCT(PRODUCT(1+M14:$M$20))),4)</f>
        <v>1.0145</v>
      </c>
      <c r="U14" s="2022">
        <f>ROUND(IF(项目基本情况!$B$8="出让",SUMPRODUCT(PRODUCT(1+N14:$N$21)),SUMPRODUCT(PRODUCT(1+N14:$N$20))),4)</f>
        <v>1.0618000000000001</v>
      </c>
      <c r="V14" s="2022">
        <f>ROUND(IF(项目基本情况!$B$8="出让",SUMPRODUCT(PRODUCT(1+O14:$O$21)),SUMPRODUCT(PRODUCT(1+O14:$O$20))),4)</f>
        <v>1.0502</v>
      </c>
      <c r="W14" s="2022">
        <f t="shared" si="8"/>
        <v>1.0145</v>
      </c>
      <c r="X14" s="2898"/>
      <c r="Y14" s="2023">
        <f>IF(D14=0,0,ROUND(AVERAGE(D14:D22)/100,4))</f>
        <v>8.0999999999999996E-3</v>
      </c>
      <c r="Z14" s="2023">
        <f>IF(E14=0,0,ROUND(AVERAGE(E14:E21)/100,4))</f>
        <v>3.3E-3</v>
      </c>
      <c r="AA14" s="2023">
        <f>IF(F14=0,0,ROUND(AVERAGE(F14:F21)/100,4))</f>
        <v>1.5E-3</v>
      </c>
      <c r="AB14" s="2023">
        <f>IF(G14=0,0,ROUND(AVERAGE(G14:G21)/100,4))</f>
        <v>8.8999999999999999E-3</v>
      </c>
      <c r="AC14" s="2023">
        <f>IF(H14=0,0,ROUND(AVERAGE(H14:H21)/100,4))</f>
        <v>6.6E-3</v>
      </c>
      <c r="AD14" s="2023">
        <f t="shared" si="6"/>
        <v>1.5E-3</v>
      </c>
    </row>
    <row r="15" spans="1:30" s="2040" customFormat="1" ht="12.75">
      <c r="A15" s="2897" t="s">
        <v>3360</v>
      </c>
      <c r="B15" s="2026">
        <v>2022</v>
      </c>
      <c r="C15" s="2037">
        <v>3</v>
      </c>
      <c r="D15" s="2002">
        <v>0.66</v>
      </c>
      <c r="E15" s="2002">
        <v>0.32</v>
      </c>
      <c r="F15" s="2002">
        <v>0.23</v>
      </c>
      <c r="G15" s="2002">
        <v>0.72</v>
      </c>
      <c r="H15" s="2909">
        <v>0.63</v>
      </c>
      <c r="I15" s="2003">
        <f t="shared" si="4"/>
        <v>0.23</v>
      </c>
      <c r="J15" s="2898"/>
      <c r="K15" s="2038">
        <f t="shared" si="5"/>
        <v>6.6E-3</v>
      </c>
      <c r="L15" s="2023">
        <f t="shared" si="5"/>
        <v>3.2000000000000002E-3</v>
      </c>
      <c r="M15" s="2023">
        <f t="shared" si="5"/>
        <v>2.3E-3</v>
      </c>
      <c r="N15" s="2023">
        <f t="shared" si="5"/>
        <v>7.1999999999999998E-3</v>
      </c>
      <c r="O15" s="2023">
        <f t="shared" si="5"/>
        <v>6.3E-3</v>
      </c>
      <c r="P15" s="2023">
        <f t="shared" si="9"/>
        <v>2.3E-3</v>
      </c>
      <c r="Q15" s="2898"/>
      <c r="R15" s="2022">
        <f>ROUND(IF(项目基本情况!$B$8="出让",SUMPRODUCT(PRODUCT(1+K15:$K$21)),SUMPRODUCT(PRODUCT(1+K15:$K$20))),4)</f>
        <v>1.05</v>
      </c>
      <c r="S15" s="2022">
        <f>ROUND(IF(项目基本情况!$B$8="出让",SUMPRODUCT(PRODUCT(1+L15:$L$21)),SUMPRODUCT(PRODUCT(1+L15:$L$20))),4)</f>
        <v>1.0229999999999999</v>
      </c>
      <c r="T15" s="2022">
        <f>ROUND(IF(项目基本情况!$B$8="出让",SUMPRODUCT(PRODUCT(1+M15:$M$21)),SUMPRODUCT(PRODUCT(1+M15:$M$20))),4)</f>
        <v>1.0134000000000001</v>
      </c>
      <c r="U15" s="2022">
        <f>ROUND(IF(项目基本情况!$B$8="出让",SUMPRODUCT(PRODUCT(1+N15:$N$21)),SUMPRODUCT(PRODUCT(1+N15:$N$20))),4)</f>
        <v>1.0545</v>
      </c>
      <c r="V15" s="2022">
        <f>ROUND(IF(项目基本情况!$B$8="出让",SUMPRODUCT(PRODUCT(1+O15:$O$21)),SUMPRODUCT(PRODUCT(1+O15:$O$20))),4)</f>
        <v>1.0447</v>
      </c>
      <c r="W15" s="2022">
        <f t="shared" si="8"/>
        <v>1.0134000000000001</v>
      </c>
      <c r="X15" s="2898"/>
      <c r="Y15" s="2023">
        <f>IF(D15=0,0,ROUND(AVERAGE(D15:D21)/100,4))</f>
        <v>8.3999999999999995E-3</v>
      </c>
      <c r="Z15" s="2023">
        <f>IF(E15=0,0,ROUND(AVERAGE(E15:E21)/100,4))</f>
        <v>3.5000000000000001E-3</v>
      </c>
      <c r="AA15" s="2023">
        <f>IF(F15=0,0,ROUND(AVERAGE(F15:F21)/100,4))</f>
        <v>1.5E-3</v>
      </c>
      <c r="AB15" s="2023">
        <f>IF(G15=0,0,ROUND(AVERAGE(G15:G21)/100,4))</f>
        <v>9.1999999999999998E-3</v>
      </c>
      <c r="AC15" s="2023">
        <f>IF(H15=0,0,ROUND(AVERAGE(H15:H21)/100,4))</f>
        <v>6.7999999999999996E-3</v>
      </c>
      <c r="AD15" s="2023">
        <f t="shared" si="6"/>
        <v>1.5E-3</v>
      </c>
    </row>
    <row r="16" spans="1:30" s="2040" customFormat="1" ht="12.75">
      <c r="A16" s="2897" t="s">
        <v>3351</v>
      </c>
      <c r="B16" s="2026">
        <v>2022</v>
      </c>
      <c r="C16" s="2037">
        <v>2</v>
      </c>
      <c r="D16" s="2002">
        <v>0.93</v>
      </c>
      <c r="E16" s="2002">
        <v>0.15</v>
      </c>
      <c r="F16" s="2002">
        <v>0.01</v>
      </c>
      <c r="G16" s="2002">
        <v>1.05</v>
      </c>
      <c r="H16" s="2909">
        <v>1.08</v>
      </c>
      <c r="I16" s="2003">
        <f t="shared" si="4"/>
        <v>0.01</v>
      </c>
      <c r="J16" s="2898"/>
      <c r="K16" s="2038">
        <f t="shared" si="5"/>
        <v>9.300000000000001E-3</v>
      </c>
      <c r="L16" s="2023">
        <f t="shared" si="5"/>
        <v>1.5E-3</v>
      </c>
      <c r="M16" s="2023">
        <f t="shared" si="5"/>
        <v>1E-4</v>
      </c>
      <c r="N16" s="2023">
        <f t="shared" si="5"/>
        <v>1.0500000000000001E-2</v>
      </c>
      <c r="O16" s="2023">
        <f t="shared" si="5"/>
        <v>1.0800000000000001E-2</v>
      </c>
      <c r="P16" s="2023">
        <f t="shared" si="9"/>
        <v>1E-4</v>
      </c>
      <c r="Q16" s="2898"/>
      <c r="R16" s="2022">
        <f>ROUND(IF(项目基本情况!$B$8="出让",SUMPRODUCT(PRODUCT(1+K16:$K$21)),SUMPRODUCT(PRODUCT(1+K16:$K$20))),4)</f>
        <v>1.0430999999999999</v>
      </c>
      <c r="S16" s="2022">
        <f>ROUND(IF(项目基本情况!$B$8="出让",SUMPRODUCT(PRODUCT(1+L16:$L$21)),SUMPRODUCT(PRODUCT(1+L16:$L$20))),4)</f>
        <v>1.0197000000000001</v>
      </c>
      <c r="T16" s="2022">
        <f>ROUND(IF(项目基本情况!$B$8="出让",SUMPRODUCT(PRODUCT(1+M16:$M$21)),SUMPRODUCT(PRODUCT(1+M16:$M$20))),4)</f>
        <v>1.0109999999999999</v>
      </c>
      <c r="U16" s="2022">
        <f>ROUND(IF(项目基本情况!$B$8="出让",SUMPRODUCT(PRODUCT(1+N16:$N$21)),SUMPRODUCT(PRODUCT(1+N16:$N$20))),4)</f>
        <v>1.0468999999999999</v>
      </c>
      <c r="V16" s="2022">
        <f>ROUND(IF(项目基本情况!$B$8="出让",SUMPRODUCT(PRODUCT(1+O16:$O$21)),SUMPRODUCT(PRODUCT(1+O16:$O$20))),4)</f>
        <v>1.0382</v>
      </c>
      <c r="W16" s="2022">
        <f t="shared" si="8"/>
        <v>1.0109999999999999</v>
      </c>
      <c r="X16" s="2898"/>
      <c r="Y16" s="2023">
        <f>IF(D16=0,0,ROUND(AVERAGE(D16:D21)/100,4))</f>
        <v>8.6999999999999994E-3</v>
      </c>
      <c r="Z16" s="2023">
        <f>IF(E16=0,0,ROUND(AVERAGE(E16:E21)/100,4))</f>
        <v>3.5000000000000001E-3</v>
      </c>
      <c r="AA16" s="2023">
        <f>IF(F16=0,0,ROUND(AVERAGE(F16:F21)/100,4))</f>
        <v>1.4E-3</v>
      </c>
      <c r="AB16" s="2023">
        <f>IF(G16=0,0,ROUND(AVERAGE(G16:G21)/100,4))</f>
        <v>9.4999999999999998E-3</v>
      </c>
      <c r="AC16" s="2023">
        <f>IF(H16=0,0,ROUND(AVERAGE(H16:H21)/100,4))</f>
        <v>6.8999999999999999E-3</v>
      </c>
      <c r="AD16" s="2023">
        <f t="shared" si="6"/>
        <v>1.4E-3</v>
      </c>
    </row>
    <row r="17" spans="1:30" s="2040" customFormat="1" ht="12.75">
      <c r="A17" s="2897" t="s">
        <v>2816</v>
      </c>
      <c r="B17" s="2026">
        <v>2022</v>
      </c>
      <c r="C17" s="2037">
        <v>1</v>
      </c>
      <c r="D17" s="2002">
        <v>0.89</v>
      </c>
      <c r="E17" s="2002">
        <v>0.44</v>
      </c>
      <c r="F17" s="2002">
        <v>0.37</v>
      </c>
      <c r="G17" s="2002">
        <v>0.96</v>
      </c>
      <c r="H17" s="2909">
        <v>0.64</v>
      </c>
      <c r="I17" s="2003">
        <f t="shared" si="4"/>
        <v>0.37</v>
      </c>
      <c r="J17" s="2898"/>
      <c r="K17" s="2038">
        <f t="shared" si="5"/>
        <v>8.8999999999999999E-3</v>
      </c>
      <c r="L17" s="2023">
        <f t="shared" si="5"/>
        <v>4.4000000000000003E-3</v>
      </c>
      <c r="M17" s="2023">
        <f t="shared" si="5"/>
        <v>3.7000000000000002E-3</v>
      </c>
      <c r="N17" s="2023">
        <f t="shared" si="5"/>
        <v>9.5999999999999992E-3</v>
      </c>
      <c r="O17" s="2023">
        <f t="shared" si="5"/>
        <v>6.4000000000000003E-3</v>
      </c>
      <c r="P17" s="2023">
        <f t="shared" si="9"/>
        <v>3.7000000000000002E-3</v>
      </c>
      <c r="Q17" s="2898"/>
      <c r="R17" s="2022">
        <f>ROUND(IF(项目基本情况!$B$8="出让",SUMPRODUCT(PRODUCT(1+K17:$K$21)),SUMPRODUCT(PRODUCT(1+K17:$K$20))),4)</f>
        <v>1.0335000000000001</v>
      </c>
      <c r="S17" s="2022">
        <f>ROUND(IF(项目基本情况!$B$8="出让",SUMPRODUCT(PRODUCT(1+L17:$L$21)),SUMPRODUCT(PRODUCT(1+L17:$L$20))),4)</f>
        <v>1.0182</v>
      </c>
      <c r="T17" s="2022">
        <f>ROUND(IF(项目基本情况!$B$8="出让",SUMPRODUCT(PRODUCT(1+M17:$M$21)),SUMPRODUCT(PRODUCT(1+M17:$M$20))),4)</f>
        <v>1.0108999999999999</v>
      </c>
      <c r="U17" s="2022">
        <f>ROUND(IF(项目基本情况!$B$8="出让",SUMPRODUCT(PRODUCT(1+N17:$N$21)),SUMPRODUCT(PRODUCT(1+N17:$N$20))),4)</f>
        <v>1.0361</v>
      </c>
      <c r="V17" s="2022">
        <f>ROUND(IF(项目基本情况!$B$8="出让",SUMPRODUCT(PRODUCT(1+O17:$O$21)),SUMPRODUCT(PRODUCT(1+O17:$O$20))),4)</f>
        <v>1.0270999999999999</v>
      </c>
      <c r="W17" s="2022">
        <f t="shared" si="8"/>
        <v>1.0108999999999999</v>
      </c>
      <c r="X17" s="2898"/>
      <c r="Y17" s="2023">
        <f>IF(D17=0,0,ROUND(AVERAGE(D17:D21)/100,4))</f>
        <v>8.6E-3</v>
      </c>
      <c r="Z17" s="2023">
        <f>IF(E17=0,0,ROUND(AVERAGE(E17:E21)/100,4))</f>
        <v>3.8999999999999998E-3</v>
      </c>
      <c r="AA17" s="2023">
        <f>IF(F17=0,0,ROUND(AVERAGE(F17:F21)/100,4))</f>
        <v>1.6999999999999999E-3</v>
      </c>
      <c r="AB17" s="2023">
        <f>IF(G17=0,0,ROUND(AVERAGE(G17:G21)/100,4))</f>
        <v>9.2999999999999992E-3</v>
      </c>
      <c r="AC17" s="2023">
        <f>IF(H17=0,0,ROUND(AVERAGE(H17:H21)/100,4))</f>
        <v>6.1000000000000004E-3</v>
      </c>
      <c r="AD17" s="2023">
        <f t="shared" si="6"/>
        <v>1.6999999999999999E-3</v>
      </c>
    </row>
    <row r="18" spans="1:30" s="2040" customFormat="1" ht="12.75">
      <c r="A18" s="2897" t="s">
        <v>2817</v>
      </c>
      <c r="B18" s="2026">
        <v>2021</v>
      </c>
      <c r="C18" s="2037">
        <v>4</v>
      </c>
      <c r="D18" s="2002">
        <v>1.03</v>
      </c>
      <c r="E18" s="2002">
        <v>0.24</v>
      </c>
      <c r="F18" s="2002">
        <v>7.0000000000000007E-2</v>
      </c>
      <c r="G18" s="2002">
        <v>1.17</v>
      </c>
      <c r="H18" s="2909">
        <v>0.55000000000000004</v>
      </c>
      <c r="I18" s="2003">
        <f t="shared" si="4"/>
        <v>7.0000000000000007E-2</v>
      </c>
      <c r="J18" s="2898"/>
      <c r="K18" s="2038">
        <f t="shared" si="5"/>
        <v>1.03E-2</v>
      </c>
      <c r="L18" s="2023">
        <f t="shared" si="5"/>
        <v>2.3999999999999998E-3</v>
      </c>
      <c r="M18" s="2023">
        <f t="shared" si="5"/>
        <v>7.000000000000001E-4</v>
      </c>
      <c r="N18" s="2023">
        <f t="shared" si="5"/>
        <v>1.1699999999999999E-2</v>
      </c>
      <c r="O18" s="2023">
        <f t="shared" si="5"/>
        <v>5.5000000000000005E-3</v>
      </c>
      <c r="P18" s="2023">
        <f t="shared" si="9"/>
        <v>7.000000000000001E-4</v>
      </c>
      <c r="Q18" s="2898"/>
      <c r="R18" s="2022">
        <f>ROUND(IF(项目基本情况!$B$8="出让",SUMPRODUCT(PRODUCT(1+K18:$K$21)),SUMPRODUCT(PRODUCT(1+K18:$K$20))),4)</f>
        <v>1.0244</v>
      </c>
      <c r="S18" s="2022">
        <f>ROUND(IF(项目基本情况!$B$8="出让",SUMPRODUCT(PRODUCT(1+L18:$L$21)),SUMPRODUCT(PRODUCT(1+L18:$L$20))),4)</f>
        <v>1.0138</v>
      </c>
      <c r="T18" s="2022">
        <f>ROUND(IF(项目基本情况!$B$8="出让",SUMPRODUCT(PRODUCT(1+M18:$M$21)),SUMPRODUCT(PRODUCT(1+M18:$M$20))),4)</f>
        <v>1.0072000000000001</v>
      </c>
      <c r="U18" s="2022">
        <f>ROUND(IF(项目基本情况!$B$8="出让",SUMPRODUCT(PRODUCT(1+N18:$N$21)),SUMPRODUCT(PRODUCT(1+N18:$N$20))),4)</f>
        <v>1.0262</v>
      </c>
      <c r="V18" s="2022">
        <f>ROUND(IF(项目基本情况!$B$8="出让",SUMPRODUCT(PRODUCT(1+O18:$O$21)),SUMPRODUCT(PRODUCT(1+O18:$O$20))),4)</f>
        <v>1.0205</v>
      </c>
      <c r="W18" s="2022">
        <f t="shared" si="8"/>
        <v>1.0072000000000001</v>
      </c>
      <c r="X18" s="2898"/>
      <c r="Y18" s="2023">
        <f>IF(D18=0,0,ROUND(AVERAGE(D18:D21)/100,4))</f>
        <v>8.5000000000000006E-3</v>
      </c>
      <c r="Z18" s="2023">
        <f>IF(E18=0,0,ROUND(AVERAGE(E18:E21)/100,4))</f>
        <v>3.8E-3</v>
      </c>
      <c r="AA18" s="2023">
        <f>IF(F18=0,0,ROUND(AVERAGE(F18:F21)/100,4))</f>
        <v>1.1999999999999999E-3</v>
      </c>
      <c r="AB18" s="2023">
        <f>IF(G18=0,0,ROUND(AVERAGE(G18:G21)/100,4))</f>
        <v>9.2999999999999992E-3</v>
      </c>
      <c r="AC18" s="2023">
        <f>IF(H18=0,0,ROUND(AVERAGE(H18:H21)/100,4))</f>
        <v>6.0000000000000001E-3</v>
      </c>
      <c r="AD18" s="2023">
        <f t="shared" si="6"/>
        <v>1.1999999999999999E-3</v>
      </c>
    </row>
    <row r="19" spans="1:30" s="2040" customFormat="1" ht="12.75">
      <c r="A19" s="2897" t="s">
        <v>2818</v>
      </c>
      <c r="B19" s="2026">
        <v>2021</v>
      </c>
      <c r="C19" s="2037">
        <v>3</v>
      </c>
      <c r="D19" s="2002">
        <v>0.47</v>
      </c>
      <c r="E19" s="2002">
        <v>0.41</v>
      </c>
      <c r="F19" s="2002">
        <v>0.24</v>
      </c>
      <c r="G19" s="2002">
        <v>0.48</v>
      </c>
      <c r="H19" s="2909">
        <v>0.48</v>
      </c>
      <c r="I19" s="2003">
        <f t="shared" si="4"/>
        <v>0.24</v>
      </c>
      <c r="J19" s="2898"/>
      <c r="K19" s="2038">
        <f t="shared" si="5"/>
        <v>4.6999999999999993E-3</v>
      </c>
      <c r="L19" s="2023">
        <f t="shared" si="5"/>
        <v>4.0999999999999995E-3</v>
      </c>
      <c r="M19" s="2023">
        <f t="shared" si="5"/>
        <v>2.3999999999999998E-3</v>
      </c>
      <c r="N19" s="2023">
        <f t="shared" si="5"/>
        <v>4.7999999999999996E-3</v>
      </c>
      <c r="O19" s="2023">
        <f t="shared" si="5"/>
        <v>4.7999999999999996E-3</v>
      </c>
      <c r="P19" s="2023">
        <f t="shared" si="9"/>
        <v>2.3999999999999998E-3</v>
      </c>
      <c r="Q19" s="2898"/>
      <c r="R19" s="2022">
        <f>ROUND(IF(项目基本情况!$B$8="出让",SUMPRODUCT(PRODUCT(1+K19:$K$21)),SUMPRODUCT(PRODUCT(1+K19:$K$20))),4)</f>
        <v>1.0139</v>
      </c>
      <c r="S19" s="2022">
        <f>ROUND(IF(项目基本情况!$B$8="出让",SUMPRODUCT(PRODUCT(1+L19:$L$21)),SUMPRODUCT(PRODUCT(1+L19:$L$20))),4)</f>
        <v>1.0113000000000001</v>
      </c>
      <c r="T19" s="2022">
        <f>ROUND(IF(项目基本情况!$B$8="出让",SUMPRODUCT(PRODUCT(1+M19:$M$21)),SUMPRODUCT(PRODUCT(1+M19:$M$20))),4)</f>
        <v>1.0065</v>
      </c>
      <c r="U19" s="2022">
        <f>ROUND(IF(项目基本情况!$B$8="出让",SUMPRODUCT(PRODUCT(1+N19:$N$21)),SUMPRODUCT(PRODUCT(1+N19:$N$20))),4)</f>
        <v>1.0143</v>
      </c>
      <c r="V19" s="2022">
        <f>ROUND(IF(项目基本情况!$B$8="出让",SUMPRODUCT(PRODUCT(1+O19:$O$21)),SUMPRODUCT(PRODUCT(1+O19:$O$20))),4)</f>
        <v>1.0148999999999999</v>
      </c>
      <c r="W19" s="2022">
        <f t="shared" si="8"/>
        <v>1.0065</v>
      </c>
      <c r="X19" s="2898"/>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6"/>
        <v>1.2999999999999999E-3</v>
      </c>
    </row>
    <row r="20" spans="1:30" s="2040" customFormat="1" ht="12.75">
      <c r="A20" s="2897" t="s">
        <v>2819</v>
      </c>
      <c r="B20" s="2026">
        <v>2021</v>
      </c>
      <c r="C20" s="2037">
        <v>2</v>
      </c>
      <c r="D20" s="2002">
        <v>0.92</v>
      </c>
      <c r="E20" s="2002">
        <v>0.72</v>
      </c>
      <c r="F20" s="2002">
        <v>0.41</v>
      </c>
      <c r="G20" s="2002">
        <v>0.95</v>
      </c>
      <c r="H20" s="2909">
        <v>1.01</v>
      </c>
      <c r="I20" s="2003">
        <f t="shared" si="4"/>
        <v>0.41</v>
      </c>
      <c r="J20" s="2898"/>
      <c r="K20" s="2038">
        <f t="shared" si="5"/>
        <v>9.1999999999999998E-3</v>
      </c>
      <c r="L20" s="2023">
        <f t="shared" si="5"/>
        <v>7.1999999999999998E-3</v>
      </c>
      <c r="M20" s="2023">
        <f t="shared" si="5"/>
        <v>4.0999999999999995E-3</v>
      </c>
      <c r="N20" s="2023">
        <f t="shared" si="5"/>
        <v>9.4999999999999998E-3</v>
      </c>
      <c r="O20" s="2023">
        <f t="shared" si="5"/>
        <v>1.01E-2</v>
      </c>
      <c r="P20" s="2023">
        <f t="shared" si="9"/>
        <v>4.0999999999999995E-3</v>
      </c>
      <c r="Q20" s="2898"/>
      <c r="R20" s="2022">
        <f>ROUND(IF(项目基本情况!$B$8="出让",SUMPRODUCT(PRODUCT(1+K20:$K$21)),SUMPRODUCT(PRODUCT(1+K20:$K$20))),4)</f>
        <v>1.0092000000000001</v>
      </c>
      <c r="S20" s="2022">
        <f>ROUND(IF(项目基本情况!$B$8="出让",SUMPRODUCT(PRODUCT(1+L20:$L$21)),SUMPRODUCT(PRODUCT(1+L20:$L$20))),4)</f>
        <v>1.0072000000000001</v>
      </c>
      <c r="T20" s="2022">
        <f>ROUND(IF(项目基本情况!$B$8="出让",SUMPRODUCT(PRODUCT(1+M20:$M$21)),SUMPRODUCT(PRODUCT(1+M20:$M$20))),4)</f>
        <v>1.0041</v>
      </c>
      <c r="U20" s="2022">
        <f>ROUND(IF(项目基本情况!$B$8="出让",SUMPRODUCT(PRODUCT(1+N20:$N$21)),SUMPRODUCT(PRODUCT(1+N20:$N$20))),4)</f>
        <v>1.0095000000000001</v>
      </c>
      <c r="V20" s="2022">
        <f>ROUND(IF(项目基本情况!$B$8="出让",SUMPRODUCT(PRODUCT(1+O20:$O$21)),SUMPRODUCT(PRODUCT(1+O20:$O$20))),4)</f>
        <v>1.0101</v>
      </c>
      <c r="W20" s="2022">
        <f t="shared" si="8"/>
        <v>1.0041</v>
      </c>
      <c r="X20" s="2898"/>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6"/>
        <v>8.0000000000000004E-4</v>
      </c>
    </row>
    <row r="21" spans="1:30" s="2920" customFormat="1" thickBot="1">
      <c r="A21" s="2910" t="s">
        <v>2820</v>
      </c>
      <c r="B21" s="2911">
        <v>2021</v>
      </c>
      <c r="C21" s="2912">
        <v>1</v>
      </c>
      <c r="D21" s="2913">
        <v>0.97</v>
      </c>
      <c r="E21" s="2913">
        <v>0.16</v>
      </c>
      <c r="F21" s="2913">
        <v>-0.25</v>
      </c>
      <c r="G21" s="2913">
        <v>1.1100000000000001</v>
      </c>
      <c r="H21" s="2914">
        <v>0.36</v>
      </c>
      <c r="I21" s="2915">
        <f t="shared" si="4"/>
        <v>-0.25</v>
      </c>
      <c r="J21" s="2916"/>
      <c r="K21" s="2917">
        <f t="shared" si="5"/>
        <v>9.7000000000000003E-3</v>
      </c>
      <c r="L21" s="2918">
        <f t="shared" si="5"/>
        <v>1.6000000000000001E-3</v>
      </c>
      <c r="M21" s="2918">
        <f>F21/100</f>
        <v>-2.5000000000000001E-3</v>
      </c>
      <c r="N21" s="2918">
        <f t="shared" si="5"/>
        <v>1.11E-2</v>
      </c>
      <c r="O21" s="2918">
        <f t="shared" si="5"/>
        <v>3.5999999999999999E-3</v>
      </c>
      <c r="P21" s="2918">
        <f t="shared" si="9"/>
        <v>-2.5000000000000001E-3</v>
      </c>
      <c r="Q21" s="2916"/>
      <c r="R21" s="2919">
        <v>1</v>
      </c>
      <c r="S21" s="2919">
        <v>1</v>
      </c>
      <c r="T21" s="2919">
        <v>1</v>
      </c>
      <c r="U21" s="2919">
        <v>1</v>
      </c>
      <c r="V21" s="2919">
        <v>1</v>
      </c>
      <c r="W21" s="2919">
        <f>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4.25" thickTop="1"/>
    <row r="23" spans="1:30">
      <c r="A23" s="3105" t="s">
        <v>3381</v>
      </c>
    </row>
    <row r="24" spans="1:30">
      <c r="I24" s="1401" t="s">
        <v>2821</v>
      </c>
    </row>
    <row r="26" spans="1:30" s="2004" customFormat="1" ht="12.75">
      <c r="B26" s="2921" t="s">
        <v>3379</v>
      </c>
      <c r="C26" s="2922"/>
      <c r="D26" s="2922"/>
      <c r="E26" s="2922"/>
      <c r="F26" s="2922"/>
      <c r="G26" s="2922"/>
      <c r="H26" s="2922"/>
      <c r="I26" s="2922"/>
      <c r="J26" s="2888"/>
      <c r="K26" s="2922" t="s">
        <v>2822</v>
      </c>
      <c r="L26" s="2922"/>
      <c r="M26" s="2922"/>
      <c r="N26" s="2922"/>
      <c r="O26" s="2922"/>
      <c r="P26" s="2922"/>
      <c r="Q26" s="2888"/>
      <c r="R26" s="3518" t="s">
        <v>2823</v>
      </c>
      <c r="S26" s="3519"/>
      <c r="T26" s="3519"/>
      <c r="U26" s="3519"/>
      <c r="V26" s="3519"/>
      <c r="W26" s="3519"/>
      <c r="X26" s="2888"/>
      <c r="Y26" s="3518" t="s">
        <v>2824</v>
      </c>
      <c r="Z26" s="3519"/>
      <c r="AA26" s="3519"/>
      <c r="AB26" s="3519"/>
      <c r="AC26" s="3519"/>
      <c r="AD26" s="3519"/>
    </row>
    <row r="27" spans="1:30" s="2005" customFormat="1" ht="14.25" thickBot="1">
      <c r="B27" s="2873"/>
      <c r="C27" s="2874"/>
      <c r="D27" s="2006" t="s">
        <v>2825</v>
      </c>
      <c r="E27" s="2007" t="s">
        <v>2826</v>
      </c>
      <c r="F27" s="2007" t="s">
        <v>2827</v>
      </c>
      <c r="G27" s="2007" t="s">
        <v>2828</v>
      </c>
      <c r="H27" s="2007"/>
      <c r="I27" s="2007" t="s">
        <v>2829</v>
      </c>
      <c r="J27" s="2875"/>
      <c r="K27" s="2006" t="s">
        <v>2825</v>
      </c>
      <c r="L27" s="2007" t="s">
        <v>2826</v>
      </c>
      <c r="M27" s="2007" t="s">
        <v>2827</v>
      </c>
      <c r="N27" s="2007" t="s">
        <v>2828</v>
      </c>
      <c r="O27" s="2007"/>
      <c r="P27" s="2007" t="s">
        <v>2829</v>
      </c>
      <c r="Q27" s="2875"/>
      <c r="R27" s="2006" t="s">
        <v>2825</v>
      </c>
      <c r="S27" s="2007" t="s">
        <v>2826</v>
      </c>
      <c r="T27" s="2007" t="s">
        <v>2827</v>
      </c>
      <c r="U27" s="2007" t="s">
        <v>2828</v>
      </c>
      <c r="V27" s="2007"/>
      <c r="W27" s="2007" t="s">
        <v>2829</v>
      </c>
      <c r="X27" s="2875"/>
      <c r="Y27" s="2006" t="s">
        <v>2825</v>
      </c>
      <c r="Z27" s="2007" t="s">
        <v>2826</v>
      </c>
      <c r="AA27" s="2007" t="s">
        <v>2827</v>
      </c>
      <c r="AB27" s="2007" t="s">
        <v>2828</v>
      </c>
      <c r="AC27" s="2007"/>
      <c r="AD27" s="2007" t="s">
        <v>2829</v>
      </c>
    </row>
    <row r="28" spans="1:30" s="2878" customFormat="1" ht="12.75">
      <c r="A28" s="2876" t="s">
        <v>2830</v>
      </c>
      <c r="B28" s="2877"/>
      <c r="E28" s="2878">
        <f>ROUND(AVERAGEIF(E29:E46,"&lt;&gt;0"),2)</f>
        <v>0.26</v>
      </c>
      <c r="F28" s="2878">
        <f>ROUND(AVERAGEIF(F29:F46,"&lt;&gt;0"),2)</f>
        <v>0.19</v>
      </c>
      <c r="G28" s="2878">
        <f>ROUND(AVERAGEIF(G29:G46,"&lt;&gt;0"),2)</f>
        <v>0.38</v>
      </c>
      <c r="I28" s="2878">
        <f>F28</f>
        <v>0.19</v>
      </c>
      <c r="J28" s="2879"/>
      <c r="K28" s="2880"/>
      <c r="L28" s="2881">
        <f>ROUND(AVERAGEIF(L29:L46,"&lt;&gt;0"),4)</f>
        <v>2.5999999999999999E-3</v>
      </c>
      <c r="M28" s="2881">
        <f>ROUND(AVERAGEIF(M29:M46,"&lt;&gt;0"),4)</f>
        <v>1.9E-3</v>
      </c>
      <c r="N28" s="2881">
        <f>ROUND(AVERAGEIF(N29:N46,"&lt;&gt;0"),4)</f>
        <v>3.8E-3</v>
      </c>
      <c r="O28" s="2881"/>
      <c r="P28" s="2881">
        <f>M28</f>
        <v>1.9E-3</v>
      </c>
      <c r="Q28" s="2879"/>
      <c r="R28" s="2882"/>
      <c r="S28" s="2883">
        <f>ROUND(SUMPRODUCT(PRODUCT(1+L29:L46)),4)</f>
        <v>1.04</v>
      </c>
      <c r="T28" s="2883">
        <f>ROUND(SUMPRODUCT(PRODUCT(1+M29:M46)),4)</f>
        <v>1.0293000000000001</v>
      </c>
      <c r="U28" s="2883">
        <f>ROUND(SUMPRODUCT(PRODUCT(1+N29:N46)),4)</f>
        <v>1.0583</v>
      </c>
      <c r="V28" s="2883"/>
      <c r="W28" s="2882">
        <f>T28</f>
        <v>1.0293000000000001</v>
      </c>
      <c r="X28" s="2879"/>
      <c r="Y28" s="2884"/>
      <c r="Z28" s="2885">
        <f>ROUND(AVERAGEIF(Z29:Z46,"&lt;&gt;0"),4)</f>
        <v>4.1000000000000003E-3</v>
      </c>
      <c r="AA28" s="2886">
        <f>ROUND(AVERAGEIF(AA29:AA46,"&lt;&gt;0"),4)</f>
        <v>3.3E-3</v>
      </c>
      <c r="AB28" s="2884">
        <f>ROUND(AVERAGEIF(AB29:AB46,"&lt;&gt;0"),4)</f>
        <v>8.0999999999999996E-3</v>
      </c>
      <c r="AC28" s="2887"/>
      <c r="AD28" s="2884">
        <f>AA28</f>
        <v>3.3E-3</v>
      </c>
    </row>
    <row r="29" spans="1:30" s="2004" customFormat="1" ht="12.75">
      <c r="B29" s="2020"/>
      <c r="J29" s="2888"/>
      <c r="K29" s="2889"/>
      <c r="L29" s="2890"/>
      <c r="M29" s="2890"/>
      <c r="N29" s="2890"/>
      <c r="O29" s="2890"/>
      <c r="P29" s="2890"/>
      <c r="Q29" s="2888"/>
      <c r="R29" s="2022"/>
      <c r="S29" s="2891"/>
      <c r="T29" s="2892"/>
      <c r="U29" s="2022"/>
      <c r="V29" s="2893"/>
      <c r="W29" s="2022"/>
      <c r="X29" s="2888"/>
      <c r="Y29" s="2023"/>
      <c r="Z29" s="2894"/>
      <c r="AA29" s="2895"/>
      <c r="AB29" s="2023"/>
      <c r="AC29" s="2896"/>
      <c r="AD29" s="2023"/>
    </row>
    <row r="30" spans="1:30" s="2040" customFormat="1" ht="12.75">
      <c r="A30" s="2035" t="s">
        <v>3374</v>
      </c>
      <c r="B30" s="2026">
        <v>2025</v>
      </c>
      <c r="C30" s="2037">
        <v>1</v>
      </c>
      <c r="D30" s="2002"/>
      <c r="E30" s="2002">
        <v>0</v>
      </c>
      <c r="F30" s="2002">
        <v>0</v>
      </c>
      <c r="G30" s="2002">
        <v>0</v>
      </c>
      <c r="H30" s="2002"/>
      <c r="I30" s="2003">
        <f>F30</f>
        <v>0</v>
      </c>
      <c r="J30" s="2898"/>
      <c r="K30" s="2038"/>
      <c r="L30" s="2023">
        <f t="shared" ref="L30:N32" si="10">E30/100</f>
        <v>0</v>
      </c>
      <c r="M30" s="2023">
        <f t="shared" si="10"/>
        <v>0</v>
      </c>
      <c r="N30" s="2023">
        <f t="shared" si="10"/>
        <v>0</v>
      </c>
      <c r="O30" s="2023"/>
      <c r="P30" s="2023">
        <f t="shared" ref="P30:P38" si="11">M30</f>
        <v>0</v>
      </c>
      <c r="Q30" s="2898"/>
      <c r="R30" s="2022"/>
      <c r="S30" s="2022">
        <f>ROUND(IF(项目基本情况!$B$8="出让",SUMPRODUCT(PRODUCT(1+L30:L$46)),SUMPRODUCT(PRODUCT(1+L30:L$45))),4)</f>
        <v>1.0364</v>
      </c>
      <c r="T30" s="2022">
        <f>ROUND(IF(项目基本情况!$B$8="出让",SUMPRODUCT(PRODUCT(1+M30:M$46)),SUMPRODUCT(PRODUCT(1+M30:M$45))),4)</f>
        <v>1.0244</v>
      </c>
      <c r="U30" s="2022">
        <f>ROUND(IF(项目基本情况!$B$8="出让",SUMPRODUCT(PRODUCT(1+N30:N$46)),SUMPRODUCT(PRODUCT(1+N30:N$45))),4)</f>
        <v>1.048</v>
      </c>
      <c r="V30" s="2022"/>
      <c r="W30" s="2022">
        <f t="shared" ref="W30:W38" si="12">T30</f>
        <v>1.0244</v>
      </c>
      <c r="X30" s="2898"/>
      <c r="Y30" s="2023"/>
      <c r="Z30" s="2894">
        <f t="shared" ref="Z30:AB31" si="13">IF(E30=0,0,ROUND(AVERAGE(E30:E43)/100,4))</f>
        <v>0</v>
      </c>
      <c r="AA30" s="2894">
        <f t="shared" si="13"/>
        <v>0</v>
      </c>
      <c r="AB30" s="2894">
        <f t="shared" si="13"/>
        <v>0</v>
      </c>
      <c r="AC30" s="2896"/>
      <c r="AD30" s="2023">
        <f>IF(I30=0,0,ROUND(AVERAGE(I30:I43)/100,4))</f>
        <v>0</v>
      </c>
    </row>
    <row r="31" spans="1:30" s="2908" customFormat="1" ht="12.75">
      <c r="A31" s="2899" t="s">
        <v>3376</v>
      </c>
      <c r="B31" s="2900">
        <v>2024</v>
      </c>
      <c r="C31" s="2901">
        <v>4</v>
      </c>
      <c r="D31" s="2902"/>
      <c r="E31" s="2902">
        <v>0</v>
      </c>
      <c r="F31" s="2902">
        <v>0</v>
      </c>
      <c r="G31" s="2902">
        <v>0</v>
      </c>
      <c r="H31" s="2903"/>
      <c r="I31" s="2904">
        <f>F31</f>
        <v>0</v>
      </c>
      <c r="J31" s="2905"/>
      <c r="K31" s="2906"/>
      <c r="L31" s="2907">
        <f t="shared" si="10"/>
        <v>0</v>
      </c>
      <c r="M31" s="2907">
        <f t="shared" si="10"/>
        <v>0</v>
      </c>
      <c r="N31" s="2907">
        <f t="shared" si="10"/>
        <v>0</v>
      </c>
      <c r="O31" s="2907"/>
      <c r="P31" s="2907">
        <f t="shared" si="11"/>
        <v>0</v>
      </c>
      <c r="Q31" s="2905"/>
      <c r="R31" s="2905"/>
      <c r="S31" s="2905">
        <f>ROUND(IF(项目基本情况!$B$8="出让",SUMPRODUCT(PRODUCT(1+L31:L$46)),SUMPRODUCT(PRODUCT(1+L31:L$45))),4)</f>
        <v>1.0364</v>
      </c>
      <c r="T31" s="2905">
        <f>ROUND(IF(项目基本情况!$B$8="出让",SUMPRODUCT(PRODUCT(1+M31:M$46)),SUMPRODUCT(PRODUCT(1+M31:M$45))),4)</f>
        <v>1.0244</v>
      </c>
      <c r="U31" s="2905">
        <f>ROUND(IF(项目基本情况!$B$8="出让",SUMPRODUCT(PRODUCT(1+N31:N$46)),SUMPRODUCT(PRODUCT(1+N31:N$45))),4)</f>
        <v>1.048</v>
      </c>
      <c r="V31" s="2905"/>
      <c r="W31" s="2905">
        <f t="shared" si="12"/>
        <v>1.0244</v>
      </c>
      <c r="X31" s="2905"/>
      <c r="Y31" s="2907"/>
      <c r="Z31" s="2923">
        <f t="shared" si="13"/>
        <v>0</v>
      </c>
      <c r="AA31" s="2924">
        <f t="shared" si="13"/>
        <v>0</v>
      </c>
      <c r="AB31" s="2907">
        <f t="shared" si="13"/>
        <v>0</v>
      </c>
      <c r="AC31" s="2925"/>
      <c r="AD31" s="2907">
        <f>IF(I31=0,0,ROUND(AVERAGE(I31:I44)/100,4))</f>
        <v>0</v>
      </c>
    </row>
    <row r="32" spans="1:30" s="2040" customFormat="1" ht="12.75">
      <c r="A32" s="2035" t="s">
        <v>3369</v>
      </c>
      <c r="B32" s="2026">
        <v>2024</v>
      </c>
      <c r="C32" s="2037">
        <v>3</v>
      </c>
      <c r="D32" s="2002"/>
      <c r="E32" s="2002">
        <v>-0.66</v>
      </c>
      <c r="F32" s="2002">
        <v>-0.52</v>
      </c>
      <c r="G32" s="2002">
        <v>-2.87</v>
      </c>
      <c r="H32" s="2002"/>
      <c r="I32" s="2003">
        <f>F32</f>
        <v>-0.52</v>
      </c>
      <c r="J32" s="2898"/>
      <c r="K32" s="2038"/>
      <c r="L32" s="2023">
        <f t="shared" si="10"/>
        <v>-6.6E-3</v>
      </c>
      <c r="M32" s="2023">
        <f t="shared" si="10"/>
        <v>-5.1999999999999998E-3</v>
      </c>
      <c r="N32" s="2023">
        <f t="shared" si="10"/>
        <v>-2.87E-2</v>
      </c>
      <c r="O32" s="2023"/>
      <c r="P32" s="2023">
        <f t="shared" si="11"/>
        <v>-5.1999999999999998E-3</v>
      </c>
      <c r="Q32" s="2898"/>
      <c r="R32" s="2022"/>
      <c r="S32" s="2022">
        <f>ROUND(IF(项目基本情况!$B$8="出让",SUMPRODUCT(PRODUCT(1+L32:L$46)),SUMPRODUCT(PRODUCT(1+L32:L$45))),4)</f>
        <v>1.0364</v>
      </c>
      <c r="T32" s="2022">
        <f>ROUND(IF(项目基本情况!$B$8="出让",SUMPRODUCT(PRODUCT(1+M32:M$46)),SUMPRODUCT(PRODUCT(1+M32:M$45))),4)</f>
        <v>1.0244</v>
      </c>
      <c r="U32" s="2022">
        <f>ROUND(IF(项目基本情况!$B$8="出让",SUMPRODUCT(PRODUCT(1+N32:N$46)),SUMPRODUCT(PRODUCT(1+N32:N$45))),4)</f>
        <v>1.048</v>
      </c>
      <c r="V32" s="2022"/>
      <c r="W32" s="2022">
        <f t="shared" si="12"/>
        <v>1.0244</v>
      </c>
      <c r="X32" s="2898"/>
      <c r="Y32" s="2023"/>
      <c r="Z32" s="2894">
        <f t="shared" ref="Z32:AB33" si="14">IF(E32=0,0,ROUND(AVERAGE(E32:E45)/100,4))</f>
        <v>2.5999999999999999E-3</v>
      </c>
      <c r="AA32" s="2894">
        <f t="shared" si="14"/>
        <v>1.6999999999999999E-3</v>
      </c>
      <c r="AB32" s="2894">
        <f t="shared" si="14"/>
        <v>3.3999999999999998E-3</v>
      </c>
      <c r="AC32" s="2896"/>
      <c r="AD32" s="2023">
        <f>IF(I32=0,0,ROUND(AVERAGE(I32:I45)/100,4))</f>
        <v>1.6999999999999999E-3</v>
      </c>
    </row>
    <row r="33" spans="1:30" s="2040" customFormat="1" ht="12.75">
      <c r="A33" s="2897" t="s">
        <v>3377</v>
      </c>
      <c r="B33" s="2026">
        <v>2024</v>
      </c>
      <c r="C33" s="2037">
        <v>2</v>
      </c>
      <c r="D33" s="2002"/>
      <c r="E33" s="2002">
        <v>-0.31</v>
      </c>
      <c r="F33" s="2002">
        <v>-0.39</v>
      </c>
      <c r="G33" s="2002">
        <v>1.23</v>
      </c>
      <c r="H33" s="2909"/>
      <c r="I33" s="2003">
        <f t="shared" ref="I33:I46" si="15">F33</f>
        <v>-0.39</v>
      </c>
      <c r="J33" s="2898"/>
      <c r="K33" s="2038"/>
      <c r="L33" s="2023">
        <f t="shared" ref="L33:N46" si="16">E33/100</f>
        <v>-3.0999999999999999E-3</v>
      </c>
      <c r="M33" s="2023">
        <f t="shared" si="16"/>
        <v>-3.9000000000000003E-3</v>
      </c>
      <c r="N33" s="2023">
        <f t="shared" si="16"/>
        <v>1.23E-2</v>
      </c>
      <c r="O33" s="2023"/>
      <c r="P33" s="2023">
        <f t="shared" si="11"/>
        <v>-3.9000000000000003E-3</v>
      </c>
      <c r="Q33" s="2898"/>
      <c r="R33" s="2022"/>
      <c r="S33" s="2022">
        <f>ROUND(IF(项目基本情况!$B$8="出让",SUMPRODUCT(PRODUCT(1+L33:L$46)),SUMPRODUCT(PRODUCT(1+L33:L$45))),4)</f>
        <v>1.0432999999999999</v>
      </c>
      <c r="T33" s="2022">
        <f>ROUND(IF(项目基本情况!$B$8="出让",SUMPRODUCT(PRODUCT(1+M33:M$46)),SUMPRODUCT(PRODUCT(1+M33:M$45))),4)</f>
        <v>1.0298</v>
      </c>
      <c r="U33" s="2022">
        <f>ROUND(IF(项目基本情况!$B$8="出让",SUMPRODUCT(PRODUCT(1+N33:N$46)),SUMPRODUCT(PRODUCT(1+N33:N$45))),4)</f>
        <v>1.079</v>
      </c>
      <c r="V33" s="2022"/>
      <c r="W33" s="2022">
        <f t="shared" si="12"/>
        <v>1.0298</v>
      </c>
      <c r="X33" s="2898"/>
      <c r="Y33" s="2023"/>
      <c r="Z33" s="2894">
        <f t="shared" si="14"/>
        <v>3.3E-3</v>
      </c>
      <c r="AA33" s="2895">
        <f t="shared" si="14"/>
        <v>2.3999999999999998E-3</v>
      </c>
      <c r="AB33" s="2023">
        <f t="shared" si="14"/>
        <v>6.1999999999999998E-3</v>
      </c>
      <c r="AC33" s="2896"/>
      <c r="AD33" s="2023">
        <f>IF(I33=0,0,ROUND(AVERAGE(I33:I46)/100,4))</f>
        <v>2.3999999999999998E-3</v>
      </c>
    </row>
    <row r="34" spans="1:30" s="2040" customFormat="1" ht="12.75">
      <c r="A34" s="2897" t="s">
        <v>3370</v>
      </c>
      <c r="B34" s="2026">
        <v>2024</v>
      </c>
      <c r="C34" s="2037">
        <v>1</v>
      </c>
      <c r="D34" s="2002"/>
      <c r="E34" s="2002">
        <v>0.25</v>
      </c>
      <c r="F34" s="2002">
        <v>0.4</v>
      </c>
      <c r="G34" s="2002">
        <v>-0.63</v>
      </c>
      <c r="H34" s="2909"/>
      <c r="I34" s="2003">
        <f>F34</f>
        <v>0.4</v>
      </c>
      <c r="J34" s="2898"/>
      <c r="K34" s="2038"/>
      <c r="L34" s="2023">
        <f>E34/100</f>
        <v>2.5000000000000001E-3</v>
      </c>
      <c r="M34" s="2023">
        <f>F34/100</f>
        <v>4.0000000000000001E-3</v>
      </c>
      <c r="N34" s="2023">
        <f>G34/100</f>
        <v>-6.3E-3</v>
      </c>
      <c r="O34" s="2023"/>
      <c r="P34" s="2023">
        <f t="shared" si="11"/>
        <v>4.0000000000000001E-3</v>
      </c>
      <c r="Q34" s="2898"/>
      <c r="R34" s="2022"/>
      <c r="S34" s="2022">
        <f>ROUND(IF(项目基本情况!$B$8="出让",SUMPRODUCT(PRODUCT(1+L34:L$46)),SUMPRODUCT(PRODUCT(1+L34:L$45))),4)</f>
        <v>1.0465</v>
      </c>
      <c r="T34" s="2022">
        <f>ROUND(IF(项目基本情况!$B$8="出让",SUMPRODUCT(PRODUCT(1+M34:M$46)),SUMPRODUCT(PRODUCT(1+M34:M$45))),4)</f>
        <v>1.0338000000000001</v>
      </c>
      <c r="U34" s="2022">
        <f>ROUND(IF(项目基本情况!$B$8="出让",SUMPRODUCT(PRODUCT(1+N34:N$46)),SUMPRODUCT(PRODUCT(1+N34:N$45))),4)</f>
        <v>1.0659000000000001</v>
      </c>
      <c r="V34" s="2022"/>
      <c r="W34" s="2022">
        <f t="shared" si="12"/>
        <v>1.0338000000000001</v>
      </c>
      <c r="X34" s="2898"/>
      <c r="Y34" s="2023"/>
      <c r="Z34" s="2894"/>
      <c r="AA34" s="2895"/>
      <c r="AB34" s="2023"/>
      <c r="AC34" s="2896"/>
      <c r="AD34" s="2023"/>
    </row>
    <row r="35" spans="1:30" s="2040" customFormat="1" ht="12.75">
      <c r="A35" s="2897" t="s">
        <v>3368</v>
      </c>
      <c r="B35" s="2026">
        <v>2023</v>
      </c>
      <c r="C35" s="2037">
        <v>4</v>
      </c>
      <c r="D35" s="2002"/>
      <c r="E35" s="2002">
        <v>7.0000000000000007E-2</v>
      </c>
      <c r="F35" s="2002">
        <v>0.09</v>
      </c>
      <c r="G35" s="2002">
        <v>0.03</v>
      </c>
      <c r="H35" s="2909"/>
      <c r="I35" s="2003">
        <f>F35</f>
        <v>0.09</v>
      </c>
      <c r="J35" s="2898"/>
      <c r="K35" s="2038"/>
      <c r="L35" s="2023">
        <f t="shared" si="16"/>
        <v>7.000000000000001E-4</v>
      </c>
      <c r="M35" s="2023">
        <f t="shared" si="16"/>
        <v>8.9999999999999998E-4</v>
      </c>
      <c r="N35" s="2023">
        <f t="shared" si="16"/>
        <v>2.9999999999999997E-4</v>
      </c>
      <c r="O35" s="2023"/>
      <c r="P35" s="2023">
        <f t="shared" si="11"/>
        <v>8.9999999999999998E-4</v>
      </c>
      <c r="Q35" s="2898"/>
      <c r="R35" s="2022"/>
      <c r="S35" s="2022">
        <f>ROUND(IF(项目基本情况!$B$8="出让",SUMPRODUCT(PRODUCT(1+L35:L$46)),SUMPRODUCT(PRODUCT(1+L35:L$45))),4)</f>
        <v>1.0439000000000001</v>
      </c>
      <c r="T35" s="2022">
        <f>ROUND(IF(项目基本情况!$B$8="出让",SUMPRODUCT(PRODUCT(1+M35:M$46)),SUMPRODUCT(PRODUCT(1+M35:M$45))),4)</f>
        <v>1.0297000000000001</v>
      </c>
      <c r="U35" s="2022">
        <f>ROUND(IF(项目基本情况!$B$8="出让",SUMPRODUCT(PRODUCT(1+N35:N$46)),SUMPRODUCT(PRODUCT(1+N35:N$45))),4)</f>
        <v>1.0727</v>
      </c>
      <c r="V35" s="2022"/>
      <c r="W35" s="2022">
        <f t="shared" si="12"/>
        <v>1.0297000000000001</v>
      </c>
      <c r="X35" s="2898"/>
      <c r="Y35" s="2023"/>
      <c r="Z35" s="2894"/>
      <c r="AA35" s="2895"/>
      <c r="AB35" s="2023"/>
      <c r="AC35" s="2896"/>
      <c r="AD35" s="2023"/>
    </row>
    <row r="36" spans="1:30" s="2040" customFormat="1" ht="12.75">
      <c r="A36" s="2897" t="s">
        <v>3366</v>
      </c>
      <c r="B36" s="2026">
        <v>2023</v>
      </c>
      <c r="C36" s="2037">
        <v>3</v>
      </c>
      <c r="D36" s="2002"/>
      <c r="E36" s="2002">
        <v>0.35</v>
      </c>
      <c r="F36" s="2002">
        <v>0.17</v>
      </c>
      <c r="G36" s="2002">
        <v>0.52</v>
      </c>
      <c r="H36" s="2909"/>
      <c r="I36" s="2003">
        <f t="shared" si="15"/>
        <v>0.17</v>
      </c>
      <c r="J36" s="2898"/>
      <c r="K36" s="2038"/>
      <c r="L36" s="2023">
        <f t="shared" ref="L36:N38" si="17">E36/100</f>
        <v>3.4999999999999996E-3</v>
      </c>
      <c r="M36" s="2023">
        <f t="shared" si="17"/>
        <v>1.7000000000000001E-3</v>
      </c>
      <c r="N36" s="2023">
        <f t="shared" si="17"/>
        <v>5.1999999999999998E-3</v>
      </c>
      <c r="O36" s="2023"/>
      <c r="P36" s="2023">
        <f t="shared" si="11"/>
        <v>1.7000000000000001E-3</v>
      </c>
      <c r="Q36" s="2898"/>
      <c r="R36" s="2022"/>
      <c r="S36" s="2022">
        <f>ROUND(IF(项目基本情况!$B$8="出让",SUMPRODUCT(PRODUCT(1+L36:L$46)),SUMPRODUCT(PRODUCT(1+L36:L$45))),4)</f>
        <v>1.0431999999999999</v>
      </c>
      <c r="T36" s="2022">
        <f>ROUND(IF(项目基本情况!$B$8="出让",SUMPRODUCT(PRODUCT(1+M36:M$46)),SUMPRODUCT(PRODUCT(1+M36:M$45))),4)</f>
        <v>1.0286999999999999</v>
      </c>
      <c r="U36" s="2022">
        <f>ROUND(IF(项目基本情况!$B$8="出让",SUMPRODUCT(PRODUCT(1+N36:N$46)),SUMPRODUCT(PRODUCT(1+N36:N$45))),4)</f>
        <v>1.0723</v>
      </c>
      <c r="V36" s="2022"/>
      <c r="W36" s="2022">
        <f t="shared" si="12"/>
        <v>1.0286999999999999</v>
      </c>
      <c r="X36" s="2898"/>
      <c r="Y36" s="2023"/>
      <c r="Z36" s="2894"/>
      <c r="AA36" s="2895"/>
      <c r="AB36" s="2023"/>
      <c r="AC36" s="2896"/>
      <c r="AD36" s="2023"/>
    </row>
    <row r="37" spans="1:30" s="2040" customFormat="1" ht="12.75">
      <c r="A37" s="2897" t="s">
        <v>3365</v>
      </c>
      <c r="B37" s="2026">
        <v>2023</v>
      </c>
      <c r="C37" s="2037">
        <v>2</v>
      </c>
      <c r="D37" s="2002"/>
      <c r="E37" s="2002">
        <v>0.5</v>
      </c>
      <c r="F37" s="2002">
        <v>0.45</v>
      </c>
      <c r="G37" s="2002">
        <v>0.89</v>
      </c>
      <c r="H37" s="2909"/>
      <c r="I37" s="2003">
        <f t="shared" si="15"/>
        <v>0.45</v>
      </c>
      <c r="J37" s="2898"/>
      <c r="K37" s="2038"/>
      <c r="L37" s="2023">
        <f t="shared" si="17"/>
        <v>5.0000000000000001E-3</v>
      </c>
      <c r="M37" s="2023">
        <f t="shared" si="17"/>
        <v>4.5000000000000005E-3</v>
      </c>
      <c r="N37" s="2023">
        <f t="shared" si="17"/>
        <v>8.8999999999999999E-3</v>
      </c>
      <c r="O37" s="2023"/>
      <c r="P37" s="2023">
        <f t="shared" si="11"/>
        <v>4.5000000000000005E-3</v>
      </c>
      <c r="Q37" s="2898"/>
      <c r="R37" s="2022"/>
      <c r="S37" s="2022">
        <f>ROUND(IF(项目基本情况!$B$8="出让",SUMPRODUCT(PRODUCT(1+L37:L$46)),SUMPRODUCT(PRODUCT(1+L37:L$45))),4)</f>
        <v>1.0396000000000001</v>
      </c>
      <c r="T37" s="2022">
        <f>ROUND(IF(项目基本情况!$B$8="出让",SUMPRODUCT(PRODUCT(1+M37:M$46)),SUMPRODUCT(PRODUCT(1+M37:M$45))),4)</f>
        <v>1.0269999999999999</v>
      </c>
      <c r="U37" s="2022">
        <f>ROUND(IF(项目基本情况!$B$8="出让",SUMPRODUCT(PRODUCT(1+N37:N$46)),SUMPRODUCT(PRODUCT(1+N37:N$45))),4)</f>
        <v>1.0668</v>
      </c>
      <c r="V37" s="2022"/>
      <c r="W37" s="2022">
        <f t="shared" si="12"/>
        <v>1.0269999999999999</v>
      </c>
      <c r="X37" s="2898"/>
      <c r="Y37" s="2023"/>
      <c r="Z37" s="2894"/>
      <c r="AA37" s="2895"/>
      <c r="AB37" s="2023"/>
      <c r="AC37" s="2896"/>
      <c r="AD37" s="2023"/>
    </row>
    <row r="38" spans="1:30" s="2040" customFormat="1" ht="12.75">
      <c r="A38" s="2897" t="s">
        <v>3363</v>
      </c>
      <c r="B38" s="2026">
        <v>2023</v>
      </c>
      <c r="C38" s="2037">
        <v>1</v>
      </c>
      <c r="D38" s="2002"/>
      <c r="E38" s="2002">
        <v>0.55000000000000004</v>
      </c>
      <c r="F38" s="2002">
        <v>0.59</v>
      </c>
      <c r="G38" s="2002">
        <v>0.64</v>
      </c>
      <c r="H38" s="2909"/>
      <c r="I38" s="2003">
        <f t="shared" si="15"/>
        <v>0.59</v>
      </c>
      <c r="J38" s="2898"/>
      <c r="K38" s="2038"/>
      <c r="L38" s="2023">
        <f t="shared" si="17"/>
        <v>5.5000000000000005E-3</v>
      </c>
      <c r="M38" s="2023">
        <f t="shared" si="17"/>
        <v>5.8999999999999999E-3</v>
      </c>
      <c r="N38" s="2023">
        <f t="shared" si="17"/>
        <v>6.4000000000000003E-3</v>
      </c>
      <c r="O38" s="2023"/>
      <c r="P38" s="2023">
        <f t="shared" si="11"/>
        <v>5.8999999999999999E-3</v>
      </c>
      <c r="Q38" s="2898"/>
      <c r="R38" s="2022"/>
      <c r="S38" s="2022">
        <f>ROUND(IF(项目基本情况!$B$8="出让",SUMPRODUCT(PRODUCT(1+L38:L$46)),SUMPRODUCT(PRODUCT(1+L38:L$45))),4)</f>
        <v>1.0344</v>
      </c>
      <c r="T38" s="2022">
        <f>ROUND(IF(项目基本情况!$B$8="出让",SUMPRODUCT(PRODUCT(1+M38:M$46)),SUMPRODUCT(PRODUCT(1+M38:M$45))),4)</f>
        <v>1.0224</v>
      </c>
      <c r="U38" s="2022">
        <f>ROUND(IF(项目基本情况!$B$8="出让",SUMPRODUCT(PRODUCT(1+N38:N$46)),SUMPRODUCT(PRODUCT(1+N38:N$45))),4)</f>
        <v>1.0573999999999999</v>
      </c>
      <c r="V38" s="2022"/>
      <c r="W38" s="2022">
        <f t="shared" si="12"/>
        <v>1.0224</v>
      </c>
      <c r="X38" s="2898"/>
      <c r="Y38" s="2023"/>
      <c r="Z38" s="2894"/>
      <c r="AA38" s="2895"/>
      <c r="AB38" s="2023"/>
      <c r="AC38" s="2896"/>
      <c r="AD38" s="2023"/>
    </row>
    <row r="39" spans="1:30" s="2040" customFormat="1" ht="12.75">
      <c r="A39" s="2897" t="s">
        <v>3362</v>
      </c>
      <c r="B39" s="2026">
        <v>2022</v>
      </c>
      <c r="C39" s="2037">
        <v>4</v>
      </c>
      <c r="D39" s="2002"/>
      <c r="E39" s="2002">
        <v>0.45</v>
      </c>
      <c r="F39" s="2002">
        <v>0.2</v>
      </c>
      <c r="G39" s="2002">
        <v>0.38</v>
      </c>
      <c r="H39" s="2909"/>
      <c r="I39" s="2003">
        <f t="shared" si="15"/>
        <v>0.2</v>
      </c>
      <c r="J39" s="2898"/>
      <c r="K39" s="2038"/>
      <c r="L39" s="2023">
        <f t="shared" si="16"/>
        <v>4.5000000000000005E-3</v>
      </c>
      <c r="M39" s="2023">
        <f t="shared" si="16"/>
        <v>2E-3</v>
      </c>
      <c r="N39" s="2023">
        <f t="shared" si="16"/>
        <v>3.8E-3</v>
      </c>
      <c r="O39" s="2023"/>
      <c r="P39" s="2023">
        <f t="shared" ref="P39:P46" si="18">M39</f>
        <v>2E-3</v>
      </c>
      <c r="Q39" s="2898"/>
      <c r="R39" s="2022"/>
      <c r="S39" s="2022">
        <f>ROUND(IF(项目基本情况!$B$8="出让",SUMPRODUCT(PRODUCT(1+L39:L$46)),SUMPRODUCT(PRODUCT(1+L39:L$45))),4)</f>
        <v>1.0286999999999999</v>
      </c>
      <c r="T39" s="2022">
        <f>ROUND(IF(项目基本情况!$B$8="出让",SUMPRODUCT(PRODUCT(1+M39:M$46)),SUMPRODUCT(PRODUCT(1+M39:M$45))),4)</f>
        <v>1.0164</v>
      </c>
      <c r="U39" s="2022">
        <f>ROUND(IF(项目基本情况!$B$8="出让",SUMPRODUCT(PRODUCT(1+N39:N$46)),SUMPRODUCT(PRODUCT(1+N39:N$45))),4)</f>
        <v>1.0506</v>
      </c>
      <c r="V39" s="2022"/>
      <c r="W39" s="2022">
        <f t="shared" ref="W39:W46" si="19">T39</f>
        <v>1.0164</v>
      </c>
      <c r="X39" s="2898"/>
      <c r="Y39" s="2023"/>
      <c r="Z39" s="2894">
        <f t="shared" ref="Z39:AD46" si="20">IF(E39=0,0,ROUND(AVERAGE(E39:E47)/100,4))</f>
        <v>4.0000000000000001E-3</v>
      </c>
      <c r="AA39" s="2895">
        <f t="shared" si="20"/>
        <v>2.5999999999999999E-3</v>
      </c>
      <c r="AB39" s="2023">
        <f t="shared" si="20"/>
        <v>7.4000000000000003E-3</v>
      </c>
      <c r="AC39" s="2896"/>
      <c r="AD39" s="2023">
        <f t="shared" si="20"/>
        <v>2.5999999999999999E-3</v>
      </c>
    </row>
    <row r="40" spans="1:30" s="2040" customFormat="1" ht="12.75">
      <c r="A40" s="2897" t="s">
        <v>3361</v>
      </c>
      <c r="B40" s="2026">
        <v>2022</v>
      </c>
      <c r="C40" s="2037">
        <v>3</v>
      </c>
      <c r="D40" s="2002"/>
      <c r="E40" s="2002">
        <v>0.3</v>
      </c>
      <c r="F40" s="2002">
        <v>0.28999999999999998</v>
      </c>
      <c r="G40" s="2002">
        <v>0.83</v>
      </c>
      <c r="H40" s="2909"/>
      <c r="I40" s="2003">
        <f t="shared" si="15"/>
        <v>0.28999999999999998</v>
      </c>
      <c r="J40" s="2898"/>
      <c r="K40" s="2038"/>
      <c r="L40" s="2023">
        <f t="shared" si="16"/>
        <v>3.0000000000000001E-3</v>
      </c>
      <c r="M40" s="2023">
        <f t="shared" si="16"/>
        <v>2.8999999999999998E-3</v>
      </c>
      <c r="N40" s="2023">
        <f t="shared" si="16"/>
        <v>8.3000000000000001E-3</v>
      </c>
      <c r="O40" s="2023"/>
      <c r="P40" s="2023">
        <f t="shared" si="18"/>
        <v>2.8999999999999998E-3</v>
      </c>
      <c r="Q40" s="2898"/>
      <c r="R40" s="2022"/>
      <c r="S40" s="2022">
        <f>ROUND(IF(项目基本情况!$B$8="出让",SUMPRODUCT(PRODUCT(1+L40:L$46)),SUMPRODUCT(PRODUCT(1+L40:L$45))),4)</f>
        <v>1.0241</v>
      </c>
      <c r="T40" s="2022">
        <f>ROUND(IF(项目基本情况!$B$8="出让",SUMPRODUCT(PRODUCT(1+M40:M$46)),SUMPRODUCT(PRODUCT(1+M40:M$45))),4)</f>
        <v>1.0144</v>
      </c>
      <c r="U40" s="2022">
        <f>ROUND(IF(项目基本情况!$B$8="出让",SUMPRODUCT(PRODUCT(1+N40:N$46)),SUMPRODUCT(PRODUCT(1+N40:N$45))),4)</f>
        <v>1.0467</v>
      </c>
      <c r="V40" s="2022"/>
      <c r="W40" s="2022">
        <f t="shared" si="19"/>
        <v>1.0144</v>
      </c>
      <c r="X40" s="2898"/>
      <c r="Y40" s="2023"/>
      <c r="Z40" s="2894">
        <f t="shared" si="20"/>
        <v>3.8999999999999998E-3</v>
      </c>
      <c r="AA40" s="2895">
        <f t="shared" si="20"/>
        <v>2.7000000000000001E-3</v>
      </c>
      <c r="AB40" s="2023">
        <f t="shared" si="20"/>
        <v>7.9000000000000008E-3</v>
      </c>
      <c r="AC40" s="2896"/>
      <c r="AD40" s="2023">
        <f t="shared" si="20"/>
        <v>2.7000000000000001E-3</v>
      </c>
    </row>
    <row r="41" spans="1:30" s="2040" customFormat="1" ht="12.75">
      <c r="A41" s="2897" t="s">
        <v>3351</v>
      </c>
      <c r="B41" s="2026">
        <v>2022</v>
      </c>
      <c r="C41" s="2037">
        <v>2</v>
      </c>
      <c r="D41" s="2002"/>
      <c r="E41" s="2002">
        <v>-0.11</v>
      </c>
      <c r="F41" s="2002">
        <v>-0.13</v>
      </c>
      <c r="G41" s="2002">
        <v>0.53</v>
      </c>
      <c r="H41" s="2909"/>
      <c r="I41" s="2003">
        <f t="shared" si="15"/>
        <v>-0.13</v>
      </c>
      <c r="J41" s="2898"/>
      <c r="K41" s="2038"/>
      <c r="L41" s="2023">
        <f t="shared" si="16"/>
        <v>-1.1000000000000001E-3</v>
      </c>
      <c r="M41" s="2023">
        <f t="shared" si="16"/>
        <v>-1.2999999999999999E-3</v>
      </c>
      <c r="N41" s="2023">
        <f t="shared" si="16"/>
        <v>5.3E-3</v>
      </c>
      <c r="O41" s="2023"/>
      <c r="P41" s="2023">
        <f t="shared" si="18"/>
        <v>-1.2999999999999999E-3</v>
      </c>
      <c r="Q41" s="2898"/>
      <c r="R41" s="2022"/>
      <c r="S41" s="2022">
        <f>ROUND(IF(项目基本情况!$B$8="出让",SUMPRODUCT(PRODUCT(1+L41:L$46)),SUMPRODUCT(PRODUCT(1+L41:L$45))),4)</f>
        <v>1.0210999999999999</v>
      </c>
      <c r="T41" s="2022">
        <f>ROUND(IF(项目基本情况!$B$8="出让",SUMPRODUCT(PRODUCT(1+M41:M$46)),SUMPRODUCT(PRODUCT(1+M41:M$45))),4)</f>
        <v>1.0114000000000001</v>
      </c>
      <c r="U41" s="2022">
        <f>ROUND(IF(项目基本情况!$B$8="出让",SUMPRODUCT(PRODUCT(1+N41:N$46)),SUMPRODUCT(PRODUCT(1+N41:N$45))),4)</f>
        <v>1.0381</v>
      </c>
      <c r="V41" s="2022"/>
      <c r="W41" s="2022">
        <f t="shared" si="19"/>
        <v>1.0114000000000001</v>
      </c>
      <c r="X41" s="2898"/>
      <c r="Y41" s="2023"/>
      <c r="Z41" s="2894">
        <f t="shared" si="20"/>
        <v>4.1000000000000003E-3</v>
      </c>
      <c r="AA41" s="2895">
        <f t="shared" si="20"/>
        <v>2.7000000000000001E-3</v>
      </c>
      <c r="AB41" s="2023">
        <f t="shared" si="20"/>
        <v>7.9000000000000008E-3</v>
      </c>
      <c r="AC41" s="2896"/>
      <c r="AD41" s="2023">
        <f t="shared" si="20"/>
        <v>2.7000000000000001E-3</v>
      </c>
    </row>
    <row r="42" spans="1:30" s="2040" customFormat="1" ht="12.75">
      <c r="A42" s="2897" t="s">
        <v>2831</v>
      </c>
      <c r="B42" s="2026">
        <v>2022</v>
      </c>
      <c r="C42" s="2037">
        <v>1</v>
      </c>
      <c r="D42" s="2002"/>
      <c r="E42" s="2002">
        <v>0.6</v>
      </c>
      <c r="F42" s="2002">
        <v>0.45</v>
      </c>
      <c r="G42" s="2002">
        <v>0.53</v>
      </c>
      <c r="H42" s="2909"/>
      <c r="I42" s="2003">
        <f t="shared" si="15"/>
        <v>0.45</v>
      </c>
      <c r="J42" s="2898"/>
      <c r="K42" s="2038"/>
      <c r="L42" s="2023">
        <f t="shared" si="16"/>
        <v>6.0000000000000001E-3</v>
      </c>
      <c r="M42" s="2023">
        <f t="shared" si="16"/>
        <v>4.5000000000000005E-3</v>
      </c>
      <c r="N42" s="2023">
        <f t="shared" si="16"/>
        <v>5.3E-3</v>
      </c>
      <c r="O42" s="2023"/>
      <c r="P42" s="2023">
        <f t="shared" si="18"/>
        <v>4.5000000000000005E-3</v>
      </c>
      <c r="Q42" s="2898"/>
      <c r="R42" s="2022"/>
      <c r="S42" s="2022">
        <f>ROUND(IF(项目基本情况!$B$8="出让",SUMPRODUCT(PRODUCT(1+L42:L$46)),SUMPRODUCT(PRODUCT(1+L42:L$45))),4)</f>
        <v>1.0222</v>
      </c>
      <c r="T42" s="2022">
        <f>ROUND(IF(项目基本情况!$B$8="出让",SUMPRODUCT(PRODUCT(1+M42:M$46)),SUMPRODUCT(PRODUCT(1+M42:M$45))),4)</f>
        <v>1.0127999999999999</v>
      </c>
      <c r="U42" s="2022">
        <f>ROUND(IF(项目基本情况!$B$8="出让",SUMPRODUCT(PRODUCT(1+N42:N$46)),SUMPRODUCT(PRODUCT(1+N42:N$45))),4)</f>
        <v>1.0326</v>
      </c>
      <c r="V42" s="2022"/>
      <c r="W42" s="2022">
        <f t="shared" si="19"/>
        <v>1.0127999999999999</v>
      </c>
      <c r="X42" s="2898"/>
      <c r="Y42" s="2023"/>
      <c r="Z42" s="2894">
        <f t="shared" si="20"/>
        <v>5.1000000000000004E-3</v>
      </c>
      <c r="AA42" s="2895">
        <f t="shared" si="20"/>
        <v>3.5000000000000001E-3</v>
      </c>
      <c r="AB42" s="2023">
        <f t="shared" si="20"/>
        <v>8.3999999999999995E-3</v>
      </c>
      <c r="AC42" s="2896"/>
      <c r="AD42" s="2023">
        <f t="shared" si="20"/>
        <v>3.5000000000000001E-3</v>
      </c>
    </row>
    <row r="43" spans="1:30" s="2040" customFormat="1" ht="12.75">
      <c r="A43" s="2897" t="s">
        <v>2832</v>
      </c>
      <c r="B43" s="2026">
        <v>2021</v>
      </c>
      <c r="C43" s="2037">
        <v>4</v>
      </c>
      <c r="D43" s="2002"/>
      <c r="E43" s="2002">
        <v>0.57999999999999996</v>
      </c>
      <c r="F43" s="2002">
        <v>0.08</v>
      </c>
      <c r="G43" s="2002">
        <v>0.68</v>
      </c>
      <c r="H43" s="2909"/>
      <c r="I43" s="2003">
        <f t="shared" si="15"/>
        <v>0.08</v>
      </c>
      <c r="J43" s="2898"/>
      <c r="K43" s="2038"/>
      <c r="L43" s="2023">
        <f t="shared" si="16"/>
        <v>5.7999999999999996E-3</v>
      </c>
      <c r="M43" s="2023">
        <f t="shared" si="16"/>
        <v>8.0000000000000004E-4</v>
      </c>
      <c r="N43" s="2023">
        <f t="shared" si="16"/>
        <v>6.8000000000000005E-3</v>
      </c>
      <c r="O43" s="2023"/>
      <c r="P43" s="2023">
        <f t="shared" si="18"/>
        <v>8.0000000000000004E-4</v>
      </c>
      <c r="Q43" s="2898"/>
      <c r="R43" s="2022"/>
      <c r="S43" s="2022">
        <f>ROUND(IF(项目基本情况!$B$8="出让",SUMPRODUCT(PRODUCT(1+L43:L$46)),SUMPRODUCT(PRODUCT(1+L43:L$45))),4)</f>
        <v>1.0161</v>
      </c>
      <c r="T43" s="2022">
        <f>ROUND(IF(项目基本情况!$B$8="出让",SUMPRODUCT(PRODUCT(1+M43:M$46)),SUMPRODUCT(PRODUCT(1+M43:M$45))),4)</f>
        <v>1.0082</v>
      </c>
      <c r="U43" s="2022">
        <f>ROUND(IF(项目基本情况!$B$8="出让",SUMPRODUCT(PRODUCT(1+N43:N$46)),SUMPRODUCT(PRODUCT(1+N43:N$45))),4)</f>
        <v>1.0270999999999999</v>
      </c>
      <c r="V43" s="2022"/>
      <c r="W43" s="2022">
        <f t="shared" si="19"/>
        <v>1.0082</v>
      </c>
      <c r="X43" s="2898"/>
      <c r="Y43" s="2023"/>
      <c r="Z43" s="2894">
        <f t="shared" si="20"/>
        <v>4.8999999999999998E-3</v>
      </c>
      <c r="AA43" s="2895">
        <f t="shared" si="20"/>
        <v>3.3E-3</v>
      </c>
      <c r="AB43" s="2023">
        <f t="shared" si="20"/>
        <v>9.1999999999999998E-3</v>
      </c>
      <c r="AC43" s="2896"/>
      <c r="AD43" s="2023">
        <f t="shared" si="20"/>
        <v>3.3E-3</v>
      </c>
    </row>
    <row r="44" spans="1:30" s="2040" customFormat="1" ht="12.75">
      <c r="A44" s="2897" t="s">
        <v>2833</v>
      </c>
      <c r="B44" s="2026">
        <v>2021</v>
      </c>
      <c r="C44" s="2037">
        <v>3</v>
      </c>
      <c r="D44" s="2002"/>
      <c r="E44" s="2002">
        <v>0.47</v>
      </c>
      <c r="F44" s="2002">
        <v>0.28000000000000003</v>
      </c>
      <c r="G44" s="2002">
        <v>0.91</v>
      </c>
      <c r="H44" s="2909"/>
      <c r="I44" s="2003">
        <f t="shared" si="15"/>
        <v>0.28000000000000003</v>
      </c>
      <c r="J44" s="2898"/>
      <c r="K44" s="2038"/>
      <c r="L44" s="2023">
        <f t="shared" si="16"/>
        <v>4.6999999999999993E-3</v>
      </c>
      <c r="M44" s="2023">
        <f t="shared" si="16"/>
        <v>2.8000000000000004E-3</v>
      </c>
      <c r="N44" s="2023">
        <f t="shared" si="16"/>
        <v>9.1000000000000004E-3</v>
      </c>
      <c r="O44" s="2023"/>
      <c r="P44" s="2023">
        <f t="shared" si="18"/>
        <v>2.8000000000000004E-3</v>
      </c>
      <c r="Q44" s="2898"/>
      <c r="R44" s="2022"/>
      <c r="S44" s="2022">
        <f>ROUND(IF(项目基本情况!$B$8="出让",SUMPRODUCT(PRODUCT(1+L44:L$46)),SUMPRODUCT(PRODUCT(1+L44:L$45))),4)</f>
        <v>1.0102</v>
      </c>
      <c r="T44" s="2022">
        <f>ROUND(IF(项目基本情况!$B$8="出让",SUMPRODUCT(PRODUCT(1+M44:M$46)),SUMPRODUCT(PRODUCT(1+M44:M$45))),4)</f>
        <v>1.0074000000000001</v>
      </c>
      <c r="U44" s="2022">
        <f>ROUND(IF(项目基本情况!$B$8="出让",SUMPRODUCT(PRODUCT(1+N44:N$46)),SUMPRODUCT(PRODUCT(1+N44:N$45))),4)</f>
        <v>1.0202</v>
      </c>
      <c r="V44" s="2022"/>
      <c r="W44" s="2022">
        <f t="shared" si="19"/>
        <v>1.0074000000000001</v>
      </c>
      <c r="X44" s="2898"/>
      <c r="Y44" s="2023"/>
      <c r="Z44" s="2894">
        <f t="shared" si="20"/>
        <v>4.5999999999999999E-3</v>
      </c>
      <c r="AA44" s="2895">
        <f t="shared" si="20"/>
        <v>4.1000000000000003E-3</v>
      </c>
      <c r="AB44" s="2023">
        <f t="shared" si="20"/>
        <v>0.01</v>
      </c>
      <c r="AC44" s="2896"/>
      <c r="AD44" s="2023">
        <f t="shared" si="20"/>
        <v>4.1000000000000003E-3</v>
      </c>
    </row>
    <row r="45" spans="1:30" s="2040" customFormat="1" ht="12.75">
      <c r="A45" s="2897" t="s">
        <v>2834</v>
      </c>
      <c r="B45" s="2026">
        <v>2021</v>
      </c>
      <c r="C45" s="2037">
        <v>2</v>
      </c>
      <c r="D45" s="2002"/>
      <c r="E45" s="2002">
        <v>0.55000000000000004</v>
      </c>
      <c r="F45" s="2002">
        <v>0.46</v>
      </c>
      <c r="G45" s="2002">
        <v>1.1000000000000001</v>
      </c>
      <c r="H45" s="2909"/>
      <c r="I45" s="2003">
        <f t="shared" si="15"/>
        <v>0.46</v>
      </c>
      <c r="J45" s="2898"/>
      <c r="K45" s="2038"/>
      <c r="L45" s="2023">
        <f t="shared" si="16"/>
        <v>5.5000000000000005E-3</v>
      </c>
      <c r="M45" s="2023">
        <f t="shared" si="16"/>
        <v>4.5999999999999999E-3</v>
      </c>
      <c r="N45" s="2023">
        <f t="shared" si="16"/>
        <v>1.1000000000000001E-2</v>
      </c>
      <c r="O45" s="2023"/>
      <c r="P45" s="2023">
        <f t="shared" si="18"/>
        <v>4.5999999999999999E-3</v>
      </c>
      <c r="Q45" s="2898"/>
      <c r="R45" s="2022"/>
      <c r="S45" s="2022">
        <f>ROUND(IF(项目基本情况!$B$8="出让",SUMPRODUCT(PRODUCT(1+L45:L$46)),SUMPRODUCT(PRODUCT(1+L45:L$45))),4)</f>
        <v>1.0055000000000001</v>
      </c>
      <c r="T45" s="2022">
        <f>ROUND(IF(项目基本情况!$B$8="出让",SUMPRODUCT(PRODUCT(1+M45:M$46)),SUMPRODUCT(PRODUCT(1+M45:M$45))),4)</f>
        <v>1.0045999999999999</v>
      </c>
      <c r="U45" s="2022">
        <f>ROUND(IF(项目基本情况!$B$8="出让",SUMPRODUCT(PRODUCT(1+N45:N$46)),SUMPRODUCT(PRODUCT(1+N45:N$45))),4)</f>
        <v>1.0109999999999999</v>
      </c>
      <c r="V45" s="2022"/>
      <c r="W45" s="2022">
        <f t="shared" si="19"/>
        <v>1.0045999999999999</v>
      </c>
      <c r="X45" s="2898"/>
      <c r="Y45" s="2023"/>
      <c r="Z45" s="2894">
        <f t="shared" si="20"/>
        <v>4.4999999999999997E-3</v>
      </c>
      <c r="AA45" s="2895">
        <f t="shared" si="20"/>
        <v>4.7000000000000002E-3</v>
      </c>
      <c r="AB45" s="2023">
        <f t="shared" si="20"/>
        <v>1.04E-2</v>
      </c>
      <c r="AC45" s="2896"/>
      <c r="AD45" s="2023">
        <f t="shared" si="20"/>
        <v>4.7000000000000002E-3</v>
      </c>
    </row>
    <row r="46" spans="1:30" s="2920" customFormat="1" thickBot="1">
      <c r="A46" s="2910" t="s">
        <v>2820</v>
      </c>
      <c r="B46" s="2911">
        <v>2021</v>
      </c>
      <c r="C46" s="2912">
        <v>1</v>
      </c>
      <c r="D46" s="2913"/>
      <c r="E46" s="2913">
        <v>0.35</v>
      </c>
      <c r="F46" s="2913">
        <v>0.48</v>
      </c>
      <c r="G46" s="2913">
        <v>0.98</v>
      </c>
      <c r="H46" s="2914"/>
      <c r="I46" s="2915">
        <f t="shared" si="15"/>
        <v>0.48</v>
      </c>
      <c r="J46" s="2916"/>
      <c r="K46" s="2917"/>
      <c r="L46" s="2918">
        <f t="shared" si="16"/>
        <v>3.4999999999999996E-3</v>
      </c>
      <c r="M46" s="2918">
        <f>F46/100</f>
        <v>4.7999999999999996E-3</v>
      </c>
      <c r="N46" s="2918">
        <f t="shared" si="16"/>
        <v>9.7999999999999997E-3</v>
      </c>
      <c r="O46" s="2918"/>
      <c r="P46" s="2918">
        <f t="shared" si="18"/>
        <v>4.7999999999999996E-3</v>
      </c>
      <c r="Q46" s="2916"/>
      <c r="R46" s="2919"/>
      <c r="S46" s="2919">
        <v>1</v>
      </c>
      <c r="T46" s="2919">
        <v>1</v>
      </c>
      <c r="U46" s="2919">
        <v>1</v>
      </c>
      <c r="V46" s="2919"/>
      <c r="W46" s="2919">
        <f t="shared" si="19"/>
        <v>1</v>
      </c>
      <c r="X46" s="2916"/>
      <c r="Y46" s="2918"/>
      <c r="Z46" s="2926">
        <f t="shared" si="20"/>
        <v>3.5000000000000001E-3</v>
      </c>
      <c r="AA46" s="2927">
        <f t="shared" si="20"/>
        <v>4.7999999999999996E-3</v>
      </c>
      <c r="AB46" s="2918">
        <f t="shared" si="20"/>
        <v>9.7999999999999997E-3</v>
      </c>
      <c r="AC46" s="2928"/>
      <c r="AD46" s="2918">
        <f t="shared" si="20"/>
        <v>4.7999999999999996E-3</v>
      </c>
    </row>
    <row r="47" spans="1:30" ht="14.25" thickTop="1"/>
    <row r="48" spans="1:30">
      <c r="A48" s="3105"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L37" sqref="L37"/>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3359</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3356</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3357</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3358</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2432</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2309</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2308</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2307</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2304</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2303</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2128</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2126</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2125</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2124</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2122</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2121</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2123</v>
      </c>
      <c r="B21" s="2044">
        <f t="shared" si="0"/>
        <v>464.37293017158942</v>
      </c>
      <c r="C21" s="2044">
        <f t="shared" si="1"/>
        <v>344.73679941385956</v>
      </c>
      <c r="D21" s="2044">
        <f t="shared" si="2"/>
        <v>344.73679941385956</v>
      </c>
      <c r="E21" s="2044">
        <f t="shared" si="3"/>
        <v>663.2377795103107</v>
      </c>
      <c r="F21" s="2045">
        <f t="shared" si="4"/>
        <v>304.75936311478398</v>
      </c>
      <c r="G21" s="3521">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2119</v>
      </c>
      <c r="B22" s="2036">
        <f t="shared" si="0"/>
        <v>459.95733971036987</v>
      </c>
      <c r="C22" s="2036">
        <f t="shared" si="1"/>
        <v>341.22221064422405</v>
      </c>
      <c r="D22" s="2036">
        <f t="shared" si="2"/>
        <v>341.22221064422405</v>
      </c>
      <c r="E22" s="2036">
        <f t="shared" si="3"/>
        <v>657.19161663724799</v>
      </c>
      <c r="F22" s="2036">
        <f t="shared" si="4"/>
        <v>300.87803644464805</v>
      </c>
      <c r="G22" s="3521"/>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2118</v>
      </c>
      <c r="B23" s="2036">
        <f t="shared" si="0"/>
        <v>453.11529869999993</v>
      </c>
      <c r="C23" s="2036">
        <f t="shared" si="1"/>
        <v>336.47787264000004</v>
      </c>
      <c r="D23" s="2036">
        <f t="shared" si="2"/>
        <v>336.47787264000004</v>
      </c>
      <c r="E23" s="2036">
        <f t="shared" si="3"/>
        <v>647.35186823999993</v>
      </c>
      <c r="F23" s="2036">
        <f t="shared" si="4"/>
        <v>295.73229452000004</v>
      </c>
      <c r="G23" s="3521"/>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2111</v>
      </c>
      <c r="B24" s="2036">
        <f t="shared" si="0"/>
        <v>446.46299999999997</v>
      </c>
      <c r="C24" s="2036">
        <f t="shared" si="1"/>
        <v>333.27840000000003</v>
      </c>
      <c r="D24" s="2036">
        <f t="shared" si="2"/>
        <v>333.27840000000003</v>
      </c>
      <c r="E24" s="2036">
        <f t="shared" si="3"/>
        <v>637.28279999999995</v>
      </c>
      <c r="F24" s="2036">
        <f t="shared" si="4"/>
        <v>288.68830000000003</v>
      </c>
      <c r="G24" s="3528"/>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2109</v>
      </c>
      <c r="B25" s="2044">
        <v>439</v>
      </c>
      <c r="C25" s="2044">
        <v>327</v>
      </c>
      <c r="D25" s="2044">
        <f t="shared" si="2"/>
        <v>327</v>
      </c>
      <c r="E25" s="2044">
        <v>627</v>
      </c>
      <c r="F25" s="2045">
        <v>283</v>
      </c>
      <c r="G25" s="3524">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2110</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1"/>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1"/>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8"/>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4">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1"/>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1"/>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2"/>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0">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1"/>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1"/>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2"/>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0">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1"/>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1"/>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2"/>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5">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6"/>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6"/>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7"/>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0">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1"/>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1"/>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2"/>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0">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1">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1">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2">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0">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1">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1">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2">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0">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1">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1">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2">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0">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1">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1">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2">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0">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1">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1">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2">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0">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1">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1">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2">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0">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1">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1">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2">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0">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1">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1">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2">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1">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1">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1">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1">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2">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798" t="s">
        <v>925</v>
      </c>
      <c r="E3" s="798" t="s">
        <v>931</v>
      </c>
      <c r="F3" s="798" t="s">
        <v>925</v>
      </c>
      <c r="G3" s="798" t="s">
        <v>926</v>
      </c>
      <c r="H3" s="798" t="s">
        <v>925</v>
      </c>
      <c r="I3" s="798" t="s">
        <v>926</v>
      </c>
    </row>
    <row r="4" spans="1:9" ht="60">
      <c r="A4" s="1399" t="str">
        <f>项目基本情况!S2</f>
        <v>北京市丰台区丰台科技园东区三期1516-51号地块商业金融用地项目出让国有建设用地使用权及在建建筑物房地产</v>
      </c>
      <c r="B4" s="798">
        <f>项目基本情况!C17</f>
        <v>108765.47999999998</v>
      </c>
      <c r="C4" s="798">
        <f>项目基本情况!C18</f>
        <v>23493.01</v>
      </c>
      <c r="D4" s="798">
        <f ca="1">结果表!D118</f>
        <v>170709</v>
      </c>
      <c r="E4" s="798">
        <f ca="1">结果表!E118</f>
        <v>15695</v>
      </c>
      <c r="F4" s="798">
        <f ca="1">结果表!F118</f>
        <v>71776</v>
      </c>
      <c r="G4" s="798">
        <f ca="1">结果表!G118</f>
        <v>6599</v>
      </c>
      <c r="H4" s="798">
        <f ca="1">结果表!H118</f>
        <v>242485</v>
      </c>
      <c r="I4" s="798">
        <f ca="1">结果表!I118</f>
        <v>22294</v>
      </c>
    </row>
    <row r="5" spans="1:9" ht="30" customHeight="1">
      <c r="A5" s="3192" t="s">
        <v>927</v>
      </c>
      <c r="B5" s="3192"/>
      <c r="C5" s="3192"/>
      <c r="D5" s="3192" t="str">
        <f ca="1">结果表!D119</f>
        <v>壹拾柒亿零柒佰零玖万元整</v>
      </c>
      <c r="E5" s="3192"/>
      <c r="F5" s="3192" t="str">
        <f ca="1">结果表!F119</f>
        <v>柒亿壹仟柒佰柒拾陆万元整</v>
      </c>
      <c r="G5" s="3192"/>
      <c r="H5" s="3192" t="str">
        <f ca="1">结果表!H119</f>
        <v>贰拾肆亿贰仟肆佰捌拾伍万元整</v>
      </c>
      <c r="I5" s="3192"/>
    </row>
    <row r="6" spans="1:9" ht="15.75">
      <c r="A6" s="3193" t="str">
        <f>结果表!A120</f>
        <v>估价师知悉的法定优先受偿款</v>
      </c>
      <c r="B6" s="3193"/>
      <c r="C6" s="3193"/>
      <c r="D6" s="3193">
        <f>结果表!D120</f>
        <v>2320</v>
      </c>
      <c r="E6" s="3193"/>
      <c r="F6" s="3193"/>
      <c r="G6" s="3193"/>
      <c r="H6" s="3193"/>
      <c r="I6" s="3193"/>
    </row>
    <row r="7" spans="1:9" ht="15">
      <c r="A7" s="3192" t="s">
        <v>927</v>
      </c>
      <c r="B7" s="3192"/>
      <c r="C7" s="3192"/>
      <c r="D7" s="3194" t="str">
        <f>结果表!D121</f>
        <v>贰仟叁佰贰拾万元整</v>
      </c>
      <c r="E7" s="3195"/>
      <c r="F7" s="3195"/>
      <c r="G7" s="3195"/>
      <c r="H7" s="3195"/>
      <c r="I7" s="3196"/>
    </row>
    <row r="8" spans="1:9" ht="15.75">
      <c r="A8" s="3193" t="str">
        <f>结果表!A122</f>
        <v>房地产抵押价值</v>
      </c>
      <c r="B8" s="3193"/>
      <c r="C8" s="3193"/>
      <c r="D8" s="3193">
        <f ca="1">结果表!D122</f>
        <v>240165</v>
      </c>
      <c r="E8" s="3193"/>
      <c r="F8" s="3193"/>
      <c r="G8" s="3193"/>
      <c r="H8" s="3193"/>
      <c r="I8" s="3193"/>
    </row>
    <row r="9" spans="1:9" ht="15">
      <c r="A9" s="3192" t="s">
        <v>927</v>
      </c>
      <c r="B9" s="3192"/>
      <c r="C9" s="3192"/>
      <c r="D9" s="3192" t="str">
        <f ca="1">结果表!D123</f>
        <v>贰拾肆亿零壹佰陆拾伍万元整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C16" sqref="C1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45635</v>
      </c>
      <c r="D1" s="1213" t="s">
        <v>603</v>
      </c>
      <c r="E1" s="1208">
        <f>'数据-取费表'!B22</f>
        <v>2.5</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2305</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3" t="s">
        <v>934</v>
      </c>
      <c r="B3" s="1403" t="s">
        <v>935</v>
      </c>
      <c r="C3" s="1403" t="s">
        <v>936</v>
      </c>
      <c r="D3" s="1403" t="s">
        <v>937</v>
      </c>
    </row>
    <row r="4" spans="1:4" ht="56.25" customHeight="1">
      <c r="A4" s="1404" t="str">
        <f>项目基本情况!B4</f>
        <v>梁津</v>
      </c>
      <c r="B4" s="1405">
        <f ca="1">项目基本情况!C4</f>
        <v>1119970066</v>
      </c>
      <c r="C4" s="1406"/>
      <c r="D4" s="1407" t="s">
        <v>938</v>
      </c>
    </row>
    <row r="5" spans="1:4" ht="56.25" customHeight="1">
      <c r="A5" s="1404" t="str">
        <f>项目基本情况!D4</f>
        <v>吴薇</v>
      </c>
      <c r="B5" s="1405">
        <f ca="1">项目基本情况!E4</f>
        <v>1419970001</v>
      </c>
      <c r="C5" s="1408"/>
      <c r="D5" s="1407" t="s">
        <v>938</v>
      </c>
    </row>
    <row r="6" spans="1:4" ht="18">
      <c r="A6" s="3200" t="s">
        <v>939</v>
      </c>
      <c r="B6" s="3200"/>
      <c r="C6" s="3200"/>
      <c r="D6" s="3200"/>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故，本次评估估价师知悉的法定优先受偿款为人民币2320万元整。</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13" t="s">
        <v>956</v>
      </c>
      <c r="B15" s="3208" t="s">
        <v>109</v>
      </c>
      <c r="C15" s="3209"/>
    </row>
    <row r="16" spans="1:7" ht="13.5">
      <c r="A16" s="3214"/>
      <c r="B16" s="3208" t="s">
        <v>42</v>
      </c>
      <c r="C16" s="3209"/>
    </row>
    <row r="17" spans="1:3" ht="13.5">
      <c r="A17" s="3214"/>
      <c r="B17" s="3211" t="s">
        <v>957</v>
      </c>
      <c r="C17" s="1425" t="s">
        <v>956</v>
      </c>
    </row>
    <row r="18" spans="1:3" ht="13.5">
      <c r="A18" s="3214"/>
      <c r="B18" s="3211"/>
      <c r="C18" s="1425" t="s">
        <v>958</v>
      </c>
    </row>
    <row r="19" spans="1:3" ht="13.5">
      <c r="A19" s="3214"/>
      <c r="B19" s="3211"/>
      <c r="C19" s="1425" t="s">
        <v>959</v>
      </c>
    </row>
    <row r="20" spans="1:3" ht="13.5">
      <c r="A20" s="3215"/>
      <c r="B20" s="3210" t="s">
        <v>960</v>
      </c>
      <c r="C20" s="3209"/>
    </row>
    <row r="21" spans="1:3" ht="13.5">
      <c r="A21" s="1426" t="s">
        <v>961</v>
      </c>
      <c r="B21" s="1427"/>
      <c r="C21" s="1428"/>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5" t="s">
        <v>967</v>
      </c>
    </row>
    <row r="26" spans="1:3" ht="13.5">
      <c r="A26" s="3212"/>
      <c r="B26" s="3211"/>
      <c r="C26" s="1425" t="s">
        <v>968</v>
      </c>
    </row>
    <row r="27" spans="1:3" ht="13.5">
      <c r="A27" s="3212"/>
      <c r="B27" s="3211"/>
      <c r="C27" s="1425" t="s">
        <v>969</v>
      </c>
    </row>
    <row r="28" spans="1:3" ht="13.5">
      <c r="A28" s="3212"/>
      <c r="B28" s="3211"/>
      <c r="C28" s="1425" t="s">
        <v>970</v>
      </c>
    </row>
    <row r="29" spans="1:3" ht="13.5">
      <c r="A29" s="3212"/>
      <c r="B29" s="3211"/>
      <c r="C29" s="1425" t="s">
        <v>971</v>
      </c>
    </row>
    <row r="30" spans="1:3" ht="13.5">
      <c r="A30" s="3212"/>
      <c r="B30" s="3211"/>
      <c r="C30" s="1425" t="s">
        <v>972</v>
      </c>
    </row>
    <row r="31" spans="1:3" ht="13.5">
      <c r="A31" s="3212"/>
      <c r="B31" s="3211"/>
      <c r="C31" s="1425" t="s">
        <v>973</v>
      </c>
    </row>
    <row r="32" spans="1:3" ht="13.5">
      <c r="A32" s="3212"/>
      <c r="B32" s="3211"/>
      <c r="C32" s="1425" t="s">
        <v>974</v>
      </c>
    </row>
    <row r="33" spans="1:3" ht="13.5">
      <c r="A33" s="3212"/>
      <c r="B33" s="3211"/>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45637</v>
      </c>
      <c r="C2" s="2153" t="s">
        <v>2138</v>
      </c>
      <c r="D2" s="2153"/>
      <c r="E2" s="2153"/>
      <c r="F2" s="2149"/>
      <c r="G2" s="2149"/>
      <c r="H2" s="2149"/>
    </row>
    <row r="3" spans="1:8" ht="24" customHeight="1">
      <c r="A3" s="2154" t="s">
        <v>2139</v>
      </c>
      <c r="B3" s="1215" t="s">
        <v>2140</v>
      </c>
      <c r="C3" s="1215" t="s">
        <v>2141</v>
      </c>
      <c r="D3" s="2155" t="s">
        <v>2142</v>
      </c>
      <c r="E3" s="2156" t="s">
        <v>2143</v>
      </c>
      <c r="F3" s="1215" t="s">
        <v>2144</v>
      </c>
      <c r="G3" s="1215" t="s">
        <v>2141</v>
      </c>
      <c r="H3" s="2155" t="s">
        <v>2145</v>
      </c>
    </row>
    <row r="4" spans="1:8" ht="24" customHeight="1">
      <c r="A4" s="1215" t="s">
        <v>2146</v>
      </c>
      <c r="B4" s="1215">
        <f ca="1">IF(C4&lt;B2,"已过期",1119970066)</f>
        <v>1119970066</v>
      </c>
      <c r="C4" s="2157">
        <v>45937</v>
      </c>
      <c r="D4" s="2158" t="str">
        <f ca="1">A4&amp;"（注册号："&amp;B4&amp;"）"</f>
        <v>梁津（注册号：1119970066）</v>
      </c>
      <c r="E4" s="2159" t="s">
        <v>2146</v>
      </c>
      <c r="F4" s="1215">
        <f ca="1">IF(G4&lt;B2,"已过期",96010014)</f>
        <v>96010014</v>
      </c>
      <c r="G4" s="2160">
        <v>47118</v>
      </c>
      <c r="H4" s="2161" t="str">
        <f ca="1">E4&amp;"（注册号："&amp;F4&amp;"）"</f>
        <v>梁津（注册号：96010014）</v>
      </c>
    </row>
    <row r="5" spans="1:8" ht="24" customHeight="1">
      <c r="A5" s="1215" t="s">
        <v>2147</v>
      </c>
      <c r="B5" s="1215">
        <f ca="1">IF(C5&lt;B2,"已过期",1119970111)</f>
        <v>1119970111</v>
      </c>
      <c r="C5" s="2157">
        <v>45937</v>
      </c>
      <c r="D5" s="2158" t="str">
        <f t="shared" ref="D5:D15" ca="1" si="0">A5&amp;"（注册号："&amp;B5&amp;"）"</f>
        <v>叶凌（注册号：1119970111）</v>
      </c>
      <c r="E5" s="2159" t="s">
        <v>2147</v>
      </c>
      <c r="F5" s="1215">
        <f ca="1">IF(G5&lt;B2,"已过期",94010078)</f>
        <v>94010078</v>
      </c>
      <c r="G5" s="2160">
        <v>46387</v>
      </c>
      <c r="H5" s="2161" t="str">
        <f t="shared" ref="H5:H16" ca="1" si="1">E5&amp;"（注册号："&amp;F5&amp;"）"</f>
        <v>叶凌（注册号：94010078）</v>
      </c>
    </row>
    <row r="6" spans="1:8" ht="24" customHeight="1">
      <c r="A6" s="1215" t="s">
        <v>2148</v>
      </c>
      <c r="B6" s="1215" t="str">
        <f ca="1">IF(C6&lt;B2,"已过期",1120050019)</f>
        <v>已过期</v>
      </c>
      <c r="C6" s="2157">
        <v>45410</v>
      </c>
      <c r="D6" s="2158" t="str">
        <f t="shared" ca="1" si="0"/>
        <v>王鹏（注册号：已过期）</v>
      </c>
      <c r="E6" s="2159" t="s">
        <v>2148</v>
      </c>
      <c r="F6" s="1215">
        <f ca="1">IF(G6&lt;B2,"已过期",2002110030)</f>
        <v>2002110030</v>
      </c>
      <c r="G6" s="2160">
        <v>46387</v>
      </c>
      <c r="H6" s="2161" t="str">
        <f t="shared" ca="1" si="1"/>
        <v>王鹏（注册号：2002110030）</v>
      </c>
    </row>
    <row r="7" spans="1:8" ht="24" customHeight="1">
      <c r="A7" s="1215" t="s">
        <v>2149</v>
      </c>
      <c r="B7" s="1215">
        <f ca="1">IF(C7&lt;B2,"已过期",1120000080)</f>
        <v>1120000080</v>
      </c>
      <c r="C7" s="2157">
        <v>45937</v>
      </c>
      <c r="D7" s="2158" t="str">
        <f t="shared" ca="1" si="0"/>
        <v>欧红伟（注册号：1120000080）</v>
      </c>
      <c r="E7" s="2159" t="s">
        <v>2149</v>
      </c>
      <c r="F7" s="1215">
        <f ca="1">IF(G7&lt;B2,"已过期",2000110082)</f>
        <v>2000110082</v>
      </c>
      <c r="G7" s="2160">
        <v>46387</v>
      </c>
      <c r="H7" s="2161" t="str">
        <f t="shared" ca="1" si="1"/>
        <v>欧红伟（注册号：2000110082）</v>
      </c>
    </row>
    <row r="8" spans="1:8" ht="24" customHeight="1">
      <c r="A8" s="1215" t="s">
        <v>2150</v>
      </c>
      <c r="B8" s="1215">
        <f ca="1">IF(C8&lt;B2,"已过期",1419970001)</f>
        <v>1419970001</v>
      </c>
      <c r="C8" s="2157">
        <v>45937</v>
      </c>
      <c r="D8" s="2158" t="str">
        <f t="shared" ca="1" si="0"/>
        <v>吴薇（注册号：1419970001）</v>
      </c>
      <c r="E8" s="2159" t="s">
        <v>2150</v>
      </c>
      <c r="F8" s="1215">
        <f ca="1">IF(G8&lt;B2,"已过期",2002110125)</f>
        <v>2002110125</v>
      </c>
      <c r="G8" s="2160">
        <v>47118</v>
      </c>
      <c r="H8" s="2161" t="str">
        <f t="shared" ca="1" si="1"/>
        <v>吴薇（注册号：2002110125）</v>
      </c>
    </row>
    <row r="9" spans="1:8" ht="24" customHeight="1">
      <c r="A9" s="1215" t="s">
        <v>2151</v>
      </c>
      <c r="B9" s="1215" t="str">
        <f ca="1">IF(C9&lt;B2,"已过期",1120060040)</f>
        <v>已过期</v>
      </c>
      <c r="C9" s="2162">
        <v>45592</v>
      </c>
      <c r="D9" s="2158" t="str">
        <f t="shared" ca="1" si="0"/>
        <v>陈颖（注册号：已过期）</v>
      </c>
      <c r="E9" s="2159" t="s">
        <v>2151</v>
      </c>
      <c r="F9" s="1215">
        <f ca="1">IF(G9&lt;B2,"已过期",2004110096)</f>
        <v>2004110096</v>
      </c>
      <c r="G9" s="2160">
        <v>47118</v>
      </c>
      <c r="H9" s="2161" t="str">
        <f t="shared" ca="1" si="1"/>
        <v>陈颖（注册号：2004110096）</v>
      </c>
    </row>
    <row r="10" spans="1:8" ht="24" customHeight="1">
      <c r="A10" s="1215" t="s">
        <v>2152</v>
      </c>
      <c r="B10" s="1215">
        <f ca="1">IF(C10&lt;B2,"已过期",1120100036)</f>
        <v>1120100036</v>
      </c>
      <c r="C10" s="2162">
        <v>45752</v>
      </c>
      <c r="D10" s="2158" t="str">
        <f t="shared" ca="1" si="0"/>
        <v>崔锴（注册号：1120100036）</v>
      </c>
      <c r="E10" s="2159" t="s">
        <v>2152</v>
      </c>
      <c r="F10" s="1215">
        <f ca="1">IF(G10&lt;B2,"已过期",2010110070)</f>
        <v>2010110070</v>
      </c>
      <c r="G10" s="2160">
        <v>47907</v>
      </c>
      <c r="H10" s="2161" t="str">
        <f t="shared" ca="1" si="1"/>
        <v>崔锴（注册号：2010110070）</v>
      </c>
    </row>
    <row r="11" spans="1:8" ht="24" customHeight="1">
      <c r="A11" s="1215" t="s">
        <v>2153</v>
      </c>
      <c r="B11" s="1215">
        <f ca="1">IF(C11&lt;B2,"已过期",1120070131)</f>
        <v>1120070131</v>
      </c>
      <c r="C11" s="2157">
        <v>45937</v>
      </c>
      <c r="D11" s="2158" t="str">
        <f t="shared" ca="1" si="0"/>
        <v>郑燚（注册号：1120070131）</v>
      </c>
      <c r="E11" s="2159" t="s">
        <v>2153</v>
      </c>
      <c r="F11" s="1215">
        <f ca="1">IF(G11&lt;B2,"已过期",2014110011)</f>
        <v>2014110011</v>
      </c>
      <c r="G11" s="2160">
        <v>49302</v>
      </c>
      <c r="H11" s="2161" t="str">
        <f t="shared" ca="1" si="1"/>
        <v>郑燚（注册号：2014110011）</v>
      </c>
    </row>
    <row r="12" spans="1:8" ht="24" customHeight="1">
      <c r="A12" s="1215" t="s">
        <v>2154</v>
      </c>
      <c r="B12" s="1215">
        <f ca="1">IF(C12&lt;B2,"已过期",1120040230)</f>
        <v>1120040230</v>
      </c>
      <c r="C12" s="2162">
        <v>45937</v>
      </c>
      <c r="D12" s="2158" t="str">
        <f t="shared" ca="1" si="0"/>
        <v>苏海（注册号：1120040230）</v>
      </c>
      <c r="E12" s="2159" t="s">
        <v>2154</v>
      </c>
      <c r="F12" s="1215">
        <f ca="1">IF(G12&lt;B2,"已过期",98030020)</f>
        <v>98030020</v>
      </c>
      <c r="G12" s="2160">
        <v>47118</v>
      </c>
      <c r="H12" s="2161" t="str">
        <f t="shared" ca="1" si="1"/>
        <v>苏海（注册号：98030020）</v>
      </c>
    </row>
    <row r="13" spans="1:8" ht="24" customHeight="1">
      <c r="A13" s="1215" t="s">
        <v>2155</v>
      </c>
      <c r="B13" s="1215" t="str">
        <f ca="1">IF(C13&lt;B2,"已过期",1120020033)</f>
        <v>已过期</v>
      </c>
      <c r="C13" s="2157">
        <v>45375</v>
      </c>
      <c r="D13" s="2158" t="str">
        <f t="shared" ca="1" si="0"/>
        <v>刘敬东（注册号：已过期）</v>
      </c>
      <c r="E13" s="2159" t="s">
        <v>2155</v>
      </c>
      <c r="F13" s="1215">
        <f ca="1">IF(G13&lt;B2,"已过期",2000110137)</f>
        <v>2000110137</v>
      </c>
      <c r="G13" s="2160">
        <v>46387</v>
      </c>
      <c r="H13" s="2161" t="str">
        <f t="shared" ca="1" si="1"/>
        <v>刘敬东（注册号：2000110137）</v>
      </c>
    </row>
    <row r="14" spans="1:8" ht="24" customHeight="1">
      <c r="A14" s="1215" t="s">
        <v>2156</v>
      </c>
      <c r="B14" s="1215" t="str">
        <f ca="1">IF(C14&lt;B2,"已过期",1119980106)</f>
        <v>已过期</v>
      </c>
      <c r="C14" s="2162">
        <v>44969</v>
      </c>
      <c r="D14" s="2158" t="str">
        <f t="shared" ca="1" si="0"/>
        <v>刘俊财（注册号：已过期）</v>
      </c>
      <c r="E14" s="2159" t="s">
        <v>2156</v>
      </c>
      <c r="F14" s="1215">
        <f ca="1">IF(G14&lt;B2,"已过期",96010063)</f>
        <v>96010063</v>
      </c>
      <c r="G14" s="2160">
        <v>47483</v>
      </c>
      <c r="H14" s="2161" t="str">
        <f t="shared" ca="1" si="1"/>
        <v>刘俊财（注册号：96010063）</v>
      </c>
    </row>
    <row r="15" spans="1:8" ht="24" customHeight="1">
      <c r="A15" s="1215" t="s">
        <v>2433</v>
      </c>
      <c r="B15" s="1215">
        <v>1120210056</v>
      </c>
      <c r="C15" s="2162">
        <v>45410</v>
      </c>
      <c r="D15" s="2158" t="str">
        <f t="shared" si="0"/>
        <v>宁小鳗（注册号：1120210056）</v>
      </c>
      <c r="E15" s="2159" t="s">
        <v>2157</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16" t="s">
        <v>2158</v>
      </c>
      <c r="B17" s="3216"/>
      <c r="C17" s="3216"/>
      <c r="D17" s="3216"/>
      <c r="E17" s="3216"/>
      <c r="F17" s="3216"/>
      <c r="G17" s="3216"/>
      <c r="H17" s="3216"/>
    </row>
    <row r="18" spans="1:8" ht="24" customHeight="1">
      <c r="A18" s="3217" t="s">
        <v>2159</v>
      </c>
      <c r="B18" s="3217"/>
      <c r="C18" s="3217"/>
      <c r="D18" s="2155"/>
      <c r="E18" s="3218" t="s">
        <v>2160</v>
      </c>
      <c r="F18" s="3217"/>
      <c r="G18" s="3217"/>
    </row>
    <row r="19" spans="1:8" s="2165" customFormat="1" ht="24" customHeight="1">
      <c r="A19" s="2164" t="s">
        <v>2161</v>
      </c>
      <c r="B19" s="1215" t="s">
        <v>2162</v>
      </c>
      <c r="C19" s="1215" t="s">
        <v>2141</v>
      </c>
      <c r="D19" s="2155"/>
      <c r="E19" s="2159" t="s">
        <v>2161</v>
      </c>
      <c r="F19" s="1215" t="s">
        <v>2162</v>
      </c>
      <c r="G19" s="1215" t="s">
        <v>2141</v>
      </c>
    </row>
    <row r="20" spans="1:8" s="2165" customFormat="1" ht="24" customHeight="1">
      <c r="A20" s="2166" t="s">
        <v>2163</v>
      </c>
      <c r="B20" s="2166" t="s">
        <v>2164</v>
      </c>
      <c r="C20" s="2160">
        <v>45898</v>
      </c>
      <c r="D20" s="2167"/>
      <c r="E20" s="2168" t="s">
        <v>2165</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比较法-办公</vt:lpstr>
      <vt:lpstr>结果表</vt:lpstr>
      <vt:lpstr>土地比较法-住宅、综合</vt:lpstr>
      <vt:lpstr>土地案例</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区片价!Print_Area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2024-12-11T06:25:37Z</dcterms:modified>
</cp:coreProperties>
</file>