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4336B562-1C1F-4F65-A673-18B696F9ADC2}" xr6:coauthVersionLast="47" xr6:coauthVersionMax="47" xr10:uidLastSave="{00000000-0000-0000-0000-000000000000}"/>
  <bookViews>
    <workbookView xWindow="-108" yWindow="-108" windowWidth="20376" windowHeight="12216" tabRatio="899" firstSheet="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信息" sheetId="80" r:id="rId36"/>
    <sheet name="比较法-商业租金" sheetId="82"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3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3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6">'比较法-商业租金'!$B$116:$M$116</definedName>
    <definedName name="商业层高">'比较法-商业'!$B$116:$M$116</definedName>
    <definedName name="商业成新度" localSheetId="36">'比较法-商业租金'!$B$109:$M$109</definedName>
    <definedName name="商业成新度">'比较法-商业'!$B$109:$M$109</definedName>
    <definedName name="商业繁华度">定义!$L$1:$L$6</definedName>
    <definedName name="商业公共部分装修" localSheetId="36">'比较法-商业租金'!$B$107:$M$107</definedName>
    <definedName name="商业公共部分装修">'比较法-商业'!$B$107:$M$107</definedName>
    <definedName name="商业基础设施水平" localSheetId="36">'比较法-商业租金'!$B$112:$M$112</definedName>
    <definedName name="商业基础设施水平">'比较法-商业'!$B$112:$M$112</definedName>
    <definedName name="商业建筑结构" localSheetId="36">'比较法-商业租金'!$B$105:$M$105</definedName>
    <definedName name="商业建筑结构">'比较法-商业'!$B$105:$M$105</definedName>
    <definedName name="商业交易情况" localSheetId="36">'比较法-商业租金'!$A$61:$M$61</definedName>
    <definedName name="商业交易情况">'比较法-商业'!$A$61:$M$61</definedName>
    <definedName name="商业街名称">修正!$C$71:$C$138</definedName>
    <definedName name="商业进深比" localSheetId="36">'比较法-商业租金'!$B$120:$M$120</definedName>
    <definedName name="商业进深比">'比较法-商业'!$B$120:$M$120</definedName>
    <definedName name="商业类型" localSheetId="36">'比较法-商业租金'!$B$100:$M$100</definedName>
    <definedName name="商业类型">'比较法-商业'!$B$100:$M$100</definedName>
    <definedName name="商业临街状况" localSheetId="36">'比较法-商业租金'!$B$86:$M$86</definedName>
    <definedName name="商业临街状况">'比较法-商业'!$B$86:$M$86</definedName>
    <definedName name="商业楼层" localSheetId="36">'比较法-商业租金'!$B$92:$M$92</definedName>
    <definedName name="商业楼层">'比较法-商业'!$B$92:$M$92</definedName>
    <definedName name="商业内部装修" localSheetId="36">'比较法-商业租金'!$B$122:$M$122</definedName>
    <definedName name="商业内部装修">'比较法-商业'!$B$122:$M$122</definedName>
    <definedName name="商业人流量" localSheetId="36">'比较法-商业租金'!$B$90:$M$90</definedName>
    <definedName name="商业人流量">'比较法-商业'!$B$90:$M$90</definedName>
    <definedName name="商业业态" localSheetId="36">'比较法-商业租金'!$B$114:$M$114</definedName>
    <definedName name="商业业态">'比较法-商业'!$B$114:$M$114</definedName>
    <definedName name="商业用途" localSheetId="3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6" i="33" l="1"/>
  <c r="D66" i="33" s="1"/>
  <c r="C66" i="33" s="1"/>
  <c r="B14" i="74" l="1"/>
  <c r="C36" i="33"/>
  <c r="W20" i="1"/>
  <c r="W21" i="1" s="1"/>
  <c r="U6" i="1" s="1"/>
  <c r="F93" i="82" l="1"/>
  <c r="N23" i="82"/>
  <c r="M23" i="82"/>
  <c r="N22"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G113" i="82"/>
  <c r="H113" i="82" s="1"/>
  <c r="I113" i="82" s="1"/>
  <c r="J113" i="82" s="1"/>
  <c r="K113" i="82" s="1"/>
  <c r="L113" i="82" s="1"/>
  <c r="M113" i="82" s="1"/>
  <c r="D113" i="82"/>
  <c r="E113" i="82" s="1"/>
  <c r="F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E104" i="82"/>
  <c r="F104" i="82" s="1"/>
  <c r="D104" i="82"/>
  <c r="M102" i="82"/>
  <c r="L102" i="82"/>
  <c r="K102" i="82"/>
  <c r="J102" i="82"/>
  <c r="I102" i="82"/>
  <c r="H102" i="82"/>
  <c r="G102" i="82"/>
  <c r="F102" i="82"/>
  <c r="E102" i="82"/>
  <c r="D102" i="82"/>
  <c r="C102" i="82"/>
  <c r="D101" i="82"/>
  <c r="E101" i="82" s="1"/>
  <c r="B98" i="82"/>
  <c r="B96" i="82"/>
  <c r="B94" i="82"/>
  <c r="C93" i="82"/>
  <c r="E92" i="82"/>
  <c r="B92" i="82"/>
  <c r="D91" i="82"/>
  <c r="B90" i="82"/>
  <c r="E89" i="82"/>
  <c r="F89" i="82" s="1"/>
  <c r="G89" i="82" s="1"/>
  <c r="D89"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E66" i="82"/>
  <c r="D66" i="82"/>
  <c r="C66" i="82" s="1"/>
  <c r="C63" i="82"/>
  <c r="I54" i="82"/>
  <c r="J54" i="82" s="1"/>
  <c r="G54" i="82"/>
  <c r="H54" i="82" s="1"/>
  <c r="E54" i="82"/>
  <c r="F54" i="82" s="1"/>
  <c r="P49" i="82"/>
  <c r="P48" i="82"/>
  <c r="K48" i="82"/>
  <c r="V47" i="82"/>
  <c r="T47" i="82"/>
  <c r="R47" i="82"/>
  <c r="P47" i="82"/>
  <c r="Q46" i="82"/>
  <c r="Z46" i="82" s="1"/>
  <c r="J46" i="82"/>
  <c r="AC46" i="82" s="1"/>
  <c r="H46" i="82"/>
  <c r="AB46" i="82" s="1"/>
  <c r="F46" i="82"/>
  <c r="AA46" i="82" s="1"/>
  <c r="U45" i="82"/>
  <c r="Q45" i="82"/>
  <c r="Z45" i="82" s="1"/>
  <c r="J45" i="82"/>
  <c r="AC45" i="82" s="1"/>
  <c r="H45" i="82"/>
  <c r="AB45" i="82" s="1"/>
  <c r="F45" i="82"/>
  <c r="AA45" i="82" s="1"/>
  <c r="AA44" i="82"/>
  <c r="Q44" i="82"/>
  <c r="Z44" i="82" s="1"/>
  <c r="J44" i="82"/>
  <c r="AC44" i="82" s="1"/>
  <c r="H44" i="82"/>
  <c r="AB44" i="82" s="1"/>
  <c r="F44" i="82"/>
  <c r="S44" i="82" s="1"/>
  <c r="Q43" i="82"/>
  <c r="Z43" i="82" s="1"/>
  <c r="J43" i="82"/>
  <c r="AC43" i="82" s="1"/>
  <c r="H43" i="82"/>
  <c r="AB43" i="82" s="1"/>
  <c r="F43" i="82"/>
  <c r="AA43" i="82" s="1"/>
  <c r="AC42" i="82"/>
  <c r="Q42" i="82"/>
  <c r="Z42" i="82" s="1"/>
  <c r="J42" i="82"/>
  <c r="W42" i="82" s="1"/>
  <c r="H42" i="82"/>
  <c r="AB42" i="82" s="1"/>
  <c r="F42" i="82"/>
  <c r="AA42" i="82" s="1"/>
  <c r="U41" i="82"/>
  <c r="Q41" i="82"/>
  <c r="Z41" i="82" s="1"/>
  <c r="J41" i="82"/>
  <c r="AC41" i="82" s="1"/>
  <c r="H41" i="82"/>
  <c r="AB41" i="82" s="1"/>
  <c r="F41" i="82"/>
  <c r="AA41" i="82" s="1"/>
  <c r="AA40" i="82"/>
  <c r="Q40" i="82"/>
  <c r="Z40" i="82" s="1"/>
  <c r="J40" i="82"/>
  <c r="AC40" i="82" s="1"/>
  <c r="H40" i="82"/>
  <c r="AB40" i="82" s="1"/>
  <c r="F40" i="82"/>
  <c r="S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S35" i="82" s="1"/>
  <c r="Q34" i="82"/>
  <c r="Z34" i="82" s="1"/>
  <c r="J34" i="82"/>
  <c r="AC34" i="82" s="1"/>
  <c r="H34" i="82"/>
  <c r="AB34" i="82" s="1"/>
  <c r="F34" i="82"/>
  <c r="AA34" i="82" s="1"/>
  <c r="Q33" i="82"/>
  <c r="Z33" i="82" s="1"/>
  <c r="J33" i="82"/>
  <c r="W33" i="82" s="1"/>
  <c r="H33" i="82"/>
  <c r="AB33" i="82" s="1"/>
  <c r="F33" i="82"/>
  <c r="AA33" i="82" s="1"/>
  <c r="Q32" i="82"/>
  <c r="Z32" i="82" s="1"/>
  <c r="U31" i="82"/>
  <c r="Q31" i="82"/>
  <c r="Z31" i="82" s="1"/>
  <c r="J31" i="82"/>
  <c r="AC31" i="82" s="1"/>
  <c r="H31" i="82"/>
  <c r="AB31" i="82" s="1"/>
  <c r="F31" i="82"/>
  <c r="AA31" i="82" s="1"/>
  <c r="AA30" i="82"/>
  <c r="S30" i="82"/>
  <c r="Q30" i="82"/>
  <c r="Z30" i="82" s="1"/>
  <c r="F30" i="82"/>
  <c r="AC29" i="82"/>
  <c r="AB29" i="82"/>
  <c r="W29" i="82"/>
  <c r="U29" i="82"/>
  <c r="Q29" i="82"/>
  <c r="Z29" i="82" s="1"/>
  <c r="J29" i="82"/>
  <c r="H29" i="82"/>
  <c r="F29" i="82"/>
  <c r="Z28" i="82"/>
  <c r="Q28" i="82"/>
  <c r="Q27" i="82"/>
  <c r="Z27" i="82" s="1"/>
  <c r="AB26" i="82"/>
  <c r="AA26" i="82"/>
  <c r="U26" i="82"/>
  <c r="S26" i="82"/>
  <c r="Q26" i="82"/>
  <c r="Z26" i="82" s="1"/>
  <c r="M27" i="82"/>
  <c r="N27" i="82" s="1"/>
  <c r="J26" i="82"/>
  <c r="AC26" i="82" s="1"/>
  <c r="H26" i="82"/>
  <c r="F26" i="82"/>
  <c r="AC25" i="82"/>
  <c r="AB25" i="82"/>
  <c r="U25" i="82"/>
  <c r="Q25" i="82"/>
  <c r="Z25" i="82" s="1"/>
  <c r="N26" i="82"/>
  <c r="J25" i="82"/>
  <c r="W25" i="82" s="1"/>
  <c r="H25" i="82"/>
  <c r="F25" i="82"/>
  <c r="AA25" i="82" s="1"/>
  <c r="Q23" i="82"/>
  <c r="Z23" i="82" s="1"/>
  <c r="J23" i="82"/>
  <c r="AC23" i="82" s="1"/>
  <c r="H23" i="82"/>
  <c r="U23" i="82" s="1"/>
  <c r="F23" i="82"/>
  <c r="S23" i="82" s="1"/>
  <c r="C23" i="82"/>
  <c r="AC21" i="82"/>
  <c r="U21" i="82"/>
  <c r="Q21" i="82"/>
  <c r="Z21" i="82" s="1"/>
  <c r="J21" i="82"/>
  <c r="W21" i="82" s="1"/>
  <c r="H21" i="82"/>
  <c r="AB21" i="82" s="1"/>
  <c r="F21" i="82"/>
  <c r="S21" i="82" s="1"/>
  <c r="C21" i="82"/>
  <c r="M20" i="82"/>
  <c r="N19" i="82" s="1"/>
  <c r="Q19" i="82"/>
  <c r="Z19" i="82" s="1"/>
  <c r="J19" i="82"/>
  <c r="AC19" i="82" s="1"/>
  <c r="H19" i="82"/>
  <c r="AB19" i="82" s="1"/>
  <c r="F19" i="82"/>
  <c r="AA19" i="82" s="1"/>
  <c r="C19" i="82"/>
  <c r="Q17" i="82"/>
  <c r="Z17" i="82" s="1"/>
  <c r="J17" i="82"/>
  <c r="AC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A8" i="82"/>
  <c r="J8" i="82"/>
  <c r="W8" i="82" s="1"/>
  <c r="H8" i="82"/>
  <c r="U8" i="82" s="1"/>
  <c r="F8" i="82"/>
  <c r="S8" i="82" s="1"/>
  <c r="I7" i="82"/>
  <c r="G7" i="82"/>
  <c r="E7" i="82"/>
  <c r="C7" i="82"/>
  <c r="C58" i="82" s="1"/>
  <c r="D58" i="82" s="1"/>
  <c r="D3" i="82"/>
  <c r="E5" i="33"/>
  <c r="E93" i="33"/>
  <c r="E92" i="33"/>
  <c r="N26" i="33"/>
  <c r="M29" i="33" s="1"/>
  <c r="M21" i="33" s="1"/>
  <c r="N21" i="33" s="1"/>
  <c r="M26" i="33"/>
  <c r="N25" i="33"/>
  <c r="C33" i="33"/>
  <c r="O74" i="81"/>
  <c r="O69" i="81"/>
  <c r="O61" i="81"/>
  <c r="B11" i="81"/>
  <c r="B4" i="81"/>
  <c r="D104" i="33"/>
  <c r="E104" i="33" s="1"/>
  <c r="F104" i="33" s="1"/>
  <c r="D93" i="33"/>
  <c r="C93" i="33"/>
  <c r="D89" i="33"/>
  <c r="E89" i="33" s="1"/>
  <c r="F89" i="33" s="1"/>
  <c r="G89" i="33" s="1"/>
  <c r="I7" i="33"/>
  <c r="G7" i="33"/>
  <c r="E7" i="33"/>
  <c r="M20" i="33"/>
  <c r="N18" i="33" s="1"/>
  <c r="D2" i="82"/>
  <c r="W19" i="82" l="1"/>
  <c r="S19" i="82"/>
  <c r="W38" i="82"/>
  <c r="AA35" i="82"/>
  <c r="AC33" i="82"/>
  <c r="E58" i="82"/>
  <c r="F58" i="82" s="1"/>
  <c r="G58" i="82" s="1"/>
  <c r="H58" i="82" s="1"/>
  <c r="I58" i="82" s="1"/>
  <c r="J58" i="82" s="1"/>
  <c r="K58" i="82" s="1"/>
  <c r="L58" i="82" s="1"/>
  <c r="M58" i="82" s="1"/>
  <c r="N58" i="82" s="1"/>
  <c r="O58" i="82" s="1"/>
  <c r="J7" i="82"/>
  <c r="F7" i="82"/>
  <c r="H7" i="82"/>
  <c r="W10" i="82"/>
  <c r="S12" i="82"/>
  <c r="U13" i="82"/>
  <c r="W14" i="82"/>
  <c r="W17" i="82"/>
  <c r="W23" i="82"/>
  <c r="AA29" i="82"/>
  <c r="S29" i="82"/>
  <c r="H32" i="82"/>
  <c r="F32" i="82"/>
  <c r="AB8" i="82"/>
  <c r="W9" i="82"/>
  <c r="S11" i="82"/>
  <c r="U12" i="82"/>
  <c r="W13" i="82"/>
  <c r="N18" i="82"/>
  <c r="D93" i="82" s="1"/>
  <c r="U19" i="82"/>
  <c r="AA23" i="82"/>
  <c r="J36" i="82"/>
  <c r="F101" i="82"/>
  <c r="G101" i="82" s="1"/>
  <c r="H101" i="82" s="1"/>
  <c r="I101" i="82" s="1"/>
  <c r="J101" i="82" s="1"/>
  <c r="K101" i="82" s="1"/>
  <c r="L101" i="82" s="1"/>
  <c r="M101" i="82" s="1"/>
  <c r="U9" i="82"/>
  <c r="W15" i="82"/>
  <c r="AC8" i="82"/>
  <c r="S10" i="82"/>
  <c r="U11" i="82"/>
  <c r="W12" i="82"/>
  <c r="S14" i="82"/>
  <c r="S15" i="82"/>
  <c r="F17" i="82"/>
  <c r="AA21" i="82"/>
  <c r="AB23" i="82"/>
  <c r="F36" i="82"/>
  <c r="U37" i="82"/>
  <c r="W46" i="82"/>
  <c r="J30" i="82"/>
  <c r="H30" i="82"/>
  <c r="S9" i="82"/>
  <c r="U10" i="82"/>
  <c r="W11" i="82"/>
  <c r="S13" i="82"/>
  <c r="U14" i="82"/>
  <c r="U15" i="82"/>
  <c r="H17" i="82"/>
  <c r="M30" i="82"/>
  <c r="M21" i="82" s="1"/>
  <c r="N21" i="82" s="1"/>
  <c r="E93" i="82" s="1"/>
  <c r="F28" i="82" s="1"/>
  <c r="J32" i="82"/>
  <c r="E91" i="82"/>
  <c r="W26" i="82"/>
  <c r="W31" i="82"/>
  <c r="S34" i="82"/>
  <c r="U35" i="82"/>
  <c r="H36" i="82"/>
  <c r="W37" i="82"/>
  <c r="S39" i="82"/>
  <c r="U40" i="82"/>
  <c r="W41" i="82"/>
  <c r="S43" i="82"/>
  <c r="U44" i="82"/>
  <c r="W45" i="82"/>
  <c r="S25" i="82"/>
  <c r="S33" i="82"/>
  <c r="U34" i="82"/>
  <c r="W35" i="82"/>
  <c r="S38" i="82"/>
  <c r="U39" i="82"/>
  <c r="W40" i="82"/>
  <c r="S42" i="82"/>
  <c r="U43" i="82"/>
  <c r="W44" i="82"/>
  <c r="S46" i="82"/>
  <c r="S31" i="82"/>
  <c r="U33" i="82"/>
  <c r="W34" i="82"/>
  <c r="S37" i="82"/>
  <c r="U38" i="82"/>
  <c r="W39" i="82"/>
  <c r="S41" i="82"/>
  <c r="U42" i="82"/>
  <c r="W43" i="82"/>
  <c r="S45" i="82"/>
  <c r="U46" i="82"/>
  <c r="N19" i="33"/>
  <c r="H27" i="82" l="1"/>
  <c r="F91" i="82"/>
  <c r="J27" i="82"/>
  <c r="AA36" i="82"/>
  <c r="S36" i="82"/>
  <c r="J28" i="82"/>
  <c r="H28" i="82"/>
  <c r="AB17" i="82"/>
  <c r="U17" i="82"/>
  <c r="AC30" i="82"/>
  <c r="W30" i="82"/>
  <c r="AC36" i="82"/>
  <c r="W36" i="82"/>
  <c r="AA7" i="82"/>
  <c r="S7" i="82"/>
  <c r="AB30" i="82"/>
  <c r="U30" i="82"/>
  <c r="AB7" i="82"/>
  <c r="U7" i="82"/>
  <c r="AA32" i="82"/>
  <c r="S32" i="82"/>
  <c r="W7" i="82"/>
  <c r="AC7" i="82"/>
  <c r="AA28" i="82"/>
  <c r="S28" i="82"/>
  <c r="AB36" i="82"/>
  <c r="U36" i="82"/>
  <c r="AC32" i="82"/>
  <c r="W32" i="82"/>
  <c r="AA17" i="82"/>
  <c r="S17" i="82"/>
  <c r="AB32" i="82"/>
  <c r="U32" i="82"/>
  <c r="AB28" i="82" l="1"/>
  <c r="U28" i="82"/>
  <c r="AC27" i="82"/>
  <c r="V48" i="82" s="1"/>
  <c r="I48" i="82" s="1"/>
  <c r="W27" i="82"/>
  <c r="AC28" i="82"/>
  <c r="W28" i="82"/>
  <c r="G91" i="82"/>
  <c r="H91" i="82" s="1"/>
  <c r="I91" i="82" s="1"/>
  <c r="J91" i="82" s="1"/>
  <c r="K91" i="82" s="1"/>
  <c r="L91" i="82" s="1"/>
  <c r="M91" i="82" s="1"/>
  <c r="F27" i="82"/>
  <c r="AB27" i="82"/>
  <c r="T48" i="82" s="1"/>
  <c r="G48" i="82" s="1"/>
  <c r="U27" i="82"/>
  <c r="G52" i="82" l="1"/>
  <c r="H52" i="82" s="1"/>
  <c r="G53" i="82"/>
  <c r="H53" i="82" s="1"/>
  <c r="I52" i="82"/>
  <c r="J52" i="82" s="1"/>
  <c r="AA27" i="82"/>
  <c r="R48" i="82" s="1"/>
  <c r="S27" i="82"/>
  <c r="E48" i="82" l="1"/>
  <c r="R49" i="82"/>
  <c r="C49" i="82" l="1"/>
  <c r="C48" i="82"/>
  <c r="E53" i="82"/>
  <c r="F53" i="82" s="1"/>
  <c r="E52" i="82"/>
  <c r="F52" i="82" s="1"/>
  <c r="I53" i="82"/>
  <c r="J53" i="82" s="1"/>
  <c r="B3" i="82" l="1"/>
  <c r="B2" i="82"/>
  <c r="J49" i="67" l="1"/>
  <c r="O20" i="1"/>
  <c r="C2" i="80"/>
  <c r="C3" i="80" s="1"/>
  <c r="Y6" i="1"/>
  <c r="B59" i="1"/>
  <c r="B21" i="1"/>
  <c r="N6" i="1"/>
  <c r="N19" i="1"/>
  <c r="B5" i="80" l="1"/>
  <c r="U2" i="43" s="1"/>
  <c r="B6" i="80"/>
  <c r="U3" i="43" s="1"/>
  <c r="F19" i="6"/>
  <c r="C60" i="78"/>
  <c r="D60" i="78" s="1"/>
  <c r="D53" i="78"/>
  <c r="D52" i="78"/>
  <c r="D51" i="78" s="1"/>
  <c r="B51" i="78"/>
  <c r="B56" i="78" s="1"/>
  <c r="B7" i="80" l="1"/>
  <c r="B55" i="78"/>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Z3" i="79"/>
  <c r="AA28" i="79"/>
  <c r="AD28" i="79" s="1"/>
  <c r="T34" i="79"/>
  <c r="W34" i="79" s="1"/>
  <c r="U40" i="79"/>
  <c r="AD41" i="79"/>
  <c r="S42" i="79"/>
  <c r="U44" i="79"/>
  <c r="AD45"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8" i="71" s="1"/>
  <c r="Q37" i="71"/>
  <c r="P37" i="71"/>
  <c r="O37" i="71"/>
  <c r="Y37" i="71" s="1"/>
  <c r="Z37" i="71" s="1"/>
  <c r="N37" i="71"/>
  <c r="B38" i="71" s="1"/>
  <c r="D37" i="71"/>
  <c r="Q36" i="71"/>
  <c r="P36" i="71"/>
  <c r="AA35" i="71" s="1"/>
  <c r="O36" i="71"/>
  <c r="N36" i="71"/>
  <c r="X35" i="71" s="1"/>
  <c r="Q35" i="71"/>
  <c r="AB34" i="71" s="1"/>
  <c r="P35" i="71"/>
  <c r="O35" i="71"/>
  <c r="Y35" i="71"/>
  <c r="Z35" i="71" s="1"/>
  <c r="N35" i="71"/>
  <c r="Q34" i="71"/>
  <c r="P34" i="71"/>
  <c r="O34" i="71"/>
  <c r="N34" i="71"/>
  <c r="Q33" i="71"/>
  <c r="F34" i="71" s="1"/>
  <c r="F35" i="71" s="1"/>
  <c r="P33" i="71"/>
  <c r="O33" i="71"/>
  <c r="C34" i="71" s="1"/>
  <c r="N33" i="71"/>
  <c r="D33" i="71"/>
  <c r="Q32" i="71"/>
  <c r="P32" i="71"/>
  <c r="O32" i="71"/>
  <c r="N32" i="71"/>
  <c r="Q31" i="71"/>
  <c r="P31" i="71"/>
  <c r="O31" i="71"/>
  <c r="N31" i="71"/>
  <c r="Q30" i="71"/>
  <c r="P30" i="71"/>
  <c r="AA3" i="71" s="1"/>
  <c r="O30" i="71"/>
  <c r="N30" i="71"/>
  <c r="Q29" i="71"/>
  <c r="P29" i="71"/>
  <c r="O29" i="71"/>
  <c r="N29" i="71"/>
  <c r="X25" i="71" s="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X36" i="71"/>
  <c r="C38" i="71"/>
  <c r="D38" i="71" s="1"/>
  <c r="AA38" i="71"/>
  <c r="B28" i="71"/>
  <c r="C31" i="71"/>
  <c r="C32" i="71" s="1"/>
  <c r="D30" i="71"/>
  <c r="D50" i="71"/>
  <c r="P28" i="71"/>
  <c r="E28" i="71" s="1"/>
  <c r="E59" i="71"/>
  <c r="E60" i="71" s="1"/>
  <c r="U60" i="71" s="1"/>
  <c r="U68" i="71"/>
  <c r="E67" i="71"/>
  <c r="Q28" i="71"/>
  <c r="D58" i="71"/>
  <c r="C63" i="71"/>
  <c r="C64" i="71" s="1"/>
  <c r="D62" i="71"/>
  <c r="T68" i="71"/>
  <c r="D68" i="71"/>
  <c r="C67" i="71"/>
  <c r="E71" i="71"/>
  <c r="E70" i="71"/>
  <c r="D72" i="71"/>
  <c r="D76" i="71"/>
  <c r="D80" i="71"/>
  <c r="C87" i="71"/>
  <c r="C86" i="71" s="1"/>
  <c r="D86" i="71" s="1"/>
  <c r="F28" i="71"/>
  <c r="F27" i="71"/>
  <c r="F26" i="71" s="1"/>
  <c r="AB28" i="71"/>
  <c r="D63" i="71"/>
  <c r="D87" i="71"/>
  <c r="P67" i="71"/>
  <c r="E66" i="71"/>
  <c r="P65" i="71" s="1"/>
  <c r="C52"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AC26" i="33" s="1"/>
  <c r="C23" i="33"/>
  <c r="C19" i="33"/>
  <c r="C17" i="33"/>
  <c r="C15" i="33"/>
  <c r="C15" i="21"/>
  <c r="D125" i="33"/>
  <c r="E125" i="33" s="1"/>
  <c r="F125" i="33" s="1"/>
  <c r="G125" i="33" s="1"/>
  <c r="D123" i="33"/>
  <c r="D117" i="33"/>
  <c r="E117" i="33" s="1"/>
  <c r="F117" i="33" s="1"/>
  <c r="G117" i="33" s="1"/>
  <c r="D115" i="33"/>
  <c r="H38" i="33" s="1"/>
  <c r="AB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J45" i="39"/>
  <c r="W45" i="39" s="1"/>
  <c r="J44" i="39"/>
  <c r="AC44" i="39" s="1"/>
  <c r="F36" i="39"/>
  <c r="S36" i="39" s="1"/>
  <c r="H36" i="39"/>
  <c r="AB36" i="39" s="1"/>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U34" i="34"/>
  <c r="H39" i="33"/>
  <c r="AB39" i="33" s="1"/>
  <c r="F26" i="33"/>
  <c r="AA26" i="33" s="1"/>
  <c r="S40" i="33"/>
  <c r="W33" i="33"/>
  <c r="W39" i="33"/>
  <c r="H39" i="37"/>
  <c r="AB39" i="37" s="1"/>
  <c r="S27" i="35"/>
  <c r="F11" i="40"/>
  <c r="AA11" i="40"/>
  <c r="H11" i="40"/>
  <c r="AB11" i="40" s="1"/>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F32" i="33"/>
  <c r="AA32" i="33" s="1"/>
  <c r="J19" i="33"/>
  <c r="AC19"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H37" i="33"/>
  <c r="U37"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W47" i="34"/>
  <c r="AC36" i="34"/>
  <c r="AA13"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AZ159" i="3"/>
  <c r="BL160" i="3"/>
  <c r="G161" i="3"/>
  <c r="BA163" i="3"/>
  <c r="BL164" i="3"/>
  <c r="G165" i="3"/>
  <c r="BA167" i="3"/>
  <c r="BL168" i="3"/>
  <c r="AZ168" i="3" s="1"/>
  <c r="G169" i="3"/>
  <c r="BA171" i="3"/>
  <c r="AZ171" i="3"/>
  <c r="BL172" i="3"/>
  <c r="G173" i="3"/>
  <c r="BA175" i="3"/>
  <c r="AZ175" i="3"/>
  <c r="BL176" i="3"/>
  <c r="G177" i="3"/>
  <c r="BA179" i="3"/>
  <c r="BL180" i="3"/>
  <c r="G181" i="3"/>
  <c r="BA183" i="3"/>
  <c r="BL184" i="3"/>
  <c r="G185" i="3"/>
  <c r="BA187" i="3"/>
  <c r="AZ187" i="3" s="1"/>
  <c r="BL188" i="3"/>
  <c r="G189" i="3"/>
  <c r="BA191" i="3"/>
  <c r="BL192" i="3"/>
  <c r="AZ192" i="3" s="1"/>
  <c r="G193" i="3"/>
  <c r="BA195" i="3"/>
  <c r="BL196" i="3"/>
  <c r="G197" i="3"/>
  <c r="BA199" i="3"/>
  <c r="AZ199" i="3" s="1"/>
  <c r="BL200" i="3"/>
  <c r="AZ200" i="3" s="1"/>
  <c r="G201" i="3"/>
  <c r="BA203" i="3"/>
  <c r="BL204" i="3"/>
  <c r="AZ144" i="3"/>
  <c r="AZ176" i="3"/>
  <c r="AZ18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AZ349" i="3" s="1"/>
  <c r="BL352" i="3"/>
  <c r="G353" i="3"/>
  <c r="BA357" i="3"/>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33" i="3"/>
  <c r="AZ249" i="3"/>
  <c r="BA379" i="3"/>
  <c r="BL380" i="3"/>
  <c r="G381" i="3"/>
  <c r="BA383" i="3"/>
  <c r="AZ383" i="3" s="1"/>
  <c r="BL384" i="3"/>
  <c r="G385" i="3"/>
  <c r="BA387" i="3"/>
  <c r="BL388" i="3"/>
  <c r="AZ388" i="3" s="1"/>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BB5" i="3"/>
  <c r="BR5" i="3"/>
  <c r="AZ380" i="3"/>
  <c r="AZ392"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35" i="3"/>
  <c r="AZ251" i="3"/>
  <c r="AZ256" i="3"/>
  <c r="AZ82" i="3"/>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14" i="3" s="1"/>
  <c r="AZ254" i="3"/>
  <c r="AZ157"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AA37"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F87" i="33"/>
  <c r="H25" i="33"/>
  <c r="U25" i="33" s="1"/>
  <c r="F25" i="33"/>
  <c r="AA25" i="33" s="1"/>
  <c r="J23" i="33"/>
  <c r="AC23" i="33" s="1"/>
  <c r="F85" i="33"/>
  <c r="H23" i="33"/>
  <c r="U23" i="33" s="1"/>
  <c r="F81" i="33"/>
  <c r="F19" i="33"/>
  <c r="S19" i="33" s="1"/>
  <c r="W19" i="33"/>
  <c r="J17" i="33"/>
  <c r="W17" i="33" s="1"/>
  <c r="U9" i="33"/>
  <c r="J10" i="33"/>
  <c r="W10" i="33" s="1"/>
  <c r="H10" i="33"/>
  <c r="U10" i="33" s="1"/>
  <c r="AB14" i="33"/>
  <c r="W43" i="21"/>
  <c r="W36" i="21"/>
  <c r="W41" i="21"/>
  <c r="AB39" i="21"/>
  <c r="AA43" i="21"/>
  <c r="S39" i="21"/>
  <c r="AA38" i="21"/>
  <c r="AA36" i="21"/>
  <c r="AC40" i="21"/>
  <c r="J15" i="21"/>
  <c r="W15" i="21"/>
  <c r="F77" i="21"/>
  <c r="G77" i="21" s="1"/>
  <c r="F23" i="21"/>
  <c r="S23" i="21" s="1"/>
  <c r="E85" i="21"/>
  <c r="AA14" i="21"/>
  <c r="D120" i="9"/>
  <c r="D121" i="9" s="1"/>
  <c r="D7" i="52" s="1"/>
  <c r="F34" i="67"/>
  <c r="F62" i="67" s="1"/>
  <c r="G13" i="3"/>
  <c r="BA13" i="3"/>
  <c r="BL17" i="3"/>
  <c r="AZ17" i="3"/>
  <c r="BL13" i="3"/>
  <c r="J56" i="9"/>
  <c r="J57" i="9" s="1"/>
  <c r="J59" i="9" s="1"/>
  <c r="J61" i="9" s="1"/>
  <c r="U29" i="34"/>
  <c r="E5" i="6"/>
  <c r="E32" i="6"/>
  <c r="G1" i="68"/>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S33" i="33"/>
  <c r="U44" i="33"/>
  <c r="AB44" i="33"/>
  <c r="S30" i="33"/>
  <c r="AA30" i="33"/>
  <c r="AC14" i="33"/>
  <c r="W14" i="33"/>
  <c r="AC30" i="33"/>
  <c r="W30" i="33"/>
  <c r="S31" i="33"/>
  <c r="AA31" i="33"/>
  <c r="W13" i="33"/>
  <c r="AC13"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69"/>
  <c r="F48" i="69" s="1"/>
  <c r="M18" i="15"/>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J36" i="33"/>
  <c r="W36" i="33" s="1"/>
  <c r="H36" i="33"/>
  <c r="U36" i="33" s="1"/>
  <c r="J27" i="33"/>
  <c r="W27" i="33" s="1"/>
  <c r="S25" i="33"/>
  <c r="G87" i="33"/>
  <c r="H87" i="33" s="1"/>
  <c r="I87" i="33" s="1"/>
  <c r="J87" i="33" s="1"/>
  <c r="K87" i="33" s="1"/>
  <c r="L87" i="33" s="1"/>
  <c r="M87" i="33" s="1"/>
  <c r="J25" i="33"/>
  <c r="AC25" i="33" s="1"/>
  <c r="F23" i="33"/>
  <c r="G85" i="33"/>
  <c r="H19" i="33"/>
  <c r="AB19" i="33" s="1"/>
  <c r="G81" i="33"/>
  <c r="H17" i="33"/>
  <c r="U17" i="33" s="1"/>
  <c r="F17" i="33"/>
  <c r="S17" i="33" s="1"/>
  <c r="S37" i="21"/>
  <c r="AA23" i="21"/>
  <c r="AB15" i="21"/>
  <c r="J23" i="21"/>
  <c r="AC23" i="21" s="1"/>
  <c r="F85" i="21"/>
  <c r="G85" i="21" s="1"/>
  <c r="H23" i="21"/>
  <c r="S13" i="21"/>
  <c r="D6" i="52"/>
  <c r="AP7" i="1"/>
  <c r="AB45" i="21"/>
  <c r="AB9" i="21"/>
  <c r="U9" i="21"/>
  <c r="AA32" i="21"/>
  <c r="S32" i="21"/>
  <c r="W9" i="21"/>
  <c r="AC9" i="21"/>
  <c r="AB32" i="21"/>
  <c r="U32" i="21"/>
  <c r="U32" i="39"/>
  <c r="AC32" i="39"/>
  <c r="J63" i="37"/>
  <c r="K63" i="37" s="1"/>
  <c r="L63" i="37" s="1"/>
  <c r="M63" i="37" s="1"/>
  <c r="J11" i="37"/>
  <c r="AC11" i="37" s="1"/>
  <c r="H70" i="34"/>
  <c r="I70" i="34" s="1"/>
  <c r="J70" i="34" s="1"/>
  <c r="K70" i="34"/>
  <c r="L70" i="34" s="1"/>
  <c r="M70" i="34" s="1"/>
  <c r="J11" i="34"/>
  <c r="W11" i="34" s="1"/>
  <c r="U23" i="21"/>
  <c r="AB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6" i="15"/>
  <c r="B12" i="76"/>
  <c r="E9" i="76"/>
  <c r="E2" i="69"/>
  <c r="B10" i="76"/>
  <c r="M28" i="15"/>
  <c r="M9" i="15"/>
  <c r="F20" i="31"/>
  <c r="F6" i="73"/>
  <c r="F13" i="15"/>
  <c r="F7" i="15"/>
  <c r="E12" i="76"/>
  <c r="AO13" i="1"/>
  <c r="E11" i="76"/>
  <c r="E13" i="76"/>
  <c r="E8" i="76"/>
  <c r="F9" i="15"/>
  <c r="F42" i="15"/>
  <c r="M29" i="15"/>
  <c r="B9" i="76"/>
  <c r="E2" i="68"/>
  <c r="L47" i="15"/>
  <c r="F40" i="15"/>
  <c r="M23" i="15"/>
  <c r="B8" i="76"/>
  <c r="F4" i="73"/>
  <c r="F38" i="15"/>
  <c r="B7" i="76"/>
  <c r="M8" i="15"/>
  <c r="C76" i="15"/>
  <c r="B11" i="76"/>
  <c r="L48" i="15"/>
  <c r="M24" i="15"/>
  <c r="F43" i="15"/>
  <c r="B13" i="76"/>
  <c r="F3" i="73"/>
  <c r="F36" i="15"/>
  <c r="F16" i="15"/>
  <c r="F8" i="15"/>
  <c r="M22" i="15"/>
  <c r="F7" i="73"/>
  <c r="J15" i="15"/>
  <c r="F26" i="15"/>
  <c r="F37" i="15"/>
  <c r="E7" i="76"/>
  <c r="M6" i="15"/>
  <c r="E10" i="76"/>
  <c r="F5" i="73"/>
  <c r="F6" i="15"/>
  <c r="D6" i="73"/>
  <c r="J38" i="33" l="1"/>
  <c r="AC38" i="33" s="1"/>
  <c r="E115" i="33"/>
  <c r="F115" i="33" s="1"/>
  <c r="G115" i="33" s="1"/>
  <c r="H115" i="33" s="1"/>
  <c r="I115" i="33" s="1"/>
  <c r="J115" i="33" s="1"/>
  <c r="K115" i="33" s="1"/>
  <c r="L115" i="33" s="1"/>
  <c r="M115" i="33" s="1"/>
  <c r="H15" i="33"/>
  <c r="AB15" i="33" s="1"/>
  <c r="J15" i="33"/>
  <c r="AC15" i="33" s="1"/>
  <c r="A24" i="51"/>
  <c r="B18" i="72" s="1"/>
  <c r="C18" i="9"/>
  <c r="D18" i="9" s="1"/>
  <c r="H27" i="33"/>
  <c r="U27" i="33" s="1"/>
  <c r="F27" i="33"/>
  <c r="AA27" i="33" s="1"/>
  <c r="S42" i="33"/>
  <c r="U19" i="33"/>
  <c r="S15" i="33"/>
  <c r="W25" i="33"/>
  <c r="AB23" i="33"/>
  <c r="AC21" i="33"/>
  <c r="AA19" i="33"/>
  <c r="AA17" i="33"/>
  <c r="AC17" i="33"/>
  <c r="W43" i="33"/>
  <c r="W42" i="33"/>
  <c r="S39" i="33"/>
  <c r="S38" i="33"/>
  <c r="S36" i="33"/>
  <c r="AC34" i="33"/>
  <c r="S32" i="33"/>
  <c r="U32" i="33"/>
  <c r="U33" i="33"/>
  <c r="U42" i="33"/>
  <c r="U35" i="33"/>
  <c r="AA35" i="33"/>
  <c r="U38" i="33"/>
  <c r="AB37" i="33"/>
  <c r="AC37" i="33"/>
  <c r="W35" i="33"/>
  <c r="AB34" i="33"/>
  <c r="W32" i="33"/>
  <c r="AB28" i="33"/>
  <c r="W28" i="33"/>
  <c r="S28" i="33"/>
  <c r="W26" i="33"/>
  <c r="U26" i="33"/>
  <c r="S26" i="33"/>
  <c r="AB25" i="33"/>
  <c r="AC11" i="33"/>
  <c r="S11" i="33"/>
  <c r="U11" i="33"/>
  <c r="D52" i="43"/>
  <c r="D56" i="43"/>
  <c r="C5" i="68"/>
  <c r="F34" i="15"/>
  <c r="F62" i="15" s="1"/>
  <c r="M20" i="67"/>
  <c r="F54" i="9"/>
  <c r="F30" i="11"/>
  <c r="C48" i="11" s="1"/>
  <c r="M18" i="67"/>
  <c r="D68" i="9"/>
  <c r="F52" i="9"/>
  <c r="F32" i="15"/>
  <c r="F60" i="15" s="1"/>
  <c r="F31" i="12"/>
  <c r="F28" i="15"/>
  <c r="F32" i="67"/>
  <c r="F60" i="67" s="1"/>
  <c r="F28" i="67"/>
  <c r="C40" i="69"/>
  <c r="D23" i="15"/>
  <c r="D22" i="15"/>
  <c r="G1" i="67"/>
  <c r="G1" i="69"/>
  <c r="K1" i="12"/>
  <c r="A15" i="62"/>
  <c r="B61" i="72" s="1"/>
  <c r="M47" i="9"/>
  <c r="C7" i="35"/>
  <c r="C48" i="35" s="1"/>
  <c r="D48" i="35" s="1"/>
  <c r="C7" i="36"/>
  <c r="C46" i="36" s="1"/>
  <c r="D46" i="36" s="1"/>
  <c r="E46" i="36" s="1"/>
  <c r="F46" i="36" s="1"/>
  <c r="G46" i="36" s="1"/>
  <c r="H46" i="36" s="1"/>
  <c r="I46" i="36" s="1"/>
  <c r="C7" i="34"/>
  <c r="C7" i="40"/>
  <c r="C63" i="40" s="1"/>
  <c r="C7" i="39"/>
  <c r="C67" i="39" s="1"/>
  <c r="C7" i="21"/>
  <c r="AA32" i="37"/>
  <c r="AZ195" i="3"/>
  <c r="AZ164" i="3"/>
  <c r="AZ124" i="3"/>
  <c r="AZ327" i="3"/>
  <c r="AZ527" i="3"/>
  <c r="AZ571" i="3"/>
  <c r="AZ579" i="3"/>
  <c r="AZ510" i="3"/>
  <c r="AZ552" i="3"/>
  <c r="AZ584" i="3"/>
  <c r="S14" i="34"/>
  <c r="AA14" i="34"/>
  <c r="U34" i="35"/>
  <c r="AB34" i="35"/>
  <c r="AZ203" i="3"/>
  <c r="S25" i="21"/>
  <c r="AA25" i="21"/>
  <c r="AZ520" i="3"/>
  <c r="AA14" i="40"/>
  <c r="S14" i="40"/>
  <c r="AA14" i="37"/>
  <c r="S14" i="37"/>
  <c r="AC27" i="33"/>
  <c r="AC23" i="37"/>
  <c r="W17" i="21"/>
  <c r="AC39" i="34"/>
  <c r="U12" i="39"/>
  <c r="AA27" i="40"/>
  <c r="AB27" i="40"/>
  <c r="AA34" i="33"/>
  <c r="AZ389" i="3"/>
  <c r="AZ372" i="3"/>
  <c r="AZ320" i="3"/>
  <c r="AZ304" i="3"/>
  <c r="AZ306" i="3"/>
  <c r="AZ535" i="3"/>
  <c r="AZ557" i="3"/>
  <c r="AZ503" i="3"/>
  <c r="AZ513" i="3"/>
  <c r="AZ575" i="3"/>
  <c r="AB36" i="33"/>
  <c r="F29" i="6"/>
  <c r="E29" i="6" s="1"/>
  <c r="K15" i="1" s="1"/>
  <c r="AZ384" i="3"/>
  <c r="AZ379" i="3"/>
  <c r="AZ357" i="3"/>
  <c r="AZ587" i="3"/>
  <c r="AZ548" i="3"/>
  <c r="AZ540" i="3"/>
  <c r="U33" i="40"/>
  <c r="AB33" i="40"/>
  <c r="BL585" i="3"/>
  <c r="AZ585" i="3" s="1"/>
  <c r="F12" i="35"/>
  <c r="J12" i="35"/>
  <c r="AZ387" i="3"/>
  <c r="AZ362" i="3"/>
  <c r="AZ338" i="3"/>
  <c r="AZ390" i="3"/>
  <c r="AZ371" i="3"/>
  <c r="AZ351" i="3"/>
  <c r="AZ336" i="3"/>
  <c r="AZ305" i="3"/>
  <c r="AZ155" i="3"/>
  <c r="AZ360" i="3"/>
  <c r="AC31" i="33"/>
  <c r="AZ539" i="3"/>
  <c r="AZ529" i="3"/>
  <c r="AZ537" i="3"/>
  <c r="AZ518" i="3"/>
  <c r="AZ526" i="3"/>
  <c r="AZ546" i="3"/>
  <c r="AZ564" i="3"/>
  <c r="AZ580" i="3"/>
  <c r="AB45" i="33"/>
  <c r="S11" i="36"/>
  <c r="AA44" i="34"/>
  <c r="AA29" i="35"/>
  <c r="AB17" i="34"/>
  <c r="W8" i="34"/>
  <c r="B79" i="43"/>
  <c r="H9" i="34"/>
  <c r="AZ419" i="3"/>
  <c r="AZ466" i="3"/>
  <c r="AZ480" i="3"/>
  <c r="S28" i="34"/>
  <c r="W28" i="35"/>
  <c r="W31" i="37"/>
  <c r="F45" i="39"/>
  <c r="G585" i="3"/>
  <c r="BL587" i="3"/>
  <c r="BL586" i="3"/>
  <c r="AZ586" i="3" s="1"/>
  <c r="J9" i="34"/>
  <c r="H12" i="35"/>
  <c r="J12" i="36"/>
  <c r="H25" i="37"/>
  <c r="F25" i="37"/>
  <c r="AZ458" i="3"/>
  <c r="AZ462" i="3"/>
  <c r="AC28" i="34"/>
  <c r="AZ531" i="3"/>
  <c r="AZ583" i="3"/>
  <c r="AZ568" i="3"/>
  <c r="AZ576" i="3"/>
  <c r="C15" i="39"/>
  <c r="U30" i="37"/>
  <c r="H23" i="35"/>
  <c r="J9" i="36"/>
  <c r="H24" i="36"/>
  <c r="G570" i="3"/>
  <c r="AZ400" i="3"/>
  <c r="AZ402" i="3"/>
  <c r="AZ406" i="3"/>
  <c r="AZ432" i="3"/>
  <c r="AZ443" i="3"/>
  <c r="AZ487" i="3"/>
  <c r="AZ217" i="3"/>
  <c r="S76" i="71"/>
  <c r="B75" i="71"/>
  <c r="B74" i="71" s="1"/>
  <c r="U80" i="71"/>
  <c r="E79" i="71"/>
  <c r="E78" i="71"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BL211" i="3"/>
  <c r="BA216" i="3"/>
  <c r="AZ216" i="3" s="1"/>
  <c r="BL219" i="3"/>
  <c r="BA227" i="3"/>
  <c r="AZ227" i="3" s="1"/>
  <c r="BL230" i="3"/>
  <c r="BL242" i="3"/>
  <c r="BL243" i="3"/>
  <c r="G244" i="3"/>
  <c r="BA246" i="3"/>
  <c r="BA250" i="3"/>
  <c r="AZ250" i="3" s="1"/>
  <c r="BA252" i="3"/>
  <c r="AZ252" i="3" s="1"/>
  <c r="G256" i="3"/>
  <c r="BA258" i="3"/>
  <c r="BL262" i="3"/>
  <c r="BL263" i="3"/>
  <c r="G264" i="3"/>
  <c r="BL266" i="3"/>
  <c r="BL269" i="3"/>
  <c r="BL273" i="3"/>
  <c r="BA277" i="3"/>
  <c r="BL277" i="3"/>
  <c r="G284" i="3"/>
  <c r="BL285" i="3"/>
  <c r="BA291" i="3"/>
  <c r="AZ291" i="3" s="1"/>
  <c r="BA401" i="3"/>
  <c r="BA403" i="3"/>
  <c r="AZ403" i="3" s="1"/>
  <c r="BA404" i="3"/>
  <c r="AZ404" i="3" s="1"/>
  <c r="BA405" i="3"/>
  <c r="AZ405" i="3" s="1"/>
  <c r="BL410" i="3"/>
  <c r="AZ410" i="3" s="1"/>
  <c r="BA422" i="3"/>
  <c r="AZ422" i="3" s="1"/>
  <c r="BL431" i="3"/>
  <c r="BL434" i="3"/>
  <c r="BL438" i="3"/>
  <c r="BL439" i="3"/>
  <c r="AZ439" i="3" s="1"/>
  <c r="BA441" i="3"/>
  <c r="BL445" i="3"/>
  <c r="BL446" i="3"/>
  <c r="BL449" i="3"/>
  <c r="AZ449" i="3" s="1"/>
  <c r="BL450" i="3"/>
  <c r="BL452"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AZ284" i="3"/>
  <c r="AA25" i="40"/>
  <c r="S25" i="40"/>
  <c r="BA551" i="3"/>
  <c r="AZ551" i="3" s="1"/>
  <c r="BA550" i="3"/>
  <c r="BL548" i="3"/>
  <c r="G398" i="3"/>
  <c r="G399" i="3"/>
  <c r="BL400" i="3"/>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BL435" i="3"/>
  <c r="BL436" i="3"/>
  <c r="AZ436" i="3" s="1"/>
  <c r="BA439" i="3"/>
  <c r="BA440" i="3"/>
  <c r="AZ440" i="3" s="1"/>
  <c r="BA442" i="3"/>
  <c r="BA445" i="3"/>
  <c r="AZ445" i="3" s="1"/>
  <c r="BA447" i="3"/>
  <c r="AZ447" i="3" s="1"/>
  <c r="BA449" i="3"/>
  <c r="BL453" i="3"/>
  <c r="AZ453" i="3" s="1"/>
  <c r="BL454" i="3"/>
  <c r="G458" i="3"/>
  <c r="BL459" i="3"/>
  <c r="G461" i="3"/>
  <c r="G462" i="3"/>
  <c r="BA465" i="3"/>
  <c r="AZ465" i="3" s="1"/>
  <c r="BA467" i="3"/>
  <c r="BA468" i="3"/>
  <c r="AZ468" i="3" s="1"/>
  <c r="BL471" i="3"/>
  <c r="AZ471" i="3" s="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A218" i="3"/>
  <c r="BL218" i="3"/>
  <c r="BL222" i="3"/>
  <c r="BL223" i="3"/>
  <c r="G224" i="3"/>
  <c r="BA229" i="3"/>
  <c r="BL229" i="3"/>
  <c r="BL237" i="3"/>
  <c r="BL238" i="3"/>
  <c r="G239" i="3"/>
  <c r="BA241" i="3"/>
  <c r="AZ241" i="3" s="1"/>
  <c r="BL241" i="3"/>
  <c r="BA248" i="3"/>
  <c r="BA253" i="3"/>
  <c r="BL259" i="3"/>
  <c r="BL267" i="3"/>
  <c r="BA268" i="3"/>
  <c r="BL278" i="3"/>
  <c r="G280" i="3"/>
  <c r="BA282" i="3"/>
  <c r="AZ282" i="3" s="1"/>
  <c r="BL282" i="3"/>
  <c r="BL287" i="3"/>
  <c r="BL290" i="3"/>
  <c r="AZ290" i="3" s="1"/>
  <c r="BL293" i="3"/>
  <c r="BL294" i="3"/>
  <c r="BA297" i="3"/>
  <c r="AZ297" i="3" s="1"/>
  <c r="BL297" i="3"/>
  <c r="BL300" i="3"/>
  <c r="BA302" i="3"/>
  <c r="AZ302" i="3" s="1"/>
  <c r="BA117" i="3"/>
  <c r="BA130" i="3"/>
  <c r="AZ130" i="3" s="1"/>
  <c r="BL130" i="3"/>
  <c r="BA137" i="3"/>
  <c r="BL138" i="3"/>
  <c r="BA140" i="3"/>
  <c r="AZ140" i="3" s="1"/>
  <c r="BA142" i="3"/>
  <c r="BL149" i="3"/>
  <c r="AZ149" i="3" s="1"/>
  <c r="BL150" i="3"/>
  <c r="BA152" i="3"/>
  <c r="AZ152" i="3" s="1"/>
  <c r="BA164" i="3"/>
  <c r="BA166" i="3"/>
  <c r="AZ166" i="3" s="1"/>
  <c r="AZ62" i="3"/>
  <c r="AB39" i="71"/>
  <c r="AB33" i="71"/>
  <c r="C44" i="71"/>
  <c r="D43" i="71"/>
  <c r="D54" i="71"/>
  <c r="C55" i="71"/>
  <c r="V68" i="71"/>
  <c r="Q68" i="71"/>
  <c r="F67" i="71"/>
  <c r="BL217" i="3"/>
  <c r="BA219" i="3"/>
  <c r="AZ219" i="3" s="1"/>
  <c r="BA221" i="3"/>
  <c r="AZ221" i="3" s="1"/>
  <c r="BA223" i="3"/>
  <c r="AZ223" i="3" s="1"/>
  <c r="BL228" i="3"/>
  <c r="AZ228" i="3" s="1"/>
  <c r="BA230" i="3"/>
  <c r="AZ230" i="3" s="1"/>
  <c r="BL232" i="3"/>
  <c r="BL234" i="3"/>
  <c r="BA236" i="3"/>
  <c r="BA238" i="3"/>
  <c r="AZ238" i="3" s="1"/>
  <c r="BA243" i="3"/>
  <c r="AZ243" i="3" s="1"/>
  <c r="BL248" i="3"/>
  <c r="BL250" i="3"/>
  <c r="BA259" i="3"/>
  <c r="BL261" i="3"/>
  <c r="BA263" i="3"/>
  <c r="AZ263" i="3" s="1"/>
  <c r="BA267" i="3"/>
  <c r="BA269" i="3"/>
  <c r="BA271" i="3"/>
  <c r="AZ271" i="3" s="1"/>
  <c r="BL271" i="3"/>
  <c r="BA274" i="3"/>
  <c r="BL274" i="3"/>
  <c r="BA276" i="3"/>
  <c r="BA279" i="3"/>
  <c r="BA281" i="3"/>
  <c r="BL286" i="3"/>
  <c r="AZ286" i="3" s="1"/>
  <c r="G291" i="3"/>
  <c r="BA296" i="3"/>
  <c r="BA116" i="3"/>
  <c r="AZ116" i="3" s="1"/>
  <c r="BA121" i="3"/>
  <c r="BL121" i="3"/>
  <c r="BA124" i="3"/>
  <c r="BA126" i="3"/>
  <c r="AZ126" i="3" s="1"/>
  <c r="BA129" i="3"/>
  <c r="BL133" i="3"/>
  <c r="AZ133" i="3" s="1"/>
  <c r="BL139" i="3"/>
  <c r="AZ139" i="3" s="1"/>
  <c r="BL141" i="3"/>
  <c r="BL143" i="3"/>
  <c r="AZ143" i="3" s="1"/>
  <c r="BA188" i="3"/>
  <c r="AZ188" i="3" s="1"/>
  <c r="BL195" i="3"/>
  <c r="AZ27" i="3"/>
  <c r="AZ70" i="3"/>
  <c r="BL213" i="3"/>
  <c r="BL215" i="3"/>
  <c r="BA222" i="3"/>
  <c r="BA224" i="3"/>
  <c r="AZ224" i="3" s="1"/>
  <c r="BA226" i="3"/>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BL155" i="3"/>
  <c r="BL163" i="3"/>
  <c r="AZ163" i="3" s="1"/>
  <c r="BA55" i="3"/>
  <c r="AZ55" i="3" s="1"/>
  <c r="G68" i="3"/>
  <c r="D67" i="71"/>
  <c r="C66" i="71"/>
  <c r="O67" i="7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AZ31" i="3" s="1"/>
  <c r="G35" i="3"/>
  <c r="G36" i="3"/>
  <c r="G37" i="3"/>
  <c r="G40" i="3"/>
  <c r="BL40" i="3"/>
  <c r="BL41" i="3"/>
  <c r="AZ41" i="3" s="1"/>
  <c r="G45" i="3"/>
  <c r="BL45" i="3"/>
  <c r="BA48" i="3"/>
  <c r="BA49" i="3"/>
  <c r="BA51" i="3"/>
  <c r="G54" i="3"/>
  <c r="G55" i="3"/>
  <c r="BL56" i="3"/>
  <c r="BA58" i="3"/>
  <c r="AZ58" i="3" s="1"/>
  <c r="BL59" i="3"/>
  <c r="AZ59" i="3" s="1"/>
  <c r="BL60" i="3"/>
  <c r="BA61" i="3"/>
  <c r="AZ61" i="3" s="1"/>
  <c r="BL69" i="3"/>
  <c r="G70" i="3"/>
  <c r="BL70" i="3"/>
  <c r="BL71" i="3"/>
  <c r="BL99" i="3"/>
  <c r="BA102" i="3"/>
  <c r="AZ102" i="3" s="1"/>
  <c r="AA21" i="33"/>
  <c r="S21" i="33"/>
  <c r="AA21" i="37"/>
  <c r="S21" i="37"/>
  <c r="T32" i="71"/>
  <c r="D32" i="71"/>
  <c r="Y30" i="71"/>
  <c r="Z30" i="71" s="1"/>
  <c r="X31" i="71"/>
  <c r="B34" i="71"/>
  <c r="B35" i="71" s="1"/>
  <c r="B36" i="71" s="1"/>
  <c r="S36" i="71" s="1"/>
  <c r="X26" i="71"/>
  <c r="F36" i="71"/>
  <c r="V36" i="71" s="1"/>
  <c r="X39" i="71"/>
  <c r="X34" i="71"/>
  <c r="S68" i="71"/>
  <c r="B67" i="71"/>
  <c r="N68" i="71"/>
  <c r="BL177" i="3"/>
  <c r="AZ177" i="3" s="1"/>
  <c r="BL183" i="3"/>
  <c r="AZ183" i="3" s="1"/>
  <c r="BA186" i="3"/>
  <c r="AZ186" i="3" s="1"/>
  <c r="BA190" i="3"/>
  <c r="AZ190" i="3" s="1"/>
  <c r="BA197" i="3"/>
  <c r="AZ197" i="3" s="1"/>
  <c r="BL201" i="3"/>
  <c r="AZ201" i="3" s="1"/>
  <c r="BL203" i="3"/>
  <c r="BA204" i="3"/>
  <c r="AZ204" i="3" s="1"/>
  <c r="BA18" i="3"/>
  <c r="BL21" i="3"/>
  <c r="G29" i="3"/>
  <c r="BL29" i="3"/>
  <c r="BA37" i="3"/>
  <c r="G39" i="3"/>
  <c r="BL39" i="3"/>
  <c r="BA45" i="3"/>
  <c r="AZ45" i="3" s="1"/>
  <c r="BA46" i="3"/>
  <c r="BL49" i="3"/>
  <c r="BL50" i="3"/>
  <c r="AZ50" i="3" s="1"/>
  <c r="BL51" i="3"/>
  <c r="G53" i="3"/>
  <c r="BL53" i="3"/>
  <c r="BA56" i="3"/>
  <c r="AZ56" i="3" s="1"/>
  <c r="BA57" i="3"/>
  <c r="BL58" i="3"/>
  <c r="BL64" i="3"/>
  <c r="AZ64" i="3" s="1"/>
  <c r="G65" i="3"/>
  <c r="BL65" i="3"/>
  <c r="AZ65" i="3" s="1"/>
  <c r="BL66" i="3"/>
  <c r="BL67" i="3"/>
  <c r="AZ67" i="3" s="1"/>
  <c r="G69" i="3"/>
  <c r="BA72" i="3"/>
  <c r="AZ72" i="3" s="1"/>
  <c r="BA73" i="3"/>
  <c r="BA80" i="3"/>
  <c r="BL84" i="3"/>
  <c r="BA90" i="3"/>
  <c r="AZ90" i="3" s="1"/>
  <c r="BL94" i="3"/>
  <c r="AZ94" i="3" s="1"/>
  <c r="BA105" i="3"/>
  <c r="AZ105" i="3" s="1"/>
  <c r="AA21" i="34"/>
  <c r="S21" i="34"/>
  <c r="P27" i="6"/>
  <c r="B27" i="71"/>
  <c r="B26" i="71" s="1"/>
  <c r="S28" i="71"/>
  <c r="C26" i="71"/>
  <c r="D26" i="71" s="1"/>
  <c r="D27" i="71"/>
  <c r="D34" i="71"/>
  <c r="C35" i="71"/>
  <c r="Y38" i="71"/>
  <c r="Z38" i="71" s="1"/>
  <c r="Y27" i="71"/>
  <c r="Z27" i="71" s="1"/>
  <c r="BL167" i="3"/>
  <c r="AZ167" i="3" s="1"/>
  <c r="G175" i="3"/>
  <c r="G176" i="3"/>
  <c r="BL178" i="3"/>
  <c r="AZ178" i="3" s="1"/>
  <c r="BA180" i="3"/>
  <c r="AZ180" i="3" s="1"/>
  <c r="BL182" i="3"/>
  <c r="G183" i="3"/>
  <c r="BA185" i="3"/>
  <c r="BL191" i="3"/>
  <c r="AZ191" i="3" s="1"/>
  <c r="G192" i="3"/>
  <c r="BA193" i="3"/>
  <c r="AZ193" i="3" s="1"/>
  <c r="BA196" i="3"/>
  <c r="AZ196" i="3" s="1"/>
  <c r="G203" i="3"/>
  <c r="BA205" i="3"/>
  <c r="AZ205" i="3" s="1"/>
  <c r="G20" i="3"/>
  <c r="BL20" i="3"/>
  <c r="AZ20" i="3" s="1"/>
  <c r="BA21" i="3"/>
  <c r="AZ21" i="3" s="1"/>
  <c r="BA25" i="3"/>
  <c r="AZ25" i="3" s="1"/>
  <c r="BA26" i="3"/>
  <c r="G28" i="3"/>
  <c r="BL28" i="3"/>
  <c r="AZ28" i="3" s="1"/>
  <c r="BA29" i="3"/>
  <c r="BA36" i="3"/>
  <c r="BL38" i="3"/>
  <c r="AZ38" i="3" s="1"/>
  <c r="BA39" i="3"/>
  <c r="BL47" i="3"/>
  <c r="AZ47" i="3" s="1"/>
  <c r="G49" i="3"/>
  <c r="BA52" i="3"/>
  <c r="AZ52" i="3" s="1"/>
  <c r="BA53" i="3"/>
  <c r="AZ53" i="3" s="1"/>
  <c r="BA54" i="3"/>
  <c r="AZ54" i="3" s="1"/>
  <c r="BL57" i="3"/>
  <c r="G62" i="3"/>
  <c r="BL62" i="3"/>
  <c r="BL63" i="3"/>
  <c r="BL68" i="3"/>
  <c r="AZ68" i="3" s="1"/>
  <c r="BA69" i="3"/>
  <c r="AZ100" i="3"/>
  <c r="AZ103" i="3"/>
  <c r="BA104" i="3"/>
  <c r="AB29" i="39"/>
  <c r="U29" i="39"/>
  <c r="C25" i="40"/>
  <c r="B88" i="43"/>
  <c r="T52" i="71"/>
  <c r="D52" i="71"/>
  <c r="D28" i="71"/>
  <c r="U28" i="71" s="1"/>
  <c r="T28" i="71"/>
  <c r="Y26" i="71"/>
  <c r="Z26" i="71" s="1"/>
  <c r="F30" i="71"/>
  <c r="F31" i="71" s="1"/>
  <c r="F32" i="71" s="1"/>
  <c r="V32" i="71" s="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E19" i="71" s="1"/>
  <c r="E18" i="71" s="1"/>
  <c r="E17" i="71" s="1"/>
  <c r="E16" i="71" s="1"/>
  <c r="BL73" i="3"/>
  <c r="BA74" i="3"/>
  <c r="AZ74" i="3" s="1"/>
  <c r="BA75" i="3"/>
  <c r="AZ75" i="3" s="1"/>
  <c r="G81" i="3"/>
  <c r="G85" i="3"/>
  <c r="BL85" i="3"/>
  <c r="BA86" i="3"/>
  <c r="AZ86" i="3" s="1"/>
  <c r="BA87" i="3"/>
  <c r="BA91" i="3"/>
  <c r="AZ91" i="3" s="1"/>
  <c r="G96" i="3"/>
  <c r="BL97" i="3"/>
  <c r="AZ97" i="3" s="1"/>
  <c r="BL101" i="3"/>
  <c r="BL102" i="3"/>
  <c r="G104" i="3"/>
  <c r="G105" i="3"/>
  <c r="BL106" i="3"/>
  <c r="AZ106" i="3" s="1"/>
  <c r="BA108" i="3"/>
  <c r="AZ108" i="3" s="1"/>
  <c r="BA110" i="3"/>
  <c r="AZ110" i="3" s="1"/>
  <c r="F3" i="35"/>
  <c r="B77" i="43"/>
  <c r="AA28" i="71"/>
  <c r="E75" i="71"/>
  <c r="E74" i="71" s="1"/>
  <c r="AB25" i="71"/>
  <c r="Y25" i="71"/>
  <c r="Z25" i="71" s="1"/>
  <c r="Y29" i="71"/>
  <c r="Z29" i="71" s="1"/>
  <c r="AB32" i="71"/>
  <c r="X33" i="71"/>
  <c r="AB37" i="71"/>
  <c r="BA106" i="3"/>
  <c r="BL108" i="3"/>
  <c r="BL111" i="3"/>
  <c r="AZ111" i="3" s="1"/>
  <c r="P66" i="71"/>
  <c r="AA27" i="71"/>
  <c r="AB26" i="71"/>
  <c r="C83" i="71"/>
  <c r="C79" i="71"/>
  <c r="C75" i="71"/>
  <c r="C71" i="71"/>
  <c r="C39" i="71"/>
  <c r="Y28" i="71"/>
  <c r="Z28" i="71" s="1"/>
  <c r="X28" i="71"/>
  <c r="X32" i="71"/>
  <c r="F38" i="71"/>
  <c r="F39" i="71" s="1"/>
  <c r="F40" i="71" s="1"/>
  <c r="V40" i="71" s="1"/>
  <c r="AB38" i="71"/>
  <c r="B79" i="71"/>
  <c r="B78"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AA34" i="71"/>
  <c r="E51" i="71"/>
  <c r="E52" i="71" s="1"/>
  <c r="U52"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52"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G272" i="3"/>
  <c r="G275" i="3"/>
  <c r="BL276" i="3"/>
  <c r="BL279" i="3"/>
  <c r="AZ279" i="3" s="1"/>
  <c r="BL281" i="3"/>
  <c r="AZ281" i="3" s="1"/>
  <c r="BA285" i="3"/>
  <c r="AZ285" i="3" s="1"/>
  <c r="BA287" i="3"/>
  <c r="AZ134" i="3"/>
  <c r="AZ207" i="3"/>
  <c r="BA289" i="3"/>
  <c r="AZ289" i="3" s="1"/>
  <c r="G293" i="3"/>
  <c r="G296" i="3"/>
  <c r="BL296" i="3"/>
  <c r="AZ296" i="3" s="1"/>
  <c r="G301" i="3"/>
  <c r="G114" i="3"/>
  <c r="BL114" i="3"/>
  <c r="AZ114" i="3" s="1"/>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85" i="3"/>
  <c r="AZ87" i="3"/>
  <c r="BL202" i="3"/>
  <c r="AZ202" i="3" s="1"/>
  <c r="BL36" i="3"/>
  <c r="AZ40" i="3"/>
  <c r="AZ48" i="3"/>
  <c r="AZ73" i="3"/>
  <c r="AZ104"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D9" i="69"/>
  <c r="F27" i="69"/>
  <c r="C36" i="69"/>
  <c r="C36" i="68"/>
  <c r="D9" i="68"/>
  <c r="L48" i="67"/>
  <c r="M22" i="67"/>
  <c r="F43" i="67"/>
  <c r="M26" i="67"/>
  <c r="M6" i="67"/>
  <c r="F7" i="67"/>
  <c r="F8" i="67"/>
  <c r="F38" i="67"/>
  <c r="M9" i="67"/>
  <c r="M23" i="67"/>
  <c r="M24" i="67"/>
  <c r="J15" i="67"/>
  <c r="L47" i="67"/>
  <c r="M8" i="67"/>
  <c r="F26" i="67"/>
  <c r="F16" i="67"/>
  <c r="F36" i="67"/>
  <c r="F40" i="67"/>
  <c r="M28" i="67"/>
  <c r="F9" i="67"/>
  <c r="M29" i="67"/>
  <c r="F37" i="67"/>
  <c r="F6" i="67"/>
  <c r="F13" i="67"/>
  <c r="F42" i="67"/>
  <c r="C76" i="67"/>
  <c r="D4" i="73"/>
  <c r="C16" i="15"/>
  <c r="C16" i="67"/>
  <c r="D3" i="73"/>
  <c r="D7" i="73"/>
  <c r="D5" i="73"/>
  <c r="W38" i="33" l="1"/>
  <c r="S27" i="33"/>
  <c r="AB27" i="33"/>
  <c r="U15" i="33"/>
  <c r="W15" i="33"/>
  <c r="Q71" i="67"/>
  <c r="F31" i="67"/>
  <c r="C6" i="67"/>
  <c r="C32" i="67" s="1"/>
  <c r="F65" i="67"/>
  <c r="F68" i="67"/>
  <c r="F64" i="67"/>
  <c r="C27" i="67"/>
  <c r="N59" i="67"/>
  <c r="M59" i="67"/>
  <c r="L59" i="67"/>
  <c r="Q61" i="67" s="1"/>
  <c r="L58" i="67"/>
  <c r="Q73" i="67" s="1"/>
  <c r="F66" i="67"/>
  <c r="F51" i="67"/>
  <c r="M7" i="67"/>
  <c r="J6" i="67" s="1"/>
  <c r="J18" i="67" s="1"/>
  <c r="F50" i="67"/>
  <c r="F71" i="67"/>
  <c r="J53" i="67"/>
  <c r="Q52" i="67" s="1"/>
  <c r="I54" i="67"/>
  <c r="J57" i="67"/>
  <c r="J55" i="67" s="1"/>
  <c r="J58" i="67" s="1"/>
  <c r="Q50" i="67" s="1"/>
  <c r="L56" i="67"/>
  <c r="E59" i="40"/>
  <c r="AC9" i="36"/>
  <c r="W9" i="36"/>
  <c r="AA25" i="37"/>
  <c r="S25" i="37"/>
  <c r="AZ112" i="3"/>
  <c r="C36" i="71"/>
  <c r="D35" i="71"/>
  <c r="N67" i="71"/>
  <c r="B66" i="71"/>
  <c r="AZ51" i="3"/>
  <c r="AZ222" i="3"/>
  <c r="AZ121" i="3"/>
  <c r="AZ269" i="3"/>
  <c r="AZ259" i="3"/>
  <c r="T44" i="71"/>
  <c r="D44" i="71"/>
  <c r="AZ137" i="3"/>
  <c r="AZ229" i="3"/>
  <c r="AZ332" i="3"/>
  <c r="AZ401" i="3"/>
  <c r="AZ454" i="3"/>
  <c r="AZ435" i="3"/>
  <c r="U23" i="35"/>
  <c r="AB23" i="35"/>
  <c r="U25" i="37"/>
  <c r="AB25" i="37"/>
  <c r="J7" i="36"/>
  <c r="P6" i="1"/>
  <c r="C13" i="12" s="1"/>
  <c r="AZ26" i="3"/>
  <c r="AZ165" i="3"/>
  <c r="AZ129" i="3"/>
  <c r="AZ266" i="3"/>
  <c r="AZ246" i="3"/>
  <c r="AZ481" i="3"/>
  <c r="G16" i="1"/>
  <c r="F10" i="39" s="1"/>
  <c r="AA10" i="39" s="1"/>
  <c r="D71" i="71"/>
  <c r="C70" i="71"/>
  <c r="D70" i="71" s="1"/>
  <c r="T60" i="71"/>
  <c r="D60" i="71"/>
  <c r="AZ39" i="3"/>
  <c r="AZ49" i="3"/>
  <c r="AZ150" i="3"/>
  <c r="AZ294" i="3"/>
  <c r="AZ278" i="3"/>
  <c r="AZ237" i="3"/>
  <c r="AZ274" i="3"/>
  <c r="AZ267" i="3"/>
  <c r="D55" i="71"/>
  <c r="C56" i="71"/>
  <c r="AZ248" i="3"/>
  <c r="AZ218" i="3"/>
  <c r="AZ397" i="3"/>
  <c r="AZ550" i="3"/>
  <c r="AZ277" i="3"/>
  <c r="AZ211" i="3"/>
  <c r="W12" i="36"/>
  <c r="AC12" i="36"/>
  <c r="W12" i="35"/>
  <c r="AC12" i="35"/>
  <c r="D79" i="71"/>
  <c r="C78" i="71"/>
  <c r="D78" i="71" s="1"/>
  <c r="AZ57" i="3"/>
  <c r="AC9" i="34"/>
  <c r="W9" i="34"/>
  <c r="S45" i="39"/>
  <c r="AA45" i="39"/>
  <c r="G5" i="3"/>
  <c r="B3" i="3" s="1"/>
  <c r="E510" i="3" s="1"/>
  <c r="AZ36" i="3"/>
  <c r="D39" i="71"/>
  <c r="C40" i="71"/>
  <c r="D83" i="71"/>
  <c r="C82" i="71"/>
  <c r="D82" i="71" s="1"/>
  <c r="AZ29" i="3"/>
  <c r="B20" i="31"/>
  <c r="B21" i="31" s="1"/>
  <c r="K16" i="1"/>
  <c r="AZ174" i="3"/>
  <c r="AZ117" i="3"/>
  <c r="AZ287" i="3"/>
  <c r="AZ101" i="3"/>
  <c r="C74" i="71"/>
  <c r="D74" i="71" s="1"/>
  <c r="D75" i="71"/>
  <c r="AZ69" i="3"/>
  <c r="O65" i="71"/>
  <c r="O66" i="71"/>
  <c r="D66" i="71"/>
  <c r="F66" i="71"/>
  <c r="Q67" i="71"/>
  <c r="AZ441" i="3"/>
  <c r="AB24" i="36"/>
  <c r="U24" i="36"/>
  <c r="U12" i="35"/>
  <c r="AB12" i="35"/>
  <c r="U9" i="34"/>
  <c r="AB9" i="34"/>
  <c r="J7" i="37"/>
  <c r="K1" i="73"/>
  <c r="E417" i="3"/>
  <c r="E241" i="3"/>
  <c r="E267" i="3"/>
  <c r="E249" i="3"/>
  <c r="E63" i="3"/>
  <c r="E81" i="3"/>
  <c r="E18" i="3"/>
  <c r="E96" i="3"/>
  <c r="E22" i="3"/>
  <c r="E205" i="3"/>
  <c r="E497" i="3"/>
  <c r="E13" i="3"/>
  <c r="E220" i="3"/>
  <c r="E324" i="3"/>
  <c r="E105" i="3"/>
  <c r="E393" i="3"/>
  <c r="E401" i="3"/>
  <c r="E463" i="3"/>
  <c r="E473" i="3"/>
  <c r="E15" i="3"/>
  <c r="E112" i="3"/>
  <c r="E123" i="3"/>
  <c r="E141" i="3"/>
  <c r="E552" i="3"/>
  <c r="E250" i="3"/>
  <c r="E222" i="3"/>
  <c r="E57" i="3"/>
  <c r="E110" i="3"/>
  <c r="E19" i="3"/>
  <c r="E323" i="3"/>
  <c r="E47" i="3"/>
  <c r="E266" i="3"/>
  <c r="E259" i="3"/>
  <c r="E462" i="3"/>
  <c r="E488" i="3"/>
  <c r="E195" i="3"/>
  <c r="E167" i="3"/>
  <c r="E413" i="3"/>
  <c r="E98" i="3"/>
  <c r="E307" i="3"/>
  <c r="E122" i="3"/>
  <c r="E461" i="3"/>
  <c r="E306" i="3"/>
  <c r="E157" i="3"/>
  <c r="E532" i="3"/>
  <c r="E529" i="3"/>
  <c r="E288" i="3"/>
  <c r="W6" i="3"/>
  <c r="E475" i="3"/>
  <c r="E54" i="3"/>
  <c r="E257" i="3"/>
  <c r="E357" i="3"/>
  <c r="E397" i="3"/>
  <c r="E196" i="3"/>
  <c r="E379" i="3"/>
  <c r="U6" i="3"/>
  <c r="E432" i="3"/>
  <c r="E367" i="3"/>
  <c r="E546" i="3"/>
  <c r="E71" i="3"/>
  <c r="E272" i="3"/>
  <c r="E291" i="3"/>
  <c r="E29" i="3"/>
  <c r="E53" i="3"/>
  <c r="E153" i="3"/>
  <c r="E426" i="3"/>
  <c r="O6" i="3"/>
  <c r="E574" i="3"/>
  <c r="E359" i="3"/>
  <c r="E97" i="3"/>
  <c r="E390" i="3"/>
  <c r="S6" i="3"/>
  <c r="E506" i="3"/>
  <c r="E418" i="3"/>
  <c r="E338"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D26" i="43"/>
  <c r="C25" i="43" s="1"/>
  <c r="C7" i="43"/>
  <c r="C5" i="43" s="1"/>
  <c r="D10" i="52"/>
  <c r="D125" i="9"/>
  <c r="D11" i="52" s="1"/>
  <c r="B7" i="74"/>
  <c r="C7" i="74" s="1"/>
  <c r="F67" i="39"/>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F27" i="68"/>
  <c r="G1" i="73"/>
  <c r="F1" i="67" l="1"/>
  <c r="Q60" i="67"/>
  <c r="F59" i="67"/>
  <c r="Q74" i="67"/>
  <c r="J5" i="67"/>
  <c r="J24" i="67" s="1"/>
  <c r="M17" i="67"/>
  <c r="C49" i="67"/>
  <c r="H10" i="40"/>
  <c r="AB10" i="40" s="1"/>
  <c r="J10" i="40"/>
  <c r="AC10" i="40" s="1"/>
  <c r="J10" i="39"/>
  <c r="W10" i="39" s="1"/>
  <c r="F10" i="40"/>
  <c r="S10" i="40" s="1"/>
  <c r="E501" i="3"/>
  <c r="AM6" i="3"/>
  <c r="E126" i="3"/>
  <c r="E403" i="3"/>
  <c r="E548" i="3"/>
  <c r="E145" i="3"/>
  <c r="E93" i="3"/>
  <c r="E208" i="3"/>
  <c r="E471" i="3"/>
  <c r="E438" i="3"/>
  <c r="E313" i="3"/>
  <c r="E352" i="3"/>
  <c r="E82" i="3"/>
  <c r="E504" i="3"/>
  <c r="E154" i="3"/>
  <c r="E179" i="3"/>
  <c r="E542" i="3"/>
  <c r="E436" i="3"/>
  <c r="E354" i="3"/>
  <c r="E416" i="3"/>
  <c r="E521" i="3"/>
  <c r="E176" i="3"/>
  <c r="E299" i="3"/>
  <c r="E346" i="3"/>
  <c r="E440" i="3"/>
  <c r="E326" i="3"/>
  <c r="E225" i="3"/>
  <c r="E456" i="3"/>
  <c r="E206" i="3"/>
  <c r="E281" i="3"/>
  <c r="E33" i="3"/>
  <c r="E484" i="3"/>
  <c r="E449" i="3"/>
  <c r="E321" i="3"/>
  <c r="E523" i="3"/>
  <c r="E285" i="3"/>
  <c r="E328" i="3"/>
  <c r="E319" i="3"/>
  <c r="E317" i="3"/>
  <c r="E92" i="3"/>
  <c r="E547" i="3"/>
  <c r="E411" i="3"/>
  <c r="E207" i="3"/>
  <c r="E14" i="3"/>
  <c r="E168" i="3"/>
  <c r="E537" i="3"/>
  <c r="E474" i="3"/>
  <c r="E224" i="3"/>
  <c r="E136" i="3"/>
  <c r="E127" i="3"/>
  <c r="E187" i="3"/>
  <c r="E87" i="3"/>
  <c r="Y6" i="3"/>
  <c r="H6" i="3" s="1"/>
  <c r="E373" i="3"/>
  <c r="E582" i="3"/>
  <c r="E209" i="3"/>
  <c r="E421" i="3"/>
  <c r="E58" i="3"/>
  <c r="E62" i="3"/>
  <c r="E234" i="3"/>
  <c r="E276" i="3"/>
  <c r="E422" i="3"/>
  <c r="E158" i="3"/>
  <c r="E115" i="3"/>
  <c r="E405" i="3"/>
  <c r="E34" i="3"/>
  <c r="E198" i="3"/>
  <c r="E67" i="3"/>
  <c r="E409" i="3"/>
  <c r="E575" i="3"/>
  <c r="E292" i="3"/>
  <c r="E479" i="3"/>
  <c r="E255" i="3"/>
  <c r="E499" i="3"/>
  <c r="E459" i="3"/>
  <c r="E66" i="3"/>
  <c r="E39" i="3"/>
  <c r="E341" i="3"/>
  <c r="E375" i="3"/>
  <c r="E464" i="3"/>
  <c r="E284" i="3"/>
  <c r="E138" i="3"/>
  <c r="E520" i="3"/>
  <c r="E312" i="3"/>
  <c r="E24"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AD6" i="3"/>
  <c r="E163" i="3"/>
  <c r="E374" i="3"/>
  <c r="E584" i="3"/>
  <c r="E297" i="3"/>
  <c r="E149" i="3"/>
  <c r="E48" i="3"/>
  <c r="E446" i="3"/>
  <c r="E500" i="3"/>
  <c r="E244" i="3"/>
  <c r="E386"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E3" i="6"/>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Q66" i="71"/>
  <c r="Q65" i="71"/>
  <c r="T40" i="71"/>
  <c r="D40" i="71"/>
  <c r="T36" i="71"/>
  <c r="D36" i="71"/>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67" s="1"/>
  <c r="M27" i="67"/>
  <c r="F41" i="15"/>
  <c r="M27" i="15"/>
  <c r="F69" i="67" l="1"/>
  <c r="V2" i="43"/>
  <c r="C6" i="69"/>
  <c r="C7" i="69" s="1"/>
  <c r="W10" i="40"/>
  <c r="C48" i="67"/>
  <c r="C66" i="67" s="1"/>
  <c r="F24" i="67"/>
  <c r="C24" i="67" s="1"/>
  <c r="AA10" i="40"/>
  <c r="F24" i="15"/>
  <c r="C24" i="15" s="1"/>
  <c r="F22" i="69"/>
  <c r="F41" i="69" s="1"/>
  <c r="F22" i="68"/>
  <c r="F41" i="68" s="1"/>
  <c r="F25" i="12"/>
  <c r="C26" i="12" s="1"/>
  <c r="D25" i="12" s="1"/>
  <c r="F22" i="11"/>
  <c r="C23" i="11" s="1"/>
  <c r="AC6" i="3"/>
  <c r="E6" i="3"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D10" i="69"/>
  <c r="D10" i="68"/>
  <c r="C14" i="67"/>
  <c r="C17" i="15"/>
  <c r="C17" i="67"/>
  <c r="C60" i="67" l="1"/>
  <c r="C26" i="11"/>
  <c r="D22" i="11" s="1"/>
  <c r="C44" i="11"/>
  <c r="D41" i="11" s="1"/>
  <c r="C25" i="11"/>
  <c r="C44" i="69"/>
  <c r="D41" i="69" s="1"/>
  <c r="C26" i="69"/>
  <c r="D22" i="69" s="1"/>
  <c r="C26" i="68"/>
  <c r="D22" i="68" s="1"/>
  <c r="C23" i="68"/>
  <c r="C44" i="68"/>
  <c r="D41" i="68" s="1"/>
  <c r="C24" i="1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5"/>
  <c r="D2" i="37"/>
  <c r="D2" i="36"/>
  <c r="D2" i="34"/>
  <c r="C102" i="9" l="1"/>
  <c r="C21" i="9"/>
  <c r="B3" i="33"/>
  <c r="D102" i="9"/>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9" i="1"/>
  <c r="AO10" i="1"/>
  <c r="AO12" i="1"/>
  <c r="AO8" i="1"/>
  <c r="AO11" i="1"/>
  <c r="AO6"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F118" i="9"/>
  <c r="F119" i="9" s="1"/>
  <c r="F5" i="52" s="1"/>
  <c r="B53" i="72" s="1"/>
  <c r="I118" i="9"/>
  <c r="I4" i="52" s="1"/>
  <c r="H118" i="9" l="1"/>
  <c r="E118" i="9"/>
  <c r="H102" i="9"/>
  <c r="E14" i="74" s="1"/>
  <c r="F4" i="52"/>
  <c r="B51" i="72" s="1"/>
  <c r="C105" i="9"/>
  <c r="D7" i="53" l="1"/>
  <c r="B21" i="72" s="1"/>
  <c r="D118" i="9"/>
  <c r="E4" i="52"/>
  <c r="B48" i="72" s="1"/>
  <c r="H119" i="9"/>
  <c r="H5" i="52" s="1"/>
  <c r="H101" i="9"/>
  <c r="D14" i="74" s="1"/>
  <c r="C104" i="9"/>
  <c r="H4" i="52"/>
  <c r="B5" i="74" l="1"/>
  <c r="F14" i="74"/>
  <c r="D119" i="9"/>
  <c r="D5" i="52" s="1"/>
  <c r="B49" i="72" s="1"/>
  <c r="D4" i="52"/>
  <c r="B47" i="72" s="1"/>
  <c r="H107" i="9"/>
  <c r="M48" i="9"/>
  <c r="D5" i="53"/>
  <c r="D45" i="9"/>
  <c r="D5" i="74" l="1"/>
  <c r="C5" i="74"/>
  <c r="H108" i="9"/>
  <c r="D13" i="53"/>
  <c r="M49" i="9"/>
  <c r="D122" i="9"/>
  <c r="D53" i="9"/>
  <c r="D52" i="9"/>
  <c r="C64" i="9"/>
  <c r="C63" i="9" s="1"/>
  <c r="C67" i="9" s="1"/>
  <c r="D55" i="9"/>
  <c r="M53" i="9" s="1"/>
  <c r="C93" i="9"/>
  <c r="C86" i="9" s="1"/>
  <c r="C85" i="9"/>
  <c r="C72" i="9"/>
  <c r="C78" i="9"/>
  <c r="C73" i="9" s="1"/>
  <c r="D6" i="53"/>
  <c r="B22" i="72" s="1"/>
  <c r="B20" i="72"/>
  <c r="C95" i="9" l="1"/>
  <c r="D123" i="9"/>
  <c r="D9" i="52" s="1"/>
  <c r="D8" i="52"/>
  <c r="D59" i="9"/>
  <c r="M55" i="9" s="1"/>
  <c r="C68" i="9"/>
  <c r="D54" i="9" s="1"/>
  <c r="L65" i="9"/>
  <c r="M65" i="9" s="1"/>
  <c r="L67" i="9"/>
  <c r="M67" i="9" s="1"/>
  <c r="L68" i="9"/>
  <c r="M68" i="9" s="1"/>
  <c r="L63" i="9"/>
  <c r="M63" i="9" s="1"/>
  <c r="L66" i="9"/>
  <c r="M66" i="9" s="1"/>
  <c r="L64" i="9"/>
  <c r="M64" i="9" s="1"/>
  <c r="C79" i="9"/>
  <c r="C96" i="9"/>
  <c r="E96" i="9" s="1"/>
  <c r="E97" i="9" s="1"/>
  <c r="D14" i="53"/>
  <c r="B32" i="72" s="1"/>
  <c r="B30" i="72"/>
  <c r="D15" i="53"/>
  <c r="B31" i="72" s="1"/>
  <c r="C6" i="74"/>
  <c r="C97" i="9" l="1"/>
  <c r="D58" i="9" s="1"/>
  <c r="D56" i="9" s="1"/>
  <c r="M54" i="9" s="1"/>
  <c r="N57" i="9" s="1"/>
  <c r="C80" i="9"/>
  <c r="E80" i="9" s="1"/>
  <c r="E81" i="9" s="1"/>
  <c r="M69" i="9"/>
  <c r="N69" i="9" s="1"/>
  <c r="C81" i="9" l="1"/>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B3682266-D577-4A66-AA39-16E78688471B}">
      <text>
        <r>
          <rPr>
            <b/>
            <sz val="9"/>
            <color indexed="81"/>
            <rFont val="宋体"/>
            <family val="3"/>
            <charset val="134"/>
          </rPr>
          <t>权重验证</t>
        </r>
        <r>
          <rPr>
            <sz val="9"/>
            <color indexed="81"/>
            <rFont val="宋体"/>
            <family val="3"/>
            <charset val="134"/>
          </rPr>
          <t xml:space="preserve">
</t>
        </r>
      </text>
    </comment>
    <comment ref="C58" authorId="1" shapeId="0" xr:uid="{0B2332D1-D5C4-4E08-BDD5-84CDAF3F599E}">
      <text>
        <r>
          <rPr>
            <b/>
            <sz val="12"/>
            <color indexed="81"/>
            <rFont val="宋体"/>
            <family val="3"/>
            <charset val="134"/>
          </rPr>
          <t>价值时点所在月度</t>
        </r>
        <r>
          <rPr>
            <sz val="12"/>
            <color indexed="81"/>
            <rFont val="宋体"/>
            <family val="3"/>
            <charset val="134"/>
          </rPr>
          <t xml:space="preserve">
</t>
        </r>
      </text>
    </comment>
    <comment ref="B102" authorId="1" shapeId="0" xr:uid="{2AAD4302-F43B-403C-99D0-1AD775EEB3B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<sst xmlns="http://schemas.openxmlformats.org/spreadsheetml/2006/main" count="8316" uniqueCount="3553">
  <si>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</si>
  <si>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</si>
  <si>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</si>
  <si>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</si>
  <si>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</si>
  <si>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</si>
  <si>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</si>
  <si>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</si>
  <si>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</si>
  <si>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</si>
  <si>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</si>
  <si>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</si>
  <si>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</si>
  <si>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</si>
  <si>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</si>
  <si>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</si>
  <si>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</si>
  <si>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</si>
  <si>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</si>
  <si>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</si>
  <si>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</si>
  <si>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</si>
  <si>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</si>
  <si>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</si>
  <si>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</si>
  <si>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</si>
  <si>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</si>
  <si>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</si>
  <si>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</si>
  <si>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</si>
  <si>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</si>
  <si>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</si>
  <si>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</si>
  <si>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</si>
  <si>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</si>
  <si>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</si>
  <si>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</si>
  <si>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</si>
  <si>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</si>
  <si>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</si>
  <si>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</si>
  <si>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</si>
  <si>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</si>
  <si>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</si>
  <si>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</si>
  <si>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</si>
  <si>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</si>
  <si>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</si>
  <si>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</si>
  <si>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</si>
  <si>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</si>
  <si>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</si>
  <si>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</si>
  <si>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</si>
  <si>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</si>
  <si>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</si>
  <si>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</si>
  <si>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</si>
  <si>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</si>
  <si>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</si>
  <si>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</si>
  <si>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</si>
  <si>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</si>
  <si>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</si>
  <si>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</si>
  <si>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</si>
  <si>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</si>
  <si>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</si>
  <si>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</si>
  <si>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</si>
  <si>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</si>
  <si>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</si>
  <si>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</si>
  <si>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</si>
  <si>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</si>
  <si>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</si>
  <si>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</si>
  <si>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</si>
  <si>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</si>
  <si>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</si>
  <si>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</si>
  <si>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</si>
  <si>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</si>
  <si>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</si>
  <si>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</si>
  <si>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</si>
  <si>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</si>
  <si>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</si>
  <si>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</si>
  <si>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</si>
  <si>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</si>
  <si>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</si>
  <si>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</si>
  <si>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</si>
  <si>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</si>
  <si>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</si>
  <si>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</si>
  <si>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</si>
  <si>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</si>
  <si>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</si>
  <si>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</si>
  <si>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</si>
  <si>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</si>
  <si>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</si>
  <si>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</si>
  <si>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</si>
  <si>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</si>
  <si>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</si>
  <si>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</si>
  <si>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</si>
  <si>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</si>
  <si>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</si>
  <si>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</si>
  <si>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</si>
  <si>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</si>
  <si>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</si>
  <si>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</si>
  <si>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</si>
  <si>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</si>
  <si>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</si>
  <si>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</si>
  <si>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</si>
  <si>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</si>
  <si>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</si>
  <si>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</si>
  <si>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</si>
  <si>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</si>
  <si>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</si>
  <si>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</si>
  <si>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</si>
  <si>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</si>
  <si>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</si>
  <si>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</si>
  <si>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</si>
  <si>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</si>
  <si>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</si>
  <si>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</si>
  <si>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</si>
  <si>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</si>
  <si>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</si>
  <si>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</si>
  <si>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</si>
  <si>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</si>
  <si>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</si>
  <si>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</si>
  <si>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</si>
  <si>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</si>
  <si>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</si>
  <si>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</si>
  <si>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</si>
  <si>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</si>
  <si>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</si>
  <si>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</si>
  <si>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</si>
  <si>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</si>
  <si>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</si>
  <si>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</si>
  <si>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</si>
  <si>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</si>
  <si>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</si>
  <si>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</si>
  <si>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</si>
  <si>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</si>
  <si>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</si>
  <si>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</si>
  <si>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</si>
  <si>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</si>
  <si>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</si>
  <si>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</si>
  <si>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</si>
  <si>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</si>
  <si>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</si>
  <si>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</si>
  <si>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</si>
  <si>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</si>
  <si>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</si>
  <si>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</si>
  <si>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</si>
  <si>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</si>
  <si>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</si>
  <si>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</si>
  <si>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</si>
  <si>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</si>
  <si>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</si>
  <si>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</si>
  <si>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</si>
  <si>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</si>
  <si>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</si>
  <si>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</si>
  <si>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</si>
  <si>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</si>
  <si>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</si>
  <si>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</si>
  <si>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</si>
  <si>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</si>
  <si>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</si>
  <si>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</si>
  <si>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</si>
  <si>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</si>
  <si>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</si>
  <si>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</si>
  <si>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</si>
  <si>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</si>
  <si>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</si>
  <si>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</si>
  <si>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</si>
  <si>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</si>
  <si>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</si>
  <si>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</si>
  <si>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</si>
  <si>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</si>
  <si>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</si>
  <si>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</si>
  <si>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</si>
  <si>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</si>
  <si>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</si>
  <si>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</si>
  <si>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</si>
  <si>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</si>
  <si>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</si>
  <si>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</si>
  <si>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</si>
  <si>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</si>
  <si>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</si>
  <si>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</si>
  <si>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</si>
  <si>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</si>
  <si>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</si>
  <si>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</si>
  <si>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</si>
  <si>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</si>
  <si>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</si>
  <si>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</si>
  <si>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</si>
  <si>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</si>
  <si>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</si>
  <si>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</si>
  <si>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</si>
  <si>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</si>
  <si>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</si>
  <si>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</si>
  <si>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</si>
  <si>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</si>
  <si>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</si>
  <si>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</si>
  <si>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</si>
  <si>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</si>
  <si>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</si>
  <si>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</si>
  <si>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</si>
  <si>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</si>
  <si>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</si>
  <si>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</si>
  <si>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</si>
  <si>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</si>
  <si>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</si>
  <si>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</si>
  <si>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</si>
  <si>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</si>
  <si>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</si>
  <si>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</si>
  <si>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</si>
  <si>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</si>
  <si>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</si>
  <si>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</si>
  <si>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</si>
  <si>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</si>
  <si>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</si>
  <si>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</si>
  <si>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</si>
  <si>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</si>
  <si>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</si>
  <si>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</si>
  <si>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</si>
  <si>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</si>
  <si>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</si>
  <si>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</si>
  <si>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</si>
  <si>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</si>
  <si>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</si>
  <si>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</si>
  <si>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</si>
  <si>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</si>
  <si>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</si>
  <si>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</si>
  <si>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</si>
  <si>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</si>
  <si>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</si>
  <si>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</si>
  <si>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</si>
  <si>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</si>
  <si>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</si>
  <si>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</si>
  <si>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</si>
  <si>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</si>
  <si>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</si>
  <si>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</si>
  <si>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</si>
  <si>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</si>
  <si>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</si>
  <si>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</si>
  <si>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</si>
  <si>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</si>
  <si>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</si>
  <si>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</si>
  <si>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</si>
  <si>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</si>
  <si>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</si>
  <si>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</si>
  <si>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</si>
  <si>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</si>
  <si>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</si>
  <si>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</si>
  <si>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</si>
  <si>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</si>
  <si>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</si>
  <si>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</si>
  <si>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</si>
  <si>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</si>
  <si>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</si>
  <si>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</si>
  <si>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</si>
  <si>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</si>
  <si>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</si>
  <si>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</si>
  <si>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</si>
  <si>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</si>
  <si>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</si>
  <si>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</si>
  <si>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</si>
  <si>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</si>
  <si>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</si>
  <si>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</si>
  <si>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</si>
  <si>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</si>
  <si>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</si>
  <si>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</si>
  <si>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</si>
  <si>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</si>
  <si>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</si>
  <si>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</si>
  <si>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</si>
  <si>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</si>
  <si>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</si>
  <si>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</si>
  <si>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</si>
  <si>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</si>
  <si>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</si>
  <si>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</si>
  <si>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</si>
  <si>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</si>
  <si>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</si>
  <si>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</si>
  <si>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</si>
  <si>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</si>
  <si>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</si>
  <si>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</si>
  <si>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</si>
  <si>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</si>
  <si>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</si>
  <si>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</si>
  <si>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</si>
  <si>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</si>
  <si>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</si>
  <si>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</si>
  <si>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</si>
  <si>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</si>
  <si>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</si>
  <si>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</si>
  <si>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</si>
  <si>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</si>
  <si>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</si>
  <si>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</si>
  <si>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</si>
  <si>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</si>
  <si>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</si>
  <si>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</si>
  <si>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</si>
  <si>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</si>
  <si>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</si>
  <si>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</si>
  <si>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</si>
  <si>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</si>
  <si>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</si>
  <si>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</si>
  <si>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</si>
  <si>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</si>
  <si>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</si>
  <si>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</si>
  <si>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</si>
  <si>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</si>
  <si>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</si>
  <si>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</si>
  <si>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</si>
  <si>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</si>
  <si>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</si>
  <si>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</si>
  <si>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</si>
  <si>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</si>
  <si>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</si>
  <si>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</si>
  <si>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</si>
  <si>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</si>
  <si>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</si>
  <si>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</si>
  <si>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</si>
  <si>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</si>
  <si>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</si>
  <si>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</si>
  <si>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</si>
  <si>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</si>
  <si>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</si>
  <si>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</si>
  <si>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</si>
  <si>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</si>
  <si>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</si>
  <si>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</si>
  <si>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</si>
  <si>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</si>
  <si>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</si>
  <si>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</si>
  <si>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</si>
  <si>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</si>
  <si>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</si>
  <si>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</si>
  <si>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</si>
  <si>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</si>
  <si>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</si>
  <si>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</si>
  <si>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</si>
  <si>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</si>
  <si>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</si>
  <si>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</si>
  <si>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</si>
  <si>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</si>
  <si>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</si>
  <si>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</si>
  <si>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</si>
  <si>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</si>
  <si>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</si>
  <si>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</si>
  <si>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</si>
  <si>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</si>
  <si>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</si>
  <si>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</si>
  <si>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</si>
  <si>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</si>
  <si>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</si>
  <si>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</si>
  <si>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</si>
  <si>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</si>
  <si>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</si>
  <si>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</si>
  <si>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</si>
  <si>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</si>
  <si>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</si>
  <si>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</si>
  <si>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</si>
  <si>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</si>
  <si>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</si>
  <si>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</si>
  <si>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</si>
  <si>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</si>
  <si>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</si>
  <si>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</si>
  <si>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</si>
  <si>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</si>
  <si>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</si>
  <si>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</si>
  <si>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</si>
  <si>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</si>
  <si>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</si>
  <si>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</si>
  <si>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</si>
  <si>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</si>
  <si>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</si>
  <si>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</si>
  <si>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</si>
  <si>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</si>
  <si>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</si>
  <si>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</si>
  <si>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</si>
  <si>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</si>
  <si>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</si>
  <si>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</si>
  <si>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</si>
  <si>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</si>
  <si>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</si>
  <si>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</si>
  <si>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</si>
  <si>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</si>
  <si>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</si>
  <si>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</si>
  <si>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</si>
  <si>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</si>
  <si>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</si>
  <si>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</si>
  <si>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</si>
  <si>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</si>
  <si>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</si>
  <si>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</si>
  <si>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</si>
  <si>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</si>
  <si>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</si>
  <si>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</si>
  <si>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</si>
  <si>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</si>
  <si>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</si>
  <si>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</si>
  <si>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</si>
  <si>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</si>
  <si>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</si>
  <si>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</si>
  <si>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</si>
  <si>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</si>
  <si>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</si>
  <si>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</si>
  <si>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</si>
  <si>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</si>
  <si>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</si>
  <si>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</si>
  <si>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</si>
  <si>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</si>
  <si>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</si>
  <si>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</si>
  <si>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</si>
  <si>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</si>
  <si>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</si>
  <si>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</si>
  <si>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</si>
  <si>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</si>
  <si>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</si>
  <si>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</si>
  <si>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</si>
  <si>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</si>
  <si>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</si>
  <si>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</si>
  <si>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</si>
  <si>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</si>
  <si>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</si>
  <si>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</si>
  <si>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</si>
  <si>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</si>
  <si>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</si>
  <si>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</si>
  <si>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</si>
  <si>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</si>
  <si>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</si>
  <si>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</si>
  <si>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</si>
  <si>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</si>
  <si>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</si>
  <si>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</si>
  <si>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</si>
  <si>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</si>
  <si>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</si>
  <si>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</si>
  <si>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</si>
  <si>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</si>
  <si>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</si>
  <si>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</si>
  <si>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</si>
  <si>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</si>
  <si>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</si>
  <si>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</si>
  <si>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</si>
  <si>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</si>
  <si>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</si>
  <si>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</si>
  <si>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</si>
  <si>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</si>
  <si>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</si>
  <si>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</si>
  <si>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</si>
  <si>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</si>
  <si>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</si>
  <si>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</si>
  <si>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</si>
  <si>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</si>
  <si>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</si>
  <si>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</si>
  <si>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</si>
  <si>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</si>
  <si>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</si>
  <si>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</si>
  <si>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</si>
  <si>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</si>
  <si>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</si>
  <si>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</si>
  <si>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</si>
  <si>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</si>
  <si>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</si>
  <si>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</si>
  <si>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</si>
  <si>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</si>
  <si>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</si>
  <si>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</si>
  <si>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</si>
  <si>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</si>
  <si>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</si>
  <si>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</si>
  <si>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</si>
  <si>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</si>
  <si>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</si>
  <si>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</si>
  <si>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</si>
  <si>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</si>
  <si>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</si>
  <si>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</si>
  <si>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</si>
  <si>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</si>
  <si>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</si>
  <si>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</si>
  <si>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</si>
  <si>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</si>
  <si>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</si>
  <si>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</si>
  <si>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</si>
  <si>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</si>
  <si>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</si>
  <si>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</si>
  <si>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</si>
  <si>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</si>
  <si>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</si>
  <si>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</si>
  <si>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</si>
  <si>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</si>
  <si>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</si>
  <si>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</si>
  <si>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</si>
  <si>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</si>
  <si>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</si>
  <si>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</si>
  <si>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</si>
  <si>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</si>
  <si>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</si>
  <si>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</si>
  <si>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</si>
  <si>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</si>
  <si>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</si>
  <si>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</si>
  <si>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</si>
  <si>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</si>
  <si>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</si>
  <si>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</si>
  <si>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</si>
  <si>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</si>
  <si>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</si>
  <si>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</si>
  <si>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</si>
  <si>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</si>
  <si>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</si>
  <si>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</si>
  <si>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</si>
  <si>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</si>
  <si>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</si>
  <si>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</si>
  <si>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</si>
  <si>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</si>
  <si>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</si>
  <si>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</si>
  <si>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</si>
  <si>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</si>
  <si>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</si>
  <si>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</si>
  <si>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</si>
  <si>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</si>
  <si>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</si>
  <si>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</si>
  <si>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</si>
  <si>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</si>
  <si>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</si>
  <si>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</si>
  <si>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</si>
  <si>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</si>
  <si>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</si>
  <si>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</si>
  <si>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</si>
  <si>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</si>
  <si>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</si>
  <si>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</si>
  <si>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</si>
  <si>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</si>
  <si>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</si>
  <si>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</si>
  <si>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</si>
  <si>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</si>
  <si>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</si>
  <si>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</si>
  <si>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</si>
  <si>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</si>
  <si>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</si>
  <si>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</si>
  <si>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</si>
  <si>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</si>
  <si>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</si>
  <si>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</si>
  <si>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</si>
  <si>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</si>
  <si>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</si>
  <si>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</si>
  <si>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</si>
  <si>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</si>
  <si>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</si>
  <si>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</si>
  <si>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</si>
  <si>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</si>
  <si>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</si>
  <si>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</si>
  <si>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</si>
  <si>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</si>
  <si>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</si>
  <si>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</si>
  <si>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</si>
  <si>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</si>
  <si>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</si>
  <si>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</si>
  <si>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</si>
  <si>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</si>
  <si>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</si>
  <si>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</si>
  <si>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</si>
  <si>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</si>
  <si>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</si>
  <si>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</si>
  <si>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</si>
  <si>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</si>
  <si>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</si>
  <si>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</si>
  <si>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</si>
  <si>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</si>
  <si>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</si>
  <si>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</si>
  <si>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</si>
  <si>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</si>
  <si>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</si>
  <si>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</si>
  <si>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</si>
  <si>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</si>
  <si>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</si>
  <si>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</si>
  <si>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</si>
  <si>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</si>
  <si>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</si>
  <si>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</si>
  <si>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</si>
  <si>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</si>
  <si>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</si>
  <si>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</si>
  <si>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</si>
  <si>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</si>
  <si>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</si>
  <si>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</si>
  <si>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</si>
  <si>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</si>
  <si>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</si>
  <si>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</si>
  <si>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</si>
  <si>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</si>
  <si>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</si>
  <si>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</si>
  <si>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</si>
  <si>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</si>
  <si>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</si>
  <si>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</si>
  <si>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</si>
  <si>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</si>
  <si>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</si>
  <si>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</si>
  <si>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</si>
  <si>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</si>
  <si>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</si>
  <si>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</si>
  <si>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</si>
  <si>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</si>
  <si>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</si>
  <si>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</si>
  <si>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</si>
  <si>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</si>
  <si>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</si>
  <si>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</si>
  <si>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</si>
  <si>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</si>
  <si>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</si>
  <si>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</si>
  <si>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</si>
  <si>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</si>
  <si>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</si>
  <si>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</si>
  <si>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</si>
  <si>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</si>
  <si>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</si>
  <si>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</si>
  <si>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</si>
  <si>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</si>
  <si>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</si>
  <si>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</si>
  <si>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</si>
  <si>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</si>
  <si>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</si>
  <si>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</si>
  <si>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</si>
  <si>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</si>
  <si>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</si>
  <si>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</si>
  <si>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</si>
  <si>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</si>
  <si>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</si>
  <si>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</si>
  <si>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</si>
  <si>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</si>
  <si>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</si>
  <si>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</si>
  <si>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</si>
  <si>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</si>
  <si>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</si>
  <si>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</si>
  <si>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</si>
  <si>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</si>
  <si>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</si>
  <si>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</si>
  <si>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</si>
  <si>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</si>
  <si>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</si>
  <si>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</si>
  <si>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</si>
  <si>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</si>
  <si>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</si>
  <si>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</si>
  <si>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</si>
  <si>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</si>
  <si>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</si>
  <si>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</si>
  <si>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</si>
  <si>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</si>
  <si>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</si>
  <si>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</si>
  <si>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</si>
  <si>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</si>
  <si>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</si>
  <si>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</si>
  <si>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</si>
  <si>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</si>
  <si>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</si>
  <si>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</si>
  <si>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</si>
  <si>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</si>
  <si>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</si>
  <si>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</si>
  <si>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</si>
  <si>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</si>
  <si>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</si>
  <si>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</si>
  <si>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</si>
  <si>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</si>
  <si>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</si>
  <si>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</si>
  <si>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</si>
  <si>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</si>
  <si>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</si>
  <si>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</si>
  <si>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</si>
  <si>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</si>
  <si>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</si>
  <si>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</si>
  <si>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</si>
  <si>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</si>
  <si>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</si>
  <si>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</si>
  <si>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</si>
  <si>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</si>
  <si>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</si>
  <si>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</si>
  <si>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</si>
  <si>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</si>
  <si>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</si>
  <si>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</si>
  <si>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</si>
  <si>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</si>
  <si>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</si>
  <si>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</si>
  <si>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</si>
  <si>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</si>
  <si>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</si>
  <si>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</si>
  <si>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</si>
  <si>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</si>
  <si>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</si>
  <si>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</si>
  <si>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</si>
  <si>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</si>
  <si>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</si>
  <si>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</si>
  <si>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</si>
  <si>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</si>
  <si>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</si>
  <si>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</si>
  <si>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</si>
  <si>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</si>
  <si>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</si>
  <si>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</si>
  <si>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</si>
  <si>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</si>
  <si>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</si>
  <si>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</si>
  <si>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</si>
  <si>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</si>
  <si>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</si>
  <si>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</si>
  <si>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</si>
  <si>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</si>
  <si>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</si>
  <si>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</si>
  <si>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</si>
  <si>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</si>
  <si>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</si>
  <si>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</si>
  <si>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</si>
  <si>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</si>
  <si>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</si>
  <si>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</si>
  <si>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</si>
  <si>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</si>
  <si>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</si>
  <si>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</si>
  <si>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</si>
  <si>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</si>
  <si>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</si>
  <si>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</si>
  <si>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</si>
  <si>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</si>
  <si>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</si>
  <si>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</si>
  <si>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</si>
  <si>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</si>
  <si>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</si>
  <si>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</si>
  <si>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</si>
  <si>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</si>
  <si>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</si>
  <si>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</si>
  <si>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</si>
  <si>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</si>
  <si>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</si>
  <si>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</si>
  <si>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</si>
  <si>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</si>
  <si>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</si>
  <si>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</si>
  <si>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</si>
  <si>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</si>
  <si>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</si>
  <si>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</si>
  <si>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</si>
  <si>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</si>
  <si>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</si>
  <si>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</si>
  <si>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</si>
  <si>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</si>
  <si>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</si>
  <si>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</si>
  <si>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</si>
  <si>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</si>
  <si>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</si>
  <si>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</si>
  <si>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</si>
  <si>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</si>
  <si>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</si>
  <si>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</si>
  <si>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</si>
  <si>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</si>
  <si>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</si>
  <si>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</si>
  <si>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</si>
  <si>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</si>
  <si>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</si>
  <si>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</si>
  <si>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</si>
  <si>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</si>
  <si>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</si>
  <si>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</si>
  <si>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</si>
  <si>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</si>
  <si>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</si>
  <si>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</si>
  <si>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</si>
  <si>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</si>
  <si>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</si>
  <si>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</si>
  <si>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</si>
  <si>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</si>
  <si>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</si>
  <si>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</si>
  <si>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</si>
  <si>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</si>
  <si>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</si>
  <si>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</si>
  <si>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</si>
  <si>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</si>
  <si>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</si>
  <si>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</si>
  <si>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</si>
  <si>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</si>
  <si>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</si>
  <si>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</si>
  <si>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</si>
  <si>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</si>
  <si>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</si>
  <si>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</si>
  <si>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</si>
  <si>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</si>
  <si>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</si>
  <si>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</si>
  <si>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</si>
  <si>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</si>
  <si>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</si>
  <si>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</si>
  <si>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</si>
  <si>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</si>
  <si>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</si>
  <si>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</si>
  <si>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</si>
  <si>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</si>
  <si>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</si>
  <si>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</si>
  <si>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</si>
  <si>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</si>
  <si>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</si>
  <si>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</si>
  <si>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</si>
  <si>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</si>
  <si>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</si>
  <si>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</si>
  <si>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</si>
  <si>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</si>
  <si>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</si>
  <si>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</si>
  <si>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</si>
  <si>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</si>
  <si>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</si>
  <si>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</si>
  <si>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</si>
  <si>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</si>
  <si>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</si>
  <si>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</si>
  <si>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</si>
  <si>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</si>
  <si>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</si>
  <si>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</si>
  <si>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</si>
  <si>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</si>
  <si>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</si>
  <si>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</si>
  <si>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</si>
  <si>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</si>
  <si>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</si>
  <si>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</si>
  <si>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</si>
  <si>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</si>
  <si>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</si>
  <si>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</si>
  <si>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</si>
  <si>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</si>
  <si>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</si>
  <si>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</si>
  <si>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</si>
  <si>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</si>
  <si>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</si>
  <si>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</si>
  <si>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</si>
  <si>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</si>
  <si>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</si>
  <si>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</si>
  <si>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</si>
  <si>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</si>
  <si>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</si>
  <si>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</si>
  <si>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</si>
  <si>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</si>
  <si>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</si>
  <si>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</si>
  <si>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</si>
  <si>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</si>
  <si>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</si>
  <si>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</si>
  <si>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</si>
  <si>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</si>
  <si>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</si>
  <si>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</si>
  <si>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</si>
  <si>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</si>
  <si>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</si>
  <si>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</si>
  <si>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</si>
  <si>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</si>
  <si>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</si>
  <si>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</si>
  <si>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</si>
  <si>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</si>
  <si>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</si>
  <si>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</si>
  <si>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</si>
  <si>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</si>
  <si>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</si>
  <si>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</si>
  <si>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</si>
  <si>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</si>
  <si>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</si>
  <si>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</si>
  <si>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</si>
  <si>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</si>
  <si>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</si>
  <si>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</si>
  <si>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</si>
  <si>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</si>
  <si>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</si>
  <si>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</si>
  <si>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</si>
  <si>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</si>
  <si>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</si>
  <si>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</si>
  <si>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</si>
  <si>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</si>
  <si>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</si>
  <si>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</si>
  <si>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</si>
  <si>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</si>
  <si>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</si>
  <si>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</si>
  <si>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</si>
  <si>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</si>
  <si>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</si>
  <si>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</si>
  <si>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</si>
  <si>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</si>
  <si>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</si>
  <si>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</si>
  <si>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</si>
  <si>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</si>
  <si>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</si>
  <si>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</si>
  <si>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</si>
  <si>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</si>
  <si>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</si>
  <si>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</si>
  <si>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</si>
  <si>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</si>
  <si>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</si>
  <si>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</si>
  <si>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</si>
  <si>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</si>
  <si>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</si>
  <si>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</si>
  <si>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</si>
  <si>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</si>
  <si>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</si>
  <si>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</si>
  <si>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</si>
  <si>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</si>
  <si>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</si>
  <si>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</si>
  <si>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</si>
  <si>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</si>
  <si>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</si>
  <si>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</si>
  <si>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</si>
  <si>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</si>
  <si>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</si>
  <si>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</si>
  <si>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</si>
  <si>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</si>
  <si>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</si>
  <si>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</si>
  <si>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</si>
  <si>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</si>
  <si>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</si>
  <si>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</si>
  <si>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</si>
  <si>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</si>
  <si>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</si>
  <si>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</si>
  <si>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</si>
  <si>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</si>
  <si>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</si>
  <si>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</si>
  <si>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</si>
  <si>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</si>
  <si>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</si>
  <si>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</si>
  <si>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</si>
  <si>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</si>
  <si>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</si>
  <si>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</si>
  <si>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</si>
  <si>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</si>
  <si>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</si>
  <si>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</si>
  <si>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</si>
  <si>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</si>
  <si>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</si>
  <si>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</si>
  <si>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</si>
  <si>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</si>
  <si>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</si>
  <si>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</si>
  <si>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</si>
  <si>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</si>
  <si>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</si>
  <si>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</si>
  <si>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</si>
  <si>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</si>
  <si>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</si>
  <si>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</si>
  <si>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</si>
  <si>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</si>
  <si>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</si>
  <si>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</si>
  <si>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</si>
  <si>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</si>
  <si>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</si>
  <si>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</si>
  <si>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</si>
  <si>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</si>
  <si>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</si>
  <si>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</si>
  <si>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</si>
  <si>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</si>
  <si>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</si>
  <si>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</si>
  <si>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</si>
  <si>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</si>
  <si>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</si>
  <si>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</si>
  <si>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</si>
  <si>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</si>
  <si>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</si>
  <si>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</si>
  <si>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</si>
  <si>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</si>
  <si>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</si>
  <si>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</si>
  <si>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</si>
  <si>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</si>
  <si>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</si>
  <si>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</si>
  <si>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</si>
  <si>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</si>
  <si>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</si>
  <si>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</si>
  <si>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</si>
  <si>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</si>
  <si>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</si>
  <si>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</si>
  <si>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</si>
  <si>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</si>
  <si>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</si>
  <si>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</si>
  <si>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</si>
  <si>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</si>
  <si>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</si>
  <si>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</si>
  <si>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</si>
  <si>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</si>
  <si>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</si>
  <si>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</si>
  <si>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</si>
  <si>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</si>
  <si>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</si>
  <si>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</si>
  <si>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</si>
  <si>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</si>
  <si>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</si>
  <si>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</si>
  <si>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</si>
  <si>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</si>
  <si>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</si>
  <si>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</si>
  <si>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</si>
  <si>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</si>
  <si>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</si>
  <si>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</si>
  <si>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</si>
  <si>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</si>
  <si>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</si>
  <si>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</si>
  <si>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</si>
  <si>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</si>
  <si>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</si>
  <si>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</si>
  <si>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</si>
  <si>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</si>
  <si>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</si>
  <si>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</si>
  <si>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</si>
  <si>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</si>
  <si>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</si>
  <si>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</si>
  <si>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</si>
  <si>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</si>
  <si>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</si>
  <si>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</si>
  <si>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</si>
  <si>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</si>
  <si>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</si>
  <si>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</si>
  <si>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</si>
  <si>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</si>
  <si>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</si>
  <si>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</si>
  <si>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</si>
  <si>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</si>
  <si>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</si>
  <si>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</si>
  <si>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</si>
  <si>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</si>
  <si>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</si>
  <si>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</si>
  <si>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</si>
  <si>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</si>
  <si>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</si>
  <si>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</si>
  <si>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</si>
  <si>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</si>
  <si>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</si>
  <si>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</si>
  <si>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</si>
  <si>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</si>
  <si>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</si>
  <si>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</si>
  <si>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</si>
  <si>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</si>
  <si>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</si>
  <si>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</si>
  <si>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</si>
  <si>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</si>
  <si>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</si>
  <si>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</si>
  <si>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</si>
  <si>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</si>
  <si>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</si>
  <si>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</si>
  <si>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</si>
  <si>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</si>
  <si>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</si>
  <si>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</si>
  <si>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</si>
  <si>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</si>
  <si>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</si>
  <si>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</si>
  <si>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</si>
  <si>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</si>
  <si>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</si>
  <si>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</si>
  <si>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</si>
  <si>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</si>
  <si>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</si>
  <si>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</si>
  <si>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</si>
  <si>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</si>
  <si>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</si>
  <si>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</si>
  <si>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</si>
  <si>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</si>
  <si>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</si>
  <si>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</si>
  <si>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</si>
  <si>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</si>
  <si>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</si>
  <si>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</si>
  <si>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</si>
  <si>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</si>
  <si>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</si>
  <si>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</si>
  <si>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</si>
  <si>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</si>
  <si>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</si>
  <si>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</si>
  <si>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</si>
  <si>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</si>
  <si>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</si>
  <si>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</si>
  <si>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</si>
  <si>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</si>
  <si>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</si>
  <si>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</si>
  <si>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</si>
  <si>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</si>
  <si>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</si>
  <si>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</si>
  <si>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</si>
  <si>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</si>
  <si>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</si>
  <si>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</si>
  <si>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</si>
  <si>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</si>
  <si>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</si>
  <si>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</si>
  <si>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</si>
  <si>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</si>
  <si>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</si>
  <si>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</si>
  <si>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</si>
  <si>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</si>
  <si>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</si>
  <si>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</si>
  <si>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</si>
  <si>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</si>
  <si>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</si>
  <si>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</si>
  <si>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</si>
  <si>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</si>
  <si>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</si>
  <si>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</si>
  <si>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</si>
  <si>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</si>
  <si>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</si>
  <si>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</si>
  <si>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</si>
  <si>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</si>
  <si>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</si>
  <si>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</si>
  <si>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</si>
  <si>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</si>
  <si>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</si>
  <si>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</si>
  <si>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</si>
  <si>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</si>
  <si>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</si>
  <si>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</si>
  <si>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</si>
  <si>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</si>
  <si>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</si>
  <si>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</si>
  <si>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</si>
  <si>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</si>
  <si>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</si>
  <si>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</si>
  <si>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</si>
  <si>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</si>
  <si>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</si>
  <si>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</si>
  <si>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</si>
  <si>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</si>
  <si>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</si>
  <si>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</si>
  <si>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</si>
  <si>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</si>
  <si>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</si>
  <si>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</si>
  <si>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</si>
  <si>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</si>
  <si>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</si>
  <si>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</si>
  <si>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</si>
  <si>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</si>
  <si>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</si>
  <si>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</si>
  <si>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</si>
  <si>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</si>
  <si>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</si>
  <si>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</si>
  <si>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</si>
  <si>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</si>
  <si>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</si>
  <si>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</si>
  <si>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</si>
  <si>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</si>
  <si>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</si>
  <si>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</si>
  <si>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</si>
  <si>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</si>
  <si>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</si>
  <si>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</si>
  <si>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</si>
  <si>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</si>
  <si>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</si>
  <si>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</si>
  <si>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</si>
  <si>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</si>
  <si>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</si>
  <si>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</si>
  <si>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</si>
  <si>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</si>
  <si>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</si>
  <si>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</si>
  <si>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</si>
  <si>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</si>
  <si>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</si>
  <si>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</si>
  <si>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</si>
  <si>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</si>
  <si>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</si>
  <si>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</si>
  <si>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</si>
  <si>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</si>
  <si>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</si>
  <si>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</si>
  <si>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</si>
  <si>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</si>
  <si>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</si>
  <si>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</si>
  <si>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</si>
  <si>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</si>
  <si>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</si>
  <si>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</si>
  <si>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</si>
  <si>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</si>
  <si>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</si>
  <si>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</si>
  <si>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</si>
  <si>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</si>
  <si>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</si>
  <si>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</si>
  <si>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</si>
  <si>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</si>
  <si>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</si>
  <si>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</si>
  <si>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</si>
  <si>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</si>
  <si>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</si>
  <si>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</si>
  <si>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</si>
  <si>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</si>
  <si>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</si>
  <si>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</si>
  <si>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</si>
  <si>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</si>
  <si>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</si>
  <si>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</si>
  <si>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</si>
  <si>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</si>
  <si>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</si>
  <si>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</si>
  <si>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</si>
  <si>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</si>
  <si>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</si>
  <si>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</si>
  <si>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</si>
  <si>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</si>
  <si>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</si>
  <si>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</si>
  <si>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</si>
  <si>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</si>
  <si>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</si>
  <si>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</si>
  <si>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</si>
  <si>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</si>
  <si>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</si>
  <si>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</si>
  <si>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</si>
  <si>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</si>
  <si>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</si>
  <si>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</si>
  <si>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</si>
  <si>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</si>
  <si>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</si>
  <si>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</si>
  <si>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</si>
  <si>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</si>
  <si>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</si>
  <si>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</si>
  <si>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</si>
  <si>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</si>
  <si>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</si>
  <si>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</si>
  <si>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</si>
  <si>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</si>
  <si>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</si>
  <si>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</si>
  <si>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</si>
  <si>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</si>
  <si>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</si>
  <si>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</si>
  <si>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</si>
  <si>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</si>
  <si>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</si>
  <si>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</si>
  <si>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</si>
  <si>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</si>
  <si>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</si>
  <si>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</si>
  <si>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</si>
  <si>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</si>
  <si>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</si>
  <si>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</si>
  <si>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</si>
  <si>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</si>
  <si>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</si>
  <si>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</si>
  <si>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</si>
  <si>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</si>
  <si>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</si>
  <si>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</si>
  <si>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</si>
  <si>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</si>
  <si>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</si>
  <si>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</si>
  <si>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</si>
  <si>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</si>
  <si>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</si>
  <si>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</si>
  <si>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</si>
  <si>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</si>
  <si>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</si>
  <si>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</si>
  <si>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</si>
  <si>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</si>
  <si>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</si>
  <si>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</si>
  <si>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</si>
  <si>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</si>
  <si>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</si>
  <si>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</si>
  <si>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</si>
  <si>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</si>
  <si>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</si>
  <si>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</si>
  <si>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</si>
  <si>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</si>
  <si>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</si>
  <si>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</si>
  <si>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</si>
  <si>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</si>
  <si>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</si>
  <si>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</si>
  <si>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</si>
  <si>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</si>
  <si>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</si>
  <si>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</si>
  <si>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</si>
  <si>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</si>
  <si>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</si>
  <si>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</si>
  <si>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</si>
  <si>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</si>
  <si>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</si>
  <si>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</si>
  <si>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</si>
  <si>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</si>
  <si>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</si>
  <si>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</si>
  <si>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</si>
  <si>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</si>
  <si>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</si>
  <si>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</si>
  <si>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</si>
  <si>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</si>
  <si>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</si>
  <si>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</si>
  <si>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</si>
  <si>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</si>
  <si>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</si>
  <si>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</si>
  <si>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</si>
  <si>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</si>
  <si>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</si>
  <si>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</si>
  <si>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</si>
  <si>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</si>
  <si>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</si>
  <si>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</si>
  <si>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</si>
  <si>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</si>
  <si>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</si>
  <si>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</si>
  <si>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</si>
  <si>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</si>
  <si>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</si>
  <si>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</si>
  <si>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</si>
  <si>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</si>
  <si>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</si>
  <si>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</si>
  <si>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</si>
  <si>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</si>
  <si>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</si>
  <si>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</si>
  <si>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</si>
  <si>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</si>
  <si>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</si>
  <si>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</si>
  <si>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</si>
  <si>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</si>
  <si>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</si>
  <si>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</si>
  <si>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</si>
  <si>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</si>
  <si>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</si>
  <si>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</si>
  <si>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</si>
  <si>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</si>
  <si>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</si>
  <si>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</si>
  <si>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</si>
  <si>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</si>
  <si>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</si>
  <si>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</si>
  <si>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</si>
  <si>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</si>
  <si>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</si>
  <si>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</si>
  <si>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</si>
  <si>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</si>
  <si>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</si>
  <si>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</si>
  <si>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</si>
  <si>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</si>
  <si>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</si>
  <si>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</si>
  <si>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</si>
  <si>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</si>
  <si>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</si>
  <si>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</si>
  <si>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</si>
  <si>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</si>
  <si>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</si>
  <si>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</si>
  <si>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</si>
  <si>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</si>
  <si>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</si>
  <si>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</si>
  <si>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</si>
  <si>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</si>
  <si>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</si>
  <si>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</si>
  <si>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</si>
  <si>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</si>
  <si>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</si>
  <si>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</si>
  <si>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</si>
  <si>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</si>
  <si>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</si>
  <si>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</si>
  <si>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</si>
  <si>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</si>
  <si>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</si>
  <si>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</si>
  <si>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</si>
  <si>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</si>
  <si>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</si>
  <si>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</si>
  <si>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</si>
  <si>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</si>
  <si>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</si>
  <si>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</si>
  <si>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</si>
  <si>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</si>
  <si>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</si>
  <si>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</si>
  <si>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</si>
  <si>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</si>
  <si>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</si>
  <si>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</si>
  <si>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</si>
  <si>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</si>
  <si>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</si>
  <si>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</si>
  <si>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</si>
  <si>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</si>
  <si>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</si>
  <si>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</si>
  <si>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</si>
  <si>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</si>
  <si>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</si>
  <si>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</si>
  <si>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</si>
  <si>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</si>
  <si>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</si>
  <si>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</si>
  <si>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</si>
  <si>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</si>
  <si>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</si>
  <si>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</si>
  <si>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</si>
  <si>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</si>
  <si>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</si>
  <si>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</si>
  <si>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</si>
  <si>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</si>
  <si>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</si>
  <si>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</si>
  <si>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</si>
  <si>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</si>
  <si>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</si>
  <si>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</si>
  <si>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</si>
  <si>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</si>
  <si>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</si>
  <si>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</si>
  <si>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</si>
  <si>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</si>
  <si>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</si>
  <si>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</si>
  <si>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</si>
  <si>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</si>
  <si>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</si>
  <si>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</si>
  <si>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</si>
  <si>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</si>
  <si>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</si>
  <si>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</si>
  <si>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</si>
  <si>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</si>
  <si>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</si>
  <si>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</si>
  <si>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</si>
  <si>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</si>
  <si>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</si>
  <si>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</si>
  <si>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</si>
  <si>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</si>
  <si>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</si>
  <si>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</si>
  <si>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</si>
  <si>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</si>
  <si>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</si>
  <si>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</si>
  <si>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</si>
  <si>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</si>
  <si>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</si>
  <si>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</si>
  <si>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</si>
  <si>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</si>
  <si>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</si>
  <si>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</si>
  <si>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</si>
  <si>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</si>
  <si>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</si>
  <si>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</si>
  <si>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</si>
  <si>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</si>
  <si>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</si>
  <si>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</si>
  <si>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</si>
  <si>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</si>
  <si>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</si>
  <si>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</si>
  <si>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</si>
  <si>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</si>
  <si>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</si>
  <si>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</si>
  <si>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</si>
  <si>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</si>
  <si>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</si>
  <si>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</si>
  <si>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</si>
  <si>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</si>
  <si>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</si>
  <si>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</si>
  <si>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</si>
  <si>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</si>
  <si>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</si>
  <si>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</si>
  <si>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</si>
  <si>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</si>
  <si>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</si>
  <si>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</si>
  <si>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</si>
  <si>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</si>
  <si>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</si>
  <si>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</si>
  <si>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</si>
  <si>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</si>
  <si>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</si>
  <si>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</si>
  <si>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</si>
  <si>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</si>
  <si>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</si>
  <si>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</si>
  <si>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</si>
  <si>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</si>
  <si>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</si>
  <si>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</si>
  <si>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</si>
  <si>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</si>
  <si>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</si>
  <si>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</si>
  <si>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</si>
  <si>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</si>
  <si>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</si>
  <si>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</si>
  <si>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</si>
  <si>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</si>
  <si>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</si>
  <si>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</si>
  <si>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</si>
  <si>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</si>
  <si>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</si>
  <si>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</si>
  <si>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</si>
  <si>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</si>
  <si>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</si>
  <si>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</si>
  <si>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</si>
  <si>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</si>
  <si>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</si>
  <si>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</si>
  <si>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</si>
  <si>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</si>
  <si>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</si>
  <si>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</si>
  <si>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</si>
  <si>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</si>
  <si>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</si>
  <si>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</si>
  <si>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</si>
  <si>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</si>
  <si>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</si>
  <si>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</si>
  <si>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</si>
  <si>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</si>
  <si>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</si>
  <si>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</si>
  <si>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</si>
  <si>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</si>
  <si>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</si>
  <si>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</si>
  <si>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</si>
  <si>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</si>
  <si>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</si>
  <si>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</si>
  <si>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</si>
  <si>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</si>
  <si>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</si>
  <si>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</si>
  <si>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</si>
  <si>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</si>
  <si>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</si>
  <si>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</si>
  <si>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</si>
  <si>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</si>
  <si>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</si>
  <si>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</si>
  <si>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</si>
  <si>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</si>
  <si>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</si>
  <si>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</si>
  <si>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</si>
  <si>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</si>
  <si>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</si>
  <si>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</si>
  <si>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</si>
  <si>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</si>
  <si>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</si>
  <si>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</si>
  <si>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</si>
  <si>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</si>
  <si>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</si>
  <si>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</si>
  <si>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</si>
  <si>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</si>
  <si>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</si>
  <si>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</si>
  <si>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</si>
  <si>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</si>
  <si>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</si>
  <si>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</si>
  <si>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</si>
  <si>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</si>
  <si>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</si>
  <si>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</si>
  <si>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</si>
  <si>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</si>
  <si>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</si>
  <si>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</si>
  <si>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</si>
  <si>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</si>
  <si>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</si>
  <si>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</si>
  <si>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</si>
  <si>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</si>
  <si>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</si>
  <si>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</si>
  <si>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</si>
  <si>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</si>
  <si>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</si>
  <si>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</si>
  <si>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</si>
  <si>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</si>
  <si>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</si>
  <si>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</si>
  <si>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</si>
  <si>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</si>
  <si>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</si>
  <si>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</si>
  <si>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</si>
  <si>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</si>
  <si>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</si>
  <si>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</si>
  <si>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</si>
  <si>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</si>
  <si>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</si>
  <si>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</si>
  <si>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</si>
  <si>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</si>
  <si>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</si>
  <si>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</si>
  <si>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</si>
  <si>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</si>
  <si>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</si>
  <si>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</si>
  <si>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</si>
  <si>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</si>
  <si>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</si>
  <si>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</si>
  <si>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</si>
  <si>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</si>
  <si>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</si>
  <si>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</si>
  <si>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</si>
  <si>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</si>
  <si>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</si>
  <si>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</si>
  <si>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</si>
  <si>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</si>
  <si>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</si>
  <si>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</si>
  <si>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</si>
  <si>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</si>
  <si>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</si>
  <si>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</si>
  <si>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</si>
  <si>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</si>
  <si>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</si>
  <si>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</si>
  <si>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</si>
  <si>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</si>
  <si>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</si>
  <si>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</si>
  <si>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</si>
  <si>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</si>
  <si>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</si>
  <si>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</si>
  <si>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</si>
  <si>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</si>
  <si>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</si>
  <si>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</si>
  <si>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</si>
  <si>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</si>
  <si>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</si>
  <si>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</si>
  <si>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</si>
  <si>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</si>
  <si>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</si>
  <si>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</si>
  <si>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</si>
  <si>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</si>
  <si>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</si>
  <si>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</si>
  <si>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</si>
  <si>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</si>
  <si>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</si>
  <si>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</si>
  <si>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</si>
  <si>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</si>
  <si>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</si>
  <si>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</si>
  <si>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</si>
  <si>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</si>
  <si>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</si>
  <si>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</si>
  <si>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</si>
  <si>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</si>
  <si>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</si>
  <si>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</si>
  <si>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</si>
  <si>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</si>
  <si>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</si>
  <si>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</si>
  <si>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</si>
  <si>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</si>
  <si>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</si>
  <si>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</si>
  <si>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</si>
  <si>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</si>
  <si>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</si>
  <si>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</si>
  <si>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</si>
  <si>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</si>
  <si>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</si>
  <si>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</si>
  <si>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</si>
  <si>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</si>
  <si>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</si>
  <si>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</si>
  <si>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</si>
  <si>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</si>
  <si>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</si>
  <si>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</si>
  <si>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</si>
  <si>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</si>
  <si>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</si>
  <si>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</si>
  <si>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</si>
  <si>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</si>
  <si>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</si>
  <si>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</si>
  <si>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</si>
  <si>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</si>
  <si>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</si>
  <si>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</si>
  <si>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</si>
  <si>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</si>
  <si>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</si>
  <si>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</si>
  <si>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</si>
  <si>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</si>
  <si>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</si>
  <si>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</si>
  <si>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</si>
  <si>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</si>
  <si>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</si>
  <si>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</si>
  <si>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</si>
  <si>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</si>
  <si>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</si>
  <si>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</si>
  <si>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</si>
  <si>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</si>
  <si>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</si>
  <si>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</si>
  <si>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</si>
  <si>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</si>
  <si>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</si>
  <si>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</si>
  <si>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</si>
  <si>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</si>
  <si>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</si>
  <si>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</si>
  <si>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</si>
  <si>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</si>
  <si>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</si>
  <si>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</si>
  <si>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</si>
  <si>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</si>
  <si>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</si>
  <si>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</si>
  <si>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</si>
  <si>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</si>
  <si>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</si>
  <si>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</si>
  <si>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</si>
  <si>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</si>
  <si>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</si>
  <si>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</si>
  <si>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</si>
  <si>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</si>
  <si>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</si>
  <si>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</si>
  <si>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</si>
  <si>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</si>
  <si>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</si>
  <si>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</si>
  <si>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</si>
  <si>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</si>
  <si>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</si>
  <si>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</si>
  <si>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</si>
  <si>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</si>
  <si>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</si>
  <si>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</si>
  <si>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</si>
  <si>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</si>
  <si>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</si>
  <si>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</si>
  <si>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</si>
  <si>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</si>
  <si>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</si>
  <si>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</si>
  <si>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</si>
  <si>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</si>
  <si>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</si>
  <si>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</si>
  <si>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</si>
  <si>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</si>
  <si>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</si>
  <si>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</si>
  <si>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</si>
  <si>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</si>
  <si>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</si>
  <si>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</si>
  <si>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</si>
  <si>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</si>
  <si>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</si>
  <si>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</si>
  <si>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</si>
  <si>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</si>
  <si>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</si>
  <si>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</si>
  <si>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</si>
  <si>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</si>
  <si>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</si>
  <si>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</si>
  <si>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</si>
  <si>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</si>
  <si>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</si>
  <si>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</si>
  <si>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</si>
  <si>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</si>
  <si>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</si>
  <si>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</si>
  <si>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</si>
  <si>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</si>
  <si>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</si>
  <si>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</si>
  <si>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</si>
  <si>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</si>
  <si>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</si>
  <si>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</si>
  <si>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</si>
  <si>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</si>
  <si>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</si>
  <si>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</si>
  <si>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</si>
  <si>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</si>
  <si>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</si>
  <si>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</si>
  <si>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</si>
  <si>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</si>
  <si>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</si>
  <si>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</si>
  <si>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</si>
  <si>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</si>
  <si>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</si>
  <si>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</si>
  <si>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</si>
  <si>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</si>
  <si>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</si>
  <si>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</si>
  <si>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</si>
  <si>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</si>
  <si>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</si>
  <si>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</si>
  <si>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</si>
  <si>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</si>
  <si>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</si>
  <si>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</si>
  <si>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</si>
  <si>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</si>
  <si>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</si>
  <si>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</si>
  <si>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</si>
  <si>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</si>
  <si>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</si>
  <si>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</si>
  <si>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</si>
  <si>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</si>
  <si>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</si>
  <si>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</si>
  <si>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</si>
  <si>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</si>
  <si>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</si>
  <si>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</si>
  <si>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</si>
  <si>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</si>
  <si>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</si>
  <si>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</si>
  <si>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</si>
  <si>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</si>
  <si>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</si>
  <si>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</si>
  <si>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</si>
  <si>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</si>
  <si>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</si>
  <si>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</si>
  <si>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</si>
  <si>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</si>
  <si>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</si>
  <si>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</si>
  <si>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</si>
  <si>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</si>
  <si>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</si>
  <si>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</si>
  <si>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</si>
  <si>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</si>
  <si>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</si>
  <si>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</si>
  <si>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</si>
  <si>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</si>
  <si>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</si>
  <si>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</si>
  <si>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</si>
  <si>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</si>
  <si>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</si>
  <si>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</si>
  <si>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</si>
  <si>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</si>
  <si>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</si>
  <si>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</si>
  <si>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</si>
  <si>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</si>
  <si>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</si>
  <si>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</si>
  <si>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</si>
  <si>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</si>
  <si>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</si>
  <si>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</si>
  <si>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</si>
  <si>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</si>
  <si>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</si>
  <si>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</si>
  <si>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</si>
  <si>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</si>
  <si>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</si>
  <si>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</si>
  <si>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</si>
  <si>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</si>
  <si>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</si>
  <si>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</si>
  <si>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</si>
  <si>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</si>
  <si>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</si>
  <si>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</si>
  <si>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</si>
  <si>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</si>
  <si>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</si>
  <si>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</si>
  <si>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</si>
  <si>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</si>
  <si>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</si>
  <si>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</si>
  <si>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</si>
  <si>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</si>
  <si>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</si>
  <si>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</si>
  <si>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</si>
  <si>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</si>
  <si>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</si>
  <si>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</si>
  <si>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</si>
  <si>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</si>
  <si>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</si>
  <si>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</si>
  <si>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</si>
  <si>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</si>
  <si>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</si>
  <si>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</si>
  <si>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</si>
  <si>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</si>
  <si>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</si>
  <si>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</si>
  <si>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</si>
  <si>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</si>
  <si>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</si>
  <si>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</si>
  <si>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</si>
  <si>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</si>
  <si>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</si>
  <si>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</si>
  <si>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</si>
  <si>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</si>
  <si>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</si>
  <si>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</si>
  <si>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</si>
  <si>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</si>
  <si>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</si>
  <si>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</si>
  <si>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</si>
  <si>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</si>
  <si>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</si>
  <si>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</si>
  <si>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</si>
  <si>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</si>
  <si>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</si>
  <si>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</si>
  <si>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</si>
  <si>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</si>
  <si>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</si>
  <si>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</si>
  <si>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</si>
  <si>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</si>
  <si>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</si>
  <si>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</si>
  <si>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</si>
  <si>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</si>
  <si>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</si>
  <si>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</si>
  <si>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</si>
  <si>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</si>
  <si>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</si>
  <si>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</si>
  <si>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</si>
  <si>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</si>
  <si>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</si>
  <si>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</si>
  <si>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</si>
  <si>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</si>
  <si>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</si>
  <si>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</si>
  <si>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</si>
  <si>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</si>
  <si>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</si>
  <si>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</si>
  <si>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</si>
  <si>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</si>
  <si>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</si>
  <si>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</si>
  <si>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</si>
  <si>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</si>
  <si>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</si>
  <si>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</si>
  <si>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</si>
  <si>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</si>
  <si>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</si>
  <si>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</si>
  <si>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</si>
  <si>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</si>
  <si>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</si>
  <si>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</si>
  <si>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</si>
  <si>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</si>
  <si>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</si>
  <si>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</si>
  <si>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</si>
  <si>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</si>
  <si>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</si>
  <si>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</si>
  <si>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</si>
  <si>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</si>
  <si>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</si>
  <si>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</si>
  <si>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</si>
  <si>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</si>
  <si>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</si>
  <si>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</si>
  <si>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</si>
  <si>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</si>
  <si>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</si>
  <si>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</si>
  <si>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</si>
  <si>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</si>
  <si>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</si>
  <si>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</si>
  <si>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</si>
  <si>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</si>
  <si>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</si>
  <si>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</si>
  <si>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</si>
  <si>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</si>
  <si>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</si>
  <si>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</si>
  <si>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</si>
  <si>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</si>
  <si>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</si>
  <si>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</si>
  <si>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</si>
  <si>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</si>
  <si>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</si>
  <si>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</si>
  <si>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</si>
  <si>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</si>
  <si>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</si>
  <si>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</si>
  <si>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</si>
  <si>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</si>
  <si>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</si>
  <si>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</si>
  <si>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</si>
  <si>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</si>
  <si>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</si>
  <si>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</si>
  <si>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</si>
  <si>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</si>
  <si>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</si>
  <si>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</si>
  <si>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</si>
  <si>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</si>
  <si>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</si>
  <si>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</si>
  <si>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</si>
  <si>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</si>
  <si>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</si>
  <si>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</si>
  <si>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</si>
  <si>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</si>
  <si>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</si>
  <si>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</si>
  <si>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</si>
  <si>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</si>
  <si>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</si>
  <si>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</si>
  <si>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</si>
  <si>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</si>
  <si>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</si>
  <si>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</si>
  <si>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</si>
  <si>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</si>
  <si>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</si>
  <si>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</si>
  <si>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</si>
  <si>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</si>
  <si>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</si>
  <si>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</si>
  <si>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</si>
  <si>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</si>
  <si>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</si>
  <si>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</si>
  <si>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</si>
  <si>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</si>
  <si>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</si>
  <si>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</si>
  <si>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</si>
  <si>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</si>
  <si>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</si>
  <si>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</si>
  <si>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</si>
  <si>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</si>
  <si>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</si>
  <si>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</si>
  <si>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</si>
  <si>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</si>
  <si>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</si>
  <si>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</si>
  <si>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</si>
  <si>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</si>
  <si>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</si>
  <si>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</si>
  <si>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</si>
  <si>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</si>
  <si>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</si>
  <si>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</si>
  <si>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</si>
  <si>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</si>
  <si>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</si>
  <si>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</si>
  <si>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</si>
  <si>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</si>
  <si>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</si>
  <si>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</si>
  <si>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</si>
  <si>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</si>
  <si>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</si>
  <si>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</si>
  <si>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</si>
  <si>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</si>
  <si>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</si>
  <si>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</si>
  <si>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</si>
  <si>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</si>
  <si>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</si>
  <si>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</si>
  <si>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</si>
  <si>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</si>
  <si>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</si>
  <si>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</si>
  <si>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</si>
  <si>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</si>
  <si>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</si>
  <si>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</si>
  <si>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</si>
  <si>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</si>
  <si>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</si>
  <si>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</si>
  <si>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</si>
  <si>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</si>
  <si>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</si>
  <si>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</si>
  <si>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</si>
  <si>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</si>
  <si>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</si>
  <si>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</si>
  <si>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</si>
  <si>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</si>
  <si>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</si>
  <si>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</si>
  <si>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</si>
  <si>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</si>
  <si>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</si>
  <si>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</si>
  <si>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</si>
  <si>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</si>
  <si>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</si>
  <si>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</si>
  <si>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</si>
  <si>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</si>
  <si>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</si>
  <si>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</si>
  <si>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</si>
  <si>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</si>
  <si>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</si>
  <si>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</si>
  <si>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</si>
  <si>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</si>
  <si>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</si>
  <si>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</si>
  <si>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</si>
  <si>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</si>
  <si>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</si>
  <si>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</si>
  <si>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</si>
  <si>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</si>
  <si>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</si>
  <si>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</si>
  <si>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</si>
  <si>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</si>
  <si>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</si>
  <si>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</si>
  <si>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</si>
  <si>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</si>
  <si>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</si>
  <si>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</si>
  <si>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</si>
  <si>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</si>
  <si>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</si>
  <si>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</si>
  <si>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</si>
  <si>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</si>
  <si>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</si>
  <si>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</si>
  <si>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</si>
  <si>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</si>
  <si>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</si>
  <si>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</si>
  <si>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</si>
  <si>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</si>
  <si>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</si>
  <si>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</si>
  <si>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</si>
  <si>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</si>
  <si>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</si>
  <si>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</si>
  <si>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</si>
  <si>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</si>
  <si>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</si>
  <si>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</si>
  <si>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</si>
  <si>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</si>
  <si>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</si>
  <si>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</si>
  <si>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</si>
  <si>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</si>
  <si>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</si>
  <si>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</si>
  <si>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</si>
  <si>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</si>
  <si>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</si>
  <si>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</si>
  <si>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</si>
  <si>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</si>
  <si>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</si>
  <si>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</si>
  <si>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</si>
  <si>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</si>
  <si>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</si>
  <si>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</si>
  <si>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</si>
  <si>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</si>
  <si>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</si>
  <si>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</si>
  <si>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</si>
  <si>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</si>
  <si>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</si>
  <si>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</si>
  <si>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</si>
  <si>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</si>
  <si>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</si>
  <si>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</si>
  <si>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</si>
  <si>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</si>
  <si>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</si>
  <si>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</si>
  <si>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</si>
  <si>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</si>
  <si>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</si>
  <si>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</si>
  <si>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</si>
  <si>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</si>
  <si>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</si>
  <si>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</si>
  <si>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</si>
  <si>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</si>
  <si>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</si>
  <si>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</si>
  <si>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</si>
  <si>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</si>
  <si>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</si>
  <si>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</si>
  <si>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</si>
  <si>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</si>
  <si>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</si>
  <si>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</si>
  <si>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</si>
  <si>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</si>
  <si>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</si>
  <si>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</si>
  <si>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</si>
  <si>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</si>
  <si>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</si>
  <si>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</si>
  <si>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</si>
  <si>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</si>
  <si>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</si>
  <si>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</si>
  <si>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</si>
  <si>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</si>
  <si>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</si>
  <si>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</si>
  <si>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</si>
  <si>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</si>
  <si>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</si>
  <si>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</si>
  <si>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</si>
  <si>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</si>
  <si>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</si>
  <si>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</si>
  <si>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</si>
  <si>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</si>
  <si>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</si>
  <si>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</si>
  <si>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</si>
  <si>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</si>
  <si>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</si>
  <si>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</si>
  <si>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</si>
  <si>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</si>
  <si>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</si>
  <si>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</si>
  <si>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</si>
  <si>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</si>
  <si>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</si>
  <si>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</si>
  <si>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</si>
  <si>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</si>
  <si>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</si>
  <si>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</si>
  <si>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</si>
  <si>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</si>
  <si>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</si>
  <si>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</si>
  <si>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</si>
  <si>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</si>
  <si>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</si>
  <si>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</si>
  <si>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</si>
  <si>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</si>
  <si>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</si>
  <si>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</si>
  <si>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</si>
  <si>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</si>
  <si>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</si>
  <si>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</si>
  <si>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</si>
  <si>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</si>
  <si>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</si>
  <si>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</si>
  <si>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</si>
  <si>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</si>
  <si>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</si>
  <si>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</si>
  <si>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</si>
  <si>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</si>
  <si>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</si>
  <si>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</si>
  <si>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</si>
  <si>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</si>
  <si>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</si>
  <si>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</si>
  <si>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</si>
  <si>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</si>
  <si>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</si>
  <si>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</si>
  <si>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</si>
  <si>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</si>
  <si>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</si>
  <si>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</si>
  <si>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</si>
  <si>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</si>
  <si>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</si>
  <si>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</si>
  <si>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</si>
  <si>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</si>
  <si>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</si>
  <si>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</si>
  <si>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</si>
  <si>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</si>
  <si>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</si>
  <si>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</si>
  <si>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</si>
  <si>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</si>
  <si>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</si>
  <si>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</si>
  <si>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</si>
  <si>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</si>
  <si>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</si>
  <si>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</si>
  <si>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</si>
  <si>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</si>
  <si>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</si>
  <si>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</si>
  <si>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</si>
  <si>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</si>
  <si>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</si>
  <si>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</si>
  <si>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</si>
  <si>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</si>
  <si>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</si>
  <si>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</si>
  <si>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</si>
  <si>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</si>
  <si>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</si>
  <si>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</si>
  <si>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</si>
  <si>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</si>
  <si>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</si>
  <si>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</si>
  <si>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</si>
  <si>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</si>
  <si>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</si>
  <si>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</si>
  <si>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</si>
  <si>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</si>
  <si>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</si>
  <si>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</si>
  <si>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</si>
  <si>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</si>
  <si>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</si>
  <si>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</si>
  <si>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</si>
  <si>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</si>
  <si>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</si>
  <si>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</si>
  <si>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</si>
  <si>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</si>
  <si>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</si>
  <si>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</si>
  <si>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</si>
  <si>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</si>
  <si>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</si>
  <si>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</si>
  <si>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</si>
  <si>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</si>
  <si>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</si>
  <si>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</si>
  <si>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</si>
  <si>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</si>
  <si>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</si>
  <si>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</si>
  <si>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</si>
  <si>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</si>
  <si>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</si>
  <si>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</si>
  <si>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</si>
  <si>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</si>
  <si>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</si>
  <si>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</si>
  <si>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</si>
  <si>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</si>
  <si>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</si>
  <si>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</si>
  <si>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</si>
  <si>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</si>
  <si>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</si>
  <si>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</si>
  <si>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</si>
  <si>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</si>
  <si>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</si>
  <si>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</si>
  <si>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</si>
  <si>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</si>
  <si>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</si>
  <si>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</si>
  <si>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</si>
  <si>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</si>
  <si>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</si>
  <si>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</si>
  <si>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</si>
  <si>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</si>
  <si>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</si>
  <si>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</si>
  <si>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</si>
  <si>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</si>
  <si>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</si>
  <si>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</si>
  <si>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</si>
  <si>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</si>
  <si>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</si>
  <si>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</si>
  <si>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</si>
  <si>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</si>
  <si>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</si>
  <si>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</si>
  <si>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</si>
  <si>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</si>
  <si>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</si>
  <si>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</si>
  <si>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</si>
  <si>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</si>
  <si>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</si>
  <si>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</si>
  <si>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</si>
  <si>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</si>
  <si>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</si>
  <si>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</si>
  <si>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</si>
  <si>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</si>
  <si>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</si>
  <si>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</si>
  <si>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</si>
  <si>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</si>
  <si>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</si>
  <si>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</si>
  <si>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</si>
  <si>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</si>
  <si>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</si>
  <si>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</si>
  <si>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</si>
  <si>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</si>
  <si>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</si>
  <si>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</si>
  <si>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</si>
  <si>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</si>
  <si>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</si>
  <si>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</si>
  <si>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</si>
  <si>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</si>
  <si>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</si>
  <si>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</si>
  <si>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</si>
  <si>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</si>
  <si>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</si>
  <si>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</si>
  <si>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</si>
  <si>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</si>
  <si>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</si>
  <si>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</si>
  <si>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</si>
  <si>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</si>
  <si>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</si>
  <si>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</si>
  <si>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</si>
  <si>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</si>
  <si>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</si>
  <si>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</si>
  <si>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</si>
  <si>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</si>
  <si>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</si>
  <si>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</si>
  <si>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</si>
  <si>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</si>
  <si>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</si>
  <si>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</si>
  <si>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</si>
  <si>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</si>
  <si>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</si>
  <si>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</si>
  <si>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</si>
  <si>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</si>
  <si>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</si>
  <si>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</si>
  <si>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</si>
  <si>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</si>
  <si>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</si>
  <si>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</si>
  <si>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</si>
  <si>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</si>
  <si>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</si>
  <si>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</si>
  <si>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</si>
  <si>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</si>
  <si>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</si>
  <si>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</si>
  <si>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</si>
  <si>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</si>
  <si>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</si>
  <si>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</si>
  <si>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</si>
  <si>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</si>
  <si>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</si>
  <si>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</si>
  <si>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</si>
  <si>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</si>
  <si>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</si>
  <si>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</si>
  <si>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</si>
  <si>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</si>
  <si>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</si>
  <si>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</si>
  <si>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</si>
  <si>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</si>
  <si>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</si>
  <si>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</si>
  <si>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</si>
  <si>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</si>
  <si>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</si>
  <si>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</si>
  <si>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</si>
  <si>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</si>
  <si>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</si>
  <si>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</si>
  <si>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</si>
  <si>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</si>
  <si>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</si>
  <si>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</si>
  <si>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</si>
  <si>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</si>
  <si>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</si>
  <si>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</si>
  <si>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</si>
  <si>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</si>
  <si>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</si>
  <si>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</si>
  <si>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</si>
  <si>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</si>
  <si>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</si>
  <si>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</si>
  <si>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</si>
  <si>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</si>
  <si>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</si>
  <si>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</si>
  <si>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</si>
  <si>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</si>
  <si>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</si>
  <si>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</si>
  <si>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</si>
  <si>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</si>
  <si>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</si>
  <si>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</si>
  <si>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</si>
  <si>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</si>
  <si>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</si>
  <si>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</si>
  <si>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</si>
  <si>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</si>
  <si>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</si>
  <si>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</si>
  <si>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</si>
  <si>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</si>
  <si>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</si>
  <si>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</si>
  <si>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</si>
  <si>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</si>
  <si>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</si>
  <si>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</si>
  <si>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</si>
  <si>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</si>
  <si>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</si>
  <si>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</si>
  <si>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</si>
  <si>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</si>
  <si>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</si>
  <si>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</si>
  <si>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</si>
  <si>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</si>
  <si>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</si>
  <si>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</si>
  <si>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</si>
  <si>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</si>
  <si>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</si>
  <si>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</si>
  <si>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</si>
  <si>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</si>
  <si>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</si>
  <si>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</si>
  <si>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</si>
  <si>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</si>
  <si>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</si>
  <si>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</si>
  <si>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</si>
  <si>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</si>
  <si>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</si>
  <si>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</si>
  <si>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</si>
  <si>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</si>
  <si>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</si>
  <si>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</si>
  <si>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</si>
  <si>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</si>
  <si>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</si>
  <si>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</si>
  <si>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</si>
  <si>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</si>
  <si>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</si>
  <si>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</si>
  <si>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</si>
  <si>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</si>
  <si>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</si>
  <si>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</si>
  <si>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</si>
  <si>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</si>
  <si>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</si>
  <si>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</si>
  <si>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</si>
  <si>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</si>
  <si>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</si>
  <si>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</si>
  <si>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</si>
  <si>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</si>
  <si>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</si>
  <si>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</si>
  <si>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</si>
  <si>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</si>
  <si>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</si>
  <si>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</si>
  <si>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</si>
  <si>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</si>
  <si>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</si>
  <si>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</si>
  <si>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</si>
  <si>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</si>
  <si>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</si>
  <si>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</si>
  <si>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</si>
  <si>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</si>
  <si>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</si>
  <si>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</si>
  <si>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</si>
  <si>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</si>
  <si>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</si>
  <si>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</si>
  <si>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</si>
  <si>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</si>
  <si>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</si>
  <si>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</si>
  <si>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</si>
  <si>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</si>
  <si>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</si>
  <si>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</si>
  <si>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</si>
  <si>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</si>
  <si>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</si>
  <si>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</si>
  <si>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</si>
  <si>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</si>
  <si>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</si>
  <si>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</si>
  <si>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</si>
  <si>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</si>
  <si>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</si>
  <si>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</si>
  <si>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</si>
  <si>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</si>
  <si>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</si>
  <si>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</si>
  <si>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</si>
  <si>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</si>
  <si>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</si>
  <si>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</si>
  <si>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</si>
  <si>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</si>
  <si>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</si>
  <si>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</si>
  <si>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</si>
  <si>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</si>
  <si>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</si>
  <si>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</si>
  <si>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</si>
  <si>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</si>
  <si>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</si>
  <si>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</si>
  <si>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</si>
  <si>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</si>
  <si>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</si>
  <si>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</si>
  <si>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</si>
  <si>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</si>
  <si>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</si>
  <si>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</si>
  <si>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</si>
  <si>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</si>
  <si>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</si>
  <si>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</si>
  <si>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</si>
  <si>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</si>
  <si>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</si>
  <si>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</si>
  <si>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</si>
  <si>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</si>
  <si>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</si>
  <si>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</si>
  <si>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</si>
  <si>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</si>
  <si>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</si>
  <si>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</si>
  <si>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</si>
  <si>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</si>
  <si>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</si>
  <si>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</si>
  <si>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</si>
  <si>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</si>
  <si>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</si>
  <si>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</si>
  <si>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</si>
  <si>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</si>
  <si>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</si>
  <si>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</si>
  <si>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</si>
  <si>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</si>
  <si>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</si>
  <si>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</si>
  <si>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</si>
  <si>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</si>
  <si>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</si>
  <si>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</si>
  <si>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</si>
  <si>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</si>
  <si>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</si>
  <si>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</si>
  <si>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</si>
  <si>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</si>
  <si>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</si>
  <si>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</si>
  <si>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</si>
  <si>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</si>
  <si>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</si>
  <si>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</si>
  <si>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</si>
  <si>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</si>
  <si>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</si>
  <si>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</si>
  <si>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</si>
  <si>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</si>
  <si>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</si>
  <si>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</si>
  <si>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</si>
  <si>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</si>
  <si>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</si>
  <si>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</si>
  <si>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</si>
  <si>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</si>
  <si>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</si>
  <si>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</si>
  <si>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</si>
  <si>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</si>
  <si>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</si>
  <si>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</si>
  <si>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</si>
  <si>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</si>
  <si>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</si>
  <si>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</si>
  <si>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</si>
  <si>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</si>
  <si>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</si>
  <si>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</si>
  <si>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</si>
  <si>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</si>
  <si>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</si>
  <si>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</si>
  <si>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</si>
  <si>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</si>
  <si>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</si>
  <si>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</si>
  <si>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</si>
  <si>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</si>
  <si>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</si>
  <si>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</si>
  <si>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</si>
  <si>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</si>
  <si>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</si>
  <si>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</si>
  <si>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</si>
  <si>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</si>
  <si>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</si>
  <si>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</si>
  <si>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</si>
  <si>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</si>
  <si>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</si>
  <si>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</si>
  <si>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</si>
  <si>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</si>
  <si>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</si>
  <si>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</si>
  <si>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</si>
  <si>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</si>
  <si>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</si>
  <si>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</si>
  <si>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</si>
  <si>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</si>
  <si>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</si>
  <si>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</si>
  <si>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</si>
  <si>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</si>
  <si>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</si>
  <si>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</si>
  <si>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</si>
  <si>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</si>
  <si>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</si>
  <si>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</si>
  <si>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</si>
  <si>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</si>
  <si>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</si>
  <si>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</si>
  <si>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</si>
  <si>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</si>
  <si>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</si>
  <si>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</si>
  <si>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</si>
  <si>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</si>
  <si>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</si>
  <si>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</si>
  <si>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</si>
  <si>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</si>
  <si>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</si>
  <si>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</si>
  <si>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</si>
  <si>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</si>
  <si>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</si>
  <si>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</si>
  <si>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</si>
  <si>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</si>
  <si>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</si>
  <si>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</si>
  <si>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</si>
  <si>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</si>
  <si>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</si>
  <si>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</si>
  <si>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</si>
  <si>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</si>
  <si>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</si>
  <si>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</si>
  <si>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</si>
  <si>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</si>
  <si>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</si>
  <si>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</si>
  <si>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</si>
  <si>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</si>
  <si>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</si>
  <si>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</si>
  <si>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</si>
  <si>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</si>
  <si>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</si>
  <si>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</si>
  <si>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</si>
  <si>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</si>
  <si>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</si>
  <si>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</si>
  <si>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</si>
  <si>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</si>
  <si>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</si>
  <si>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</si>
  <si>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</si>
  <si>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</si>
  <si>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</si>
  <si>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</si>
  <si>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</si>
  <si>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</si>
  <si>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</si>
  <si>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</si>
  <si>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</si>
  <si>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</si>
  <si>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</si>
  <si>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</si>
  <si>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</si>
  <si>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</si>
  <si>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</si>
  <si>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</si>
  <si>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</si>
  <si>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</si>
  <si>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</si>
  <si>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</si>
  <si>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</si>
  <si>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</si>
  <si>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</si>
  <si>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</si>
  <si>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</si>
  <si>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</si>
  <si>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</si>
  <si>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</si>
  <si>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</si>
  <si>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</si>
  <si>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</si>
  <si>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</si>
  <si>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</si>
  <si>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</si>
  <si>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</si>
  <si>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</si>
  <si>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</si>
  <si>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</si>
  <si>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</si>
  <si>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</si>
  <si>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</si>
  <si>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</si>
  <si>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</si>
  <si>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</si>
  <si>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</si>
  <si>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</si>
  <si>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</si>
  <si>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</si>
  <si>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</si>
  <si>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</si>
  <si>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</si>
  <si>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</si>
  <si>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</si>
  <si>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</si>
  <si>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</si>
  <si>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</si>
  <si>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</si>
  <si>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</si>
  <si>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</si>
  <si>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</si>
  <si>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</si>
  <si>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</si>
  <si>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</si>
  <si>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</si>
  <si>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</si>
  <si>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</si>
  <si>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</si>
  <si>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</si>
  <si>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</si>
  <si>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</si>
  <si>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</si>
  <si>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</si>
  <si>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</si>
  <si>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</si>
  <si>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</si>
  <si>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</si>
  <si>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r>
      <rPr>
        <sz val="10"/>
        <color theme="9" tint="-0.249977111117893"/>
        <rFont val="宋体"/>
        <family val="3"/>
        <charset val="134"/>
      </rPr>
      <t>景文东路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105</t>
    </r>
    <phoneticPr fontId="6" type="noConversion"/>
  </si>
  <si>
    <t>北京市</t>
  </si>
  <si>
    <t>是</t>
  </si>
  <si>
    <t>地上</t>
  </si>
  <si>
    <t>否</t>
  </si>
  <si>
    <t>商业项目</t>
  </si>
  <si>
    <t>现房</t>
  </si>
  <si>
    <t>商业</t>
    <phoneticPr fontId="7" type="noConversion"/>
  </si>
  <si>
    <t>成新度</t>
  </si>
  <si>
    <t>建成年代</t>
    <phoneticPr fontId="3" type="noConversion"/>
  </si>
  <si>
    <t>直线</t>
    <phoneticPr fontId="3" type="noConversion"/>
  </si>
  <si>
    <t>网上查询</t>
    <phoneticPr fontId="3" type="noConversion"/>
  </si>
  <si>
    <t>按钢混计算</t>
    <phoneticPr fontId="3" type="noConversion"/>
  </si>
  <si>
    <t>收益法 (元)</t>
  </si>
  <si>
    <t>未包含在土地购买价格中</t>
  </si>
  <si>
    <t>已包含在土地取得成本中</t>
  </si>
  <si>
    <t>押一</t>
  </si>
  <si>
    <t>每年房租</t>
    <phoneticPr fontId="134" type="noConversion"/>
  </si>
  <si>
    <t>Ⅷ-昌1</t>
  </si>
  <si>
    <t>建筑面积</t>
    <phoneticPr fontId="134" type="noConversion"/>
  </si>
  <si>
    <t>1层</t>
  </si>
  <si>
    <t>1层</t>
    <phoneticPr fontId="134" type="noConversion"/>
  </si>
  <si>
    <t>不临65条商业街</t>
  </si>
  <si>
    <t>与级别开发程度一致</t>
  </si>
  <si>
    <t>中心城区以外</t>
  </si>
  <si>
    <t>楼层修正</t>
  </si>
  <si>
    <t>一般</t>
  </si>
  <si>
    <t>较好</t>
  </si>
  <si>
    <t>较差</t>
  </si>
  <si>
    <t>通路</t>
  </si>
  <si>
    <t>通电</t>
  </si>
  <si>
    <t>通讯</t>
  </si>
  <si>
    <t>通上水</t>
  </si>
  <si>
    <t>通下水</t>
  </si>
  <si>
    <t>平整</t>
  </si>
  <si>
    <t>楼面单价</t>
  </si>
  <si>
    <t>自定义</t>
  </si>
  <si>
    <t>钢混</t>
  </si>
  <si>
    <t>非生产用房</t>
  </si>
  <si>
    <t>日租金</t>
    <phoneticPr fontId="134" type="noConversion"/>
  </si>
  <si>
    <t>含税租金</t>
    <phoneticPr fontId="134" type="noConversion"/>
  </si>
  <si>
    <t>物业</t>
    <phoneticPr fontId="134" type="noConversion"/>
  </si>
  <si>
    <t>案例</t>
    <phoneticPr fontId="134" type="noConversion"/>
  </si>
  <si>
    <r>
      <t>4元</t>
    </r>
    <r>
      <rPr>
        <sz val="11"/>
        <color theme="1"/>
        <rFont val="宋体"/>
        <family val="3"/>
        <charset val="134"/>
        <scheme val="minor"/>
      </rPr>
      <t>/月/平方米</t>
    </r>
    <phoneticPr fontId="134" type="noConversion"/>
  </si>
  <si>
    <t>毛坯</t>
    <phoneticPr fontId="134" type="noConversion"/>
  </si>
  <si>
    <t>系数</t>
    <phoneticPr fontId="3" type="noConversion"/>
  </si>
  <si>
    <t>修正</t>
    <phoneticPr fontId="3" type="noConversion"/>
  </si>
  <si>
    <r>
      <t>1</t>
    </r>
    <r>
      <rPr>
        <sz val="11"/>
        <rFont val="宋体"/>
        <family val="3"/>
        <charset val="134"/>
      </rPr>
      <t>层</t>
    </r>
    <phoneticPr fontId="3" type="noConversion"/>
  </si>
  <si>
    <r>
      <t>2</t>
    </r>
    <r>
      <rPr>
        <sz val="11"/>
        <rFont val="宋体"/>
        <family val="3"/>
        <charset val="134"/>
      </rPr>
      <t>层</t>
    </r>
    <phoneticPr fontId="3" type="noConversion"/>
  </si>
  <si>
    <r>
      <t>1-2</t>
    </r>
    <r>
      <rPr>
        <sz val="11"/>
        <rFont val="宋体"/>
        <family val="3"/>
        <charset val="134"/>
      </rPr>
      <t>层</t>
    </r>
    <phoneticPr fontId="3" type="noConversion"/>
  </si>
  <si>
    <r>
      <t>1-2</t>
    </r>
    <r>
      <rPr>
        <sz val="11"/>
        <rFont val="宋体"/>
        <family val="3"/>
        <charset val="134"/>
      </rPr>
      <t>层（</t>
    </r>
    <r>
      <rPr>
        <sz val="11"/>
        <rFont val="Arial"/>
        <family val="2"/>
      </rPr>
      <t>1</t>
    </r>
    <r>
      <rPr>
        <sz val="11"/>
        <rFont val="宋体"/>
        <family val="3"/>
        <charset val="134"/>
      </rPr>
      <t>层面积小）</t>
    </r>
    <phoneticPr fontId="3" type="noConversion"/>
  </si>
  <si>
    <t>单套模式</t>
  </si>
  <si>
    <t>租金</t>
  </si>
  <si>
    <t>售价</t>
  </si>
  <si>
    <t>正常</t>
  </si>
  <si>
    <t>商业</t>
    <phoneticPr fontId="30"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</si>
  <si>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</si>
  <si>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</si>
  <si>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</si>
  <si>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0" type="noConversion"/>
  </si>
  <si>
    <t>挂牌价</t>
  </si>
  <si>
    <t>挂牌价</t>
    <phoneticPr fontId="30" type="noConversion"/>
  </si>
  <si>
    <t>双面临街</t>
    <phoneticPr fontId="3" type="noConversion"/>
  </si>
  <si>
    <t>单面临街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</si>
  <si>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</si>
  <si>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</si>
  <si>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</si>
  <si>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</si>
  <si>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</si>
  <si>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</si>
  <si>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</si>
  <si>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</si>
  <si>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</si>
  <si>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1-2</t>
    </r>
    <r>
      <rPr>
        <sz val="11"/>
        <color indexed="8"/>
        <rFont val="宋体"/>
        <family val="3"/>
        <charset val="134"/>
      </rPr>
      <t>层</t>
    </r>
    <phoneticPr fontId="3" type="noConversion"/>
  </si>
  <si>
    <r>
      <t>1</t>
    </r>
    <r>
      <rPr>
        <sz val="11"/>
        <color indexed="8"/>
        <rFont val="宋体"/>
        <family val="3"/>
        <charset val="134"/>
      </rPr>
      <t>层</t>
    </r>
    <phoneticPr fontId="30" type="noConversion"/>
  </si>
  <si>
    <t>商业街</t>
  </si>
  <si>
    <t>独立商业</t>
    <phoneticPr fontId="3" type="noConversion"/>
  </si>
  <si>
    <t>住宅配套</t>
  </si>
  <si>
    <t>钢混</t>
    <phoneticPr fontId="3" type="noConversion"/>
  </si>
  <si>
    <t>砖混</t>
    <phoneticPr fontId="3" type="noConversion"/>
  </si>
  <si>
    <t>七通</t>
    <phoneticPr fontId="3" type="noConversion"/>
  </si>
  <si>
    <t>六通</t>
    <phoneticPr fontId="3" type="noConversion"/>
  </si>
  <si>
    <t>五通</t>
    <phoneticPr fontId="3" type="noConversion"/>
  </si>
  <si>
    <t>四通</t>
    <phoneticPr fontId="3" type="noConversion"/>
  </si>
  <si>
    <t>可餐饮</t>
    <phoneticPr fontId="3" type="noConversion"/>
  </si>
  <si>
    <t>不可餐饮</t>
    <phoneticPr fontId="3" type="noConversion"/>
  </si>
  <si>
    <t>超高层高</t>
    <phoneticPr fontId="3" type="noConversion"/>
  </si>
  <si>
    <t>正常层高</t>
    <phoneticPr fontId="3" type="noConversion"/>
  </si>
  <si>
    <t>精装修</t>
    <phoneticPr fontId="3" type="noConversion"/>
  </si>
  <si>
    <t>普通装修</t>
    <phoneticPr fontId="3" type="noConversion"/>
  </si>
  <si>
    <t>简单装修</t>
    <phoneticPr fontId="3" type="noConversion"/>
  </si>
  <si>
    <t>毛坯</t>
    <phoneticPr fontId="3" type="noConversion"/>
  </si>
  <si>
    <t>新新公寓</t>
    <phoneticPr fontId="134" type="noConversion"/>
  </si>
  <si>
    <t>每层面积一样</t>
    <phoneticPr fontId="134" type="noConversion"/>
  </si>
  <si>
    <t>总价</t>
    <phoneticPr fontId="134" type="noConversion"/>
  </si>
  <si>
    <t>不到</t>
    <phoneticPr fontId="134" type="noConversion"/>
  </si>
  <si>
    <t>楼层</t>
    <phoneticPr fontId="134" type="noConversion"/>
  </si>
  <si>
    <t>1-3层</t>
    <phoneticPr fontId="134" type="noConversion"/>
  </si>
  <si>
    <t>无燃气不能餐饮</t>
    <phoneticPr fontId="134" type="noConversion"/>
  </si>
  <si>
    <r>
      <t>层高2</t>
    </r>
    <r>
      <rPr>
        <sz val="11"/>
        <color theme="1"/>
        <rFont val="宋体"/>
        <family val="3"/>
        <charset val="134"/>
        <scheme val="minor"/>
      </rPr>
      <t>.9-3.1</t>
    </r>
    <phoneticPr fontId="134" type="noConversion"/>
  </si>
  <si>
    <t>之前租给美容院，年租金30多万</t>
    <phoneticPr fontId="134" type="noConversion"/>
  </si>
  <si>
    <t>中介说</t>
    <phoneticPr fontId="134" type="noConversion"/>
  </si>
  <si>
    <t>1-2层能租到5.5</t>
    <phoneticPr fontId="134" type="noConversion"/>
  </si>
  <si>
    <t>现在无租户</t>
    <phoneticPr fontId="134" type="noConversion"/>
  </si>
  <si>
    <t>有装修</t>
    <phoneticPr fontId="134" type="noConversion"/>
  </si>
  <si>
    <t>案例1</t>
    <phoneticPr fontId="134" type="noConversion"/>
  </si>
  <si>
    <t>国泰百货对面</t>
    <phoneticPr fontId="134" type="noConversion"/>
  </si>
  <si>
    <r>
      <t>1</t>
    </r>
    <r>
      <rPr>
        <sz val="11"/>
        <color theme="1"/>
        <rFont val="宋体"/>
        <family val="3"/>
        <charset val="134"/>
        <scheme val="minor"/>
      </rPr>
      <t>-2层</t>
    </r>
    <phoneticPr fontId="134" type="noConversion"/>
  </si>
  <si>
    <r>
      <t>1层</t>
    </r>
    <r>
      <rPr>
        <sz val="11"/>
        <color theme="1"/>
        <rFont val="宋体"/>
        <family val="3"/>
        <charset val="134"/>
        <scheme val="minor"/>
      </rPr>
      <t>70多平</t>
    </r>
    <phoneticPr fontId="134" type="noConversion"/>
  </si>
  <si>
    <t>无燃气，可做轻食</t>
    <phoneticPr fontId="134" type="noConversion"/>
  </si>
  <si>
    <t>层高4.5</t>
    <phoneticPr fontId="134" type="noConversion"/>
  </si>
  <si>
    <t>案例2</t>
    <phoneticPr fontId="134" type="noConversion"/>
  </si>
  <si>
    <t>永安里</t>
    <phoneticPr fontId="134" type="noConversion"/>
  </si>
  <si>
    <t>不可餐饮</t>
    <phoneticPr fontId="134" type="noConversion"/>
  </si>
  <si>
    <t>住宅底商</t>
    <phoneticPr fontId="134" type="noConversion"/>
  </si>
  <si>
    <t>年租金</t>
    <phoneticPr fontId="134" type="noConversion"/>
  </si>
  <si>
    <t>快到期了</t>
    <phoneticPr fontId="134" type="noConversion"/>
  </si>
  <si>
    <t>层高</t>
    <phoneticPr fontId="134" type="noConversion"/>
  </si>
  <si>
    <t>8米</t>
    <phoneticPr fontId="134" type="noConversion"/>
  </si>
  <si>
    <t>案例3</t>
    <phoneticPr fontId="134" type="noConversion"/>
  </si>
  <si>
    <t>南大街住宅底商</t>
    <phoneticPr fontId="134" type="noConversion"/>
  </si>
  <si>
    <t>层高正常</t>
    <phoneticPr fontId="134" type="noConversion"/>
  </si>
  <si>
    <t>刚续5年租约</t>
    <phoneticPr fontId="134" type="noConversion"/>
  </si>
  <si>
    <t>独立商业</t>
  </si>
  <si>
    <t>1-2层</t>
  </si>
  <si>
    <t>面积</t>
    <phoneticPr fontId="3" type="noConversion"/>
  </si>
  <si>
    <t>占比</t>
    <phoneticPr fontId="3" type="noConversion"/>
  </si>
  <si>
    <r>
      <t>2</t>
    </r>
    <r>
      <rPr>
        <sz val="11"/>
        <color indexed="8"/>
        <rFont val="宋体"/>
        <family val="3"/>
        <charset val="134"/>
      </rPr>
      <t>层</t>
    </r>
    <phoneticPr fontId="3" type="noConversion"/>
  </si>
  <si>
    <t>1-2层（1层面积小）</t>
  </si>
  <si>
    <t>永安里</t>
    <phoneticPr fontId="3" type="noConversion"/>
  </si>
  <si>
    <t>鼓楼西街商铺</t>
  </si>
  <si>
    <r>
      <t>10-20</t>
    </r>
    <r>
      <rPr>
        <sz val="11"/>
        <color indexed="8"/>
        <rFont val="宋体"/>
        <family val="3"/>
        <charset val="134"/>
      </rPr>
      <t>（含）</t>
    </r>
    <phoneticPr fontId="30" type="noConversion"/>
  </si>
  <si>
    <t>较大</t>
  </si>
  <si>
    <t>较小</t>
  </si>
  <si>
    <t>不可餐饮</t>
  </si>
  <si>
    <t>可餐饮</t>
  </si>
  <si>
    <r>
      <t>3</t>
    </r>
    <r>
      <rPr>
        <sz val="11"/>
        <color indexed="10"/>
        <rFont val="宋体"/>
        <family val="3"/>
        <charset val="134"/>
      </rPr>
      <t>层</t>
    </r>
    <phoneticPr fontId="134" type="noConversion"/>
  </si>
  <si>
    <r>
      <t>1-3</t>
    </r>
    <r>
      <rPr>
        <sz val="11"/>
        <rFont val="宋体"/>
        <family val="3"/>
        <charset val="134"/>
      </rPr>
      <t>层</t>
    </r>
    <r>
      <rPr>
        <sz val="11"/>
        <rFont val="Arial"/>
        <family val="2"/>
      </rPr>
      <t>%</t>
    </r>
    <phoneticPr fontId="134" type="noConversion"/>
  </si>
  <si>
    <r>
      <t>1-3</t>
    </r>
    <r>
      <rPr>
        <sz val="11"/>
        <color indexed="8"/>
        <rFont val="宋体"/>
        <family val="3"/>
        <charset val="134"/>
      </rPr>
      <t>层</t>
    </r>
    <phoneticPr fontId="134" type="noConversion"/>
  </si>
  <si>
    <t>租金</t>
    <phoneticPr fontId="3" type="noConversion"/>
  </si>
  <si>
    <r>
      <t>1-2</t>
    </r>
    <r>
      <rPr>
        <sz val="10"/>
        <color indexed="8"/>
        <rFont val="宋体"/>
        <family val="3"/>
        <charset val="134"/>
      </rPr>
      <t>层</t>
    </r>
    <phoneticPr fontId="3" type="noConversion"/>
  </si>
  <si>
    <t>南邵</t>
    <phoneticPr fontId="3" type="noConversion"/>
  </si>
  <si>
    <t>比较法-商业</t>
  </si>
  <si>
    <r>
      <t>1</t>
    </r>
    <r>
      <rPr>
        <sz val="10"/>
        <color indexed="8"/>
        <rFont val="宋体"/>
        <family val="3"/>
        <charset val="134"/>
      </rPr>
      <t>层</t>
    </r>
    <phoneticPr fontId="3" type="noConversion"/>
  </si>
  <si>
    <t>1层面积</t>
    <phoneticPr fontId="134" type="noConversion"/>
  </si>
  <si>
    <t>2层面积</t>
    <phoneticPr fontId="134" type="noConversion"/>
  </si>
  <si>
    <t>设定1层2层面积相同</t>
    <phoneticPr fontId="134" type="noConversion"/>
  </si>
  <si>
    <t>租约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</si>
</sst>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13" fillId="5" borderId="1" xfId="0" applyFont="1" applyFill="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177" fontId="113" fillId="0" borderId="1" xfId="1" applyNumberFormat="1" applyFont="1" applyBorder="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58" fontId="51" fillId="0" borderId="44" xfId="10" applyNumberFormat="1"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58" fontId="95" fillId="0" borderId="0" xfId="0" applyNumberFormat="1" applyFont="1">
      <alignment vertical="center"/>
    </xf>
    <xf numFmtId="0" fontId="208"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208" fillId="0" borderId="23" xfId="19" applyFont="1" applyBorder="1" applyAlignment="1" applyProtection="1">
      <alignment horizontal="center" vertical="center" wrapText="1"/>
      <protection locked="0"/>
    </xf>
    <xf numFmtId="0" fontId="166" fillId="0" borderId="24" xfId="19" applyFont="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3" xfId="19" xr:uid="{60B502C4-BCF8-401F-9AAF-4D89158F5B9F}"/>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12</xdr:row>
      <xdr:rowOff>83820</xdr:rowOff>
    </xdr:from>
    <xdr:to>
      <xdr:col>13</xdr:col>
      <xdr:colOff>336155</xdr:colOff>
      <xdr:row>49</xdr:row>
      <xdr:rowOff>31546</xdr:rowOff>
    </xdr:to>
    <xdr:pic>
      <xdr:nvPicPr>
        <xdr:cNvPr id="2" name="图片 1">
          <a:extLst>
            <a:ext uri="{FF2B5EF4-FFF2-40B4-BE49-F238E27FC236}">
              <a16:creationId xmlns:a16="http://schemas.microsoft.com/office/drawing/2014/main" id="{B1F015B6-2A2F-466D-92F2-9F3A8D8C38F5}"/>
            </a:ext>
          </a:extLst>
        </xdr:cNvPr>
        <xdr:cNvPicPr>
          <a:picLocks noChangeAspect="1"/>
        </xdr:cNvPicPr>
      </xdr:nvPicPr>
      <xdr:blipFill>
        <a:blip xmlns:r="http://schemas.openxmlformats.org/officeDocument/2006/relationships" r:embed="rId1"/>
        <a:stretch>
          <a:fillRect/>
        </a:stretch>
      </xdr:blipFill>
      <xdr:spPr>
        <a:xfrm>
          <a:off x="22860" y="2278380"/>
          <a:ext cx="8238095" cy="6714286"/>
        </a:xfrm>
        <a:prstGeom prst="rect">
          <a:avLst/>
        </a:prstGeom>
      </xdr:spPr>
    </xdr:pic>
    <xdr:clientData/>
  </xdr:twoCellAnchor>
  <xdr:twoCellAnchor editAs="oneCell">
    <xdr:from>
      <xdr:col>0</xdr:col>
      <xdr:colOff>137160</xdr:colOff>
      <xdr:row>52</xdr:row>
      <xdr:rowOff>22860</xdr:rowOff>
    </xdr:from>
    <xdr:to>
      <xdr:col>12</xdr:col>
      <xdr:colOff>498679</xdr:colOff>
      <xdr:row>84</xdr:row>
      <xdr:rowOff>58056</xdr:rowOff>
    </xdr:to>
    <xdr:pic>
      <xdr:nvPicPr>
        <xdr:cNvPr id="3" name="图片 2">
          <a:extLst>
            <a:ext uri="{FF2B5EF4-FFF2-40B4-BE49-F238E27FC236}">
              <a16:creationId xmlns:a16="http://schemas.microsoft.com/office/drawing/2014/main" id="{C736A6CB-8C8A-4252-9375-CA6B2E42308E}"/>
            </a:ext>
          </a:extLst>
        </xdr:cNvPr>
        <xdr:cNvPicPr>
          <a:picLocks noChangeAspect="1"/>
        </xdr:cNvPicPr>
      </xdr:nvPicPr>
      <xdr:blipFill>
        <a:blip xmlns:r="http://schemas.openxmlformats.org/officeDocument/2006/relationships" r:embed="rId2"/>
        <a:stretch>
          <a:fillRect/>
        </a:stretch>
      </xdr:blipFill>
      <xdr:spPr>
        <a:xfrm>
          <a:off x="137160" y="9532620"/>
          <a:ext cx="7676719" cy="5887356"/>
        </a:xfrm>
        <a:prstGeom prst="rect">
          <a:avLst/>
        </a:prstGeom>
      </xdr:spPr>
    </xdr:pic>
    <xdr:clientData/>
  </xdr:twoCellAnchor>
  <xdr:twoCellAnchor editAs="oneCell">
    <xdr:from>
      <xdr:col>6</xdr:col>
      <xdr:colOff>434340</xdr:colOff>
      <xdr:row>0</xdr:row>
      <xdr:rowOff>7620</xdr:rowOff>
    </xdr:from>
    <xdr:to>
      <xdr:col>12</xdr:col>
      <xdr:colOff>331109</xdr:colOff>
      <xdr:row>16</xdr:row>
      <xdr:rowOff>151690</xdr:rowOff>
    </xdr:to>
    <xdr:pic>
      <xdr:nvPicPr>
        <xdr:cNvPr id="4" name="图片 3">
          <a:extLst>
            <a:ext uri="{FF2B5EF4-FFF2-40B4-BE49-F238E27FC236}">
              <a16:creationId xmlns:a16="http://schemas.microsoft.com/office/drawing/2014/main" id="{F85672AC-B76D-48DB-B9E6-42459CD66D03}"/>
            </a:ext>
          </a:extLst>
        </xdr:cNvPr>
        <xdr:cNvPicPr>
          <a:picLocks noChangeAspect="1"/>
        </xdr:cNvPicPr>
      </xdr:nvPicPr>
      <xdr:blipFill>
        <a:blip xmlns:r="http://schemas.openxmlformats.org/officeDocument/2006/relationships" r:embed="rId3"/>
        <a:stretch>
          <a:fillRect/>
        </a:stretch>
      </xdr:blipFill>
      <xdr:spPr>
        <a:xfrm>
          <a:off x="4091940" y="7620"/>
          <a:ext cx="3554369" cy="3070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365760</xdr:colOff>
      <xdr:row>26</xdr:row>
      <xdr:rowOff>160020</xdr:rowOff>
    </xdr:from>
    <xdr:to>
      <xdr:col>27</xdr:col>
      <xdr:colOff>487717</xdr:colOff>
      <xdr:row>56</xdr:row>
      <xdr:rowOff>166683</xdr:rowOff>
    </xdr:to>
    <xdr:pic>
      <xdr:nvPicPr>
        <xdr:cNvPr id="2" name="图片 1">
          <a:extLst>
            <a:ext uri="{FF2B5EF4-FFF2-40B4-BE49-F238E27FC236}">
              <a16:creationId xmlns:a16="http://schemas.microsoft.com/office/drawing/2014/main" id="{87EE7199-7D0A-0AEA-4EEE-90FE47690B23}"/>
            </a:ext>
          </a:extLst>
        </xdr:cNvPr>
        <xdr:cNvPicPr>
          <a:picLocks noChangeAspect="1"/>
        </xdr:cNvPicPr>
      </xdr:nvPicPr>
      <xdr:blipFill>
        <a:blip xmlns:r="http://schemas.openxmlformats.org/officeDocument/2006/relationships" r:embed="rId1"/>
        <a:stretch>
          <a:fillRect/>
        </a:stretch>
      </xdr:blipFill>
      <xdr:spPr>
        <a:xfrm>
          <a:off x="8336280" y="4914900"/>
          <a:ext cx="8656357" cy="5493063"/>
        </a:xfrm>
        <a:prstGeom prst="rect">
          <a:avLst/>
        </a:prstGeom>
      </xdr:spPr>
    </xdr:pic>
    <xdr:clientData/>
  </xdr:twoCellAnchor>
  <xdr:twoCellAnchor editAs="oneCell">
    <xdr:from>
      <xdr:col>12</xdr:col>
      <xdr:colOff>582554</xdr:colOff>
      <xdr:row>0</xdr:row>
      <xdr:rowOff>0</xdr:rowOff>
    </xdr:from>
    <xdr:to>
      <xdr:col>21</xdr:col>
      <xdr:colOff>342899</xdr:colOff>
      <xdr:row>23</xdr:row>
      <xdr:rowOff>98966</xdr:rowOff>
    </xdr:to>
    <xdr:pic>
      <xdr:nvPicPr>
        <xdr:cNvPr id="3" name="图片 2">
          <a:extLst>
            <a:ext uri="{FF2B5EF4-FFF2-40B4-BE49-F238E27FC236}">
              <a16:creationId xmlns:a16="http://schemas.microsoft.com/office/drawing/2014/main" id="{5E54F8B9-92FC-67AA-5BD3-3A833497E192}"/>
            </a:ext>
          </a:extLst>
        </xdr:cNvPr>
        <xdr:cNvPicPr>
          <a:picLocks noChangeAspect="1"/>
        </xdr:cNvPicPr>
      </xdr:nvPicPr>
      <xdr:blipFill>
        <a:blip xmlns:r="http://schemas.openxmlformats.org/officeDocument/2006/relationships" r:embed="rId2"/>
        <a:stretch>
          <a:fillRect/>
        </a:stretch>
      </xdr:blipFill>
      <xdr:spPr>
        <a:xfrm>
          <a:off x="7943474" y="0"/>
          <a:ext cx="5246745" cy="4305206"/>
        </a:xfrm>
        <a:prstGeom prst="rect">
          <a:avLst/>
        </a:prstGeom>
      </xdr:spPr>
    </xdr:pic>
    <xdr:clientData/>
  </xdr:twoCellAnchor>
  <xdr:twoCellAnchor editAs="oneCell">
    <xdr:from>
      <xdr:col>0</xdr:col>
      <xdr:colOff>68581</xdr:colOff>
      <xdr:row>8</xdr:row>
      <xdr:rowOff>137160</xdr:rowOff>
    </xdr:from>
    <xdr:to>
      <xdr:col>3</xdr:col>
      <xdr:colOff>528213</xdr:colOff>
      <xdr:row>21</xdr:row>
      <xdr:rowOff>102549</xdr:rowOff>
    </xdr:to>
    <xdr:pic>
      <xdr:nvPicPr>
        <xdr:cNvPr id="4" name="图片 3">
          <a:extLst>
            <a:ext uri="{FF2B5EF4-FFF2-40B4-BE49-F238E27FC236}">
              <a16:creationId xmlns:a16="http://schemas.microsoft.com/office/drawing/2014/main" id="{B6D59732-B6D9-4256-93C0-427B2C98A8F8}"/>
            </a:ext>
          </a:extLst>
        </xdr:cNvPr>
        <xdr:cNvPicPr>
          <a:picLocks noChangeAspect="1"/>
        </xdr:cNvPicPr>
      </xdr:nvPicPr>
      <xdr:blipFill>
        <a:blip xmlns:r="http://schemas.openxmlformats.org/officeDocument/2006/relationships" r:embed="rId3"/>
        <a:stretch>
          <a:fillRect/>
        </a:stretch>
      </xdr:blipFill>
      <xdr:spPr>
        <a:xfrm>
          <a:off x="68581" y="1600200"/>
          <a:ext cx="2334152" cy="2342829"/>
        </a:xfrm>
        <a:prstGeom prst="rect">
          <a:avLst/>
        </a:prstGeom>
      </xdr:spPr>
    </xdr:pic>
    <xdr:clientData/>
  </xdr:twoCellAnchor>
  <xdr:twoCellAnchor>
    <xdr:from>
      <xdr:col>1</xdr:col>
      <xdr:colOff>68580</xdr:colOff>
      <xdr:row>18</xdr:row>
      <xdr:rowOff>175260</xdr:rowOff>
    </xdr:from>
    <xdr:to>
      <xdr:col>1</xdr:col>
      <xdr:colOff>571500</xdr:colOff>
      <xdr:row>20</xdr:row>
      <xdr:rowOff>53340</xdr:rowOff>
    </xdr:to>
    <xdr:sp macro="" textlink="">
      <xdr:nvSpPr>
        <xdr:cNvPr id="6" name="矩形: 圆角 5">
          <a:extLst>
            <a:ext uri="{FF2B5EF4-FFF2-40B4-BE49-F238E27FC236}">
              <a16:creationId xmlns:a16="http://schemas.microsoft.com/office/drawing/2014/main" id="{15C1C626-5510-491F-B0BD-3DDAC69FF842}"/>
            </a:ext>
          </a:extLst>
        </xdr:cNvPr>
        <xdr:cNvSpPr/>
      </xdr:nvSpPr>
      <xdr:spPr>
        <a:xfrm>
          <a:off x="723900" y="3467100"/>
          <a:ext cx="502920" cy="2438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p>
      </xdr:txBody>
    </xdr:sp>
    <xdr:clientData/>
  </xdr:twoCellAnchor>
  <xdr:twoCellAnchor editAs="oneCell">
    <xdr:from>
      <xdr:col>0</xdr:col>
      <xdr:colOff>327660</xdr:colOff>
      <xdr:row>33</xdr:row>
      <xdr:rowOff>175260</xdr:rowOff>
    </xdr:from>
    <xdr:to>
      <xdr:col>11</xdr:col>
      <xdr:colOff>20397</xdr:colOff>
      <xdr:row>58</xdr:row>
      <xdr:rowOff>48489</xdr:rowOff>
    </xdr:to>
    <xdr:pic>
      <xdr:nvPicPr>
        <xdr:cNvPr id="7" name="图片 6">
          <a:extLst>
            <a:ext uri="{FF2B5EF4-FFF2-40B4-BE49-F238E27FC236}">
              <a16:creationId xmlns:a16="http://schemas.microsoft.com/office/drawing/2014/main" id="{7AF905FC-5908-14CB-1A9E-20FA611A3BEC}"/>
            </a:ext>
          </a:extLst>
        </xdr:cNvPr>
        <xdr:cNvPicPr>
          <a:picLocks noChangeAspect="1"/>
        </xdr:cNvPicPr>
      </xdr:nvPicPr>
      <xdr:blipFill>
        <a:blip xmlns:r="http://schemas.openxmlformats.org/officeDocument/2006/relationships" r:embed="rId4"/>
        <a:stretch>
          <a:fillRect/>
        </a:stretch>
      </xdr:blipFill>
      <xdr:spPr>
        <a:xfrm>
          <a:off x="327660" y="6210300"/>
          <a:ext cx="6444057" cy="4445229"/>
        </a:xfrm>
        <a:prstGeom prst="rect">
          <a:avLst/>
        </a:prstGeom>
      </xdr:spPr>
    </xdr:pic>
    <xdr:clientData/>
  </xdr:twoCellAnchor>
  <xdr:twoCellAnchor editAs="oneCell">
    <xdr:from>
      <xdr:col>0</xdr:col>
      <xdr:colOff>0</xdr:colOff>
      <xdr:row>50</xdr:row>
      <xdr:rowOff>99060</xdr:rowOff>
    </xdr:from>
    <xdr:to>
      <xdr:col>11</xdr:col>
      <xdr:colOff>266774</xdr:colOff>
      <xdr:row>78</xdr:row>
      <xdr:rowOff>54215</xdr:rowOff>
    </xdr:to>
    <xdr:pic>
      <xdr:nvPicPr>
        <xdr:cNvPr id="8" name="图片 7">
          <a:extLst>
            <a:ext uri="{FF2B5EF4-FFF2-40B4-BE49-F238E27FC236}">
              <a16:creationId xmlns:a16="http://schemas.microsoft.com/office/drawing/2014/main" id="{A941BEDE-E8C8-480F-B841-267ED8B25B7A}"/>
            </a:ext>
          </a:extLst>
        </xdr:cNvPr>
        <xdr:cNvPicPr>
          <a:picLocks noChangeAspect="1"/>
        </xdr:cNvPicPr>
      </xdr:nvPicPr>
      <xdr:blipFill>
        <a:blip xmlns:r="http://schemas.openxmlformats.org/officeDocument/2006/relationships" r:embed="rId5"/>
        <a:stretch>
          <a:fillRect/>
        </a:stretch>
      </xdr:blipFill>
      <xdr:spPr>
        <a:xfrm>
          <a:off x="0" y="9243060"/>
          <a:ext cx="7018094" cy="5075795"/>
        </a:xfrm>
        <a:prstGeom prst="rect">
          <a:avLst/>
        </a:prstGeom>
      </xdr:spPr>
    </xdr:pic>
    <xdr:clientData/>
  </xdr:twoCellAnchor>
  <xdr:twoCellAnchor editAs="oneCell">
    <xdr:from>
      <xdr:col>4</xdr:col>
      <xdr:colOff>53627</xdr:colOff>
      <xdr:row>11</xdr:row>
      <xdr:rowOff>83820</xdr:rowOff>
    </xdr:from>
    <xdr:to>
      <xdr:col>10</xdr:col>
      <xdr:colOff>260203</xdr:colOff>
      <xdr:row>31</xdr:row>
      <xdr:rowOff>166883</xdr:rowOff>
    </xdr:to>
    <xdr:pic>
      <xdr:nvPicPr>
        <xdr:cNvPr id="9" name="图片 8">
          <a:extLst>
            <a:ext uri="{FF2B5EF4-FFF2-40B4-BE49-F238E27FC236}">
              <a16:creationId xmlns:a16="http://schemas.microsoft.com/office/drawing/2014/main" id="{18D89A13-9D73-99A5-4BBF-164553D9B670}"/>
            </a:ext>
          </a:extLst>
        </xdr:cNvPr>
        <xdr:cNvPicPr>
          <a:picLocks noChangeAspect="1"/>
        </xdr:cNvPicPr>
      </xdr:nvPicPr>
      <xdr:blipFill>
        <a:blip xmlns:r="http://schemas.openxmlformats.org/officeDocument/2006/relationships" r:embed="rId6"/>
        <a:stretch>
          <a:fillRect/>
        </a:stretch>
      </xdr:blipFill>
      <xdr:spPr>
        <a:xfrm>
          <a:off x="2537747" y="2095500"/>
          <a:ext cx="3864176" cy="37406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025-1-0020-F01&#24220;&#23398;&#36335;&#27979;&#31639;&#34920;-&#19968;&#23457;&#36213;&#38639;.xlsx" TargetMode="External"/><Relationship Id="rId1" Type="http://schemas.openxmlformats.org/officeDocument/2006/relationships/externalLinkPath" Target="2025-1-0020-F01&#24220;&#23398;&#36335;&#27979;&#31639;&#34920;-&#19968;&#23457;&#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比较法-商业租金"/>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P15" t="str">
            <v>国泰百货对面</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北京市景文东路1号院22号楼1至2层105房地产抵押价值预评估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受贵公司委托，我公司对北京市景文东路1号院22号楼1至2层105房地产抵押价值进行了预评估。</v>
      </c>
    </row>
    <row r="7" spans="1:2">
      <c r="A7" s="1119" t="s">
        <v>566</v>
      </c>
      <c r="B7" s="1120" t="str">
        <f>'预评函-1'!A7</f>
        <v>估价对象为北京市景文东路1号院22号楼1至2层105房地产，为所有。根据《国有土地使用证》[]，估价对象（分摊）出让国有建设用地使用权面积为0平方米，建筑面积为271.22平方米。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景文东路1号院22号楼1至2层105房地产,属开发建设的商业项目，该项目尚在开发建设中。根据《国有土地使用证》[]，估价对象（分摊）出让国有建设用地使用权面积为0平方米，规划建筑面积为271.22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景文东路1号院22号楼1至2层105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2025年2月24日</v>
      </c>
    </row>
    <row r="13" spans="1:2">
      <c r="A13" s="1119" t="s">
        <v>529</v>
      </c>
      <c r="B13" s="1120"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560</v>
      </c>
    </row>
    <row r="21" spans="1:2">
      <c r="A21" s="1119" t="s">
        <v>537</v>
      </c>
      <c r="B21" s="1120">
        <f ca="1">'预评函-2'!D7</f>
        <v>20643</v>
      </c>
    </row>
    <row r="22" spans="1:2">
      <c r="A22" s="1119" t="s">
        <v>538</v>
      </c>
      <c r="B22" s="1120" t="str">
        <f ca="1">'预评函-2'!D6</f>
        <v>伍佰陆拾万元整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560</v>
      </c>
    </row>
    <row r="31" spans="1:2">
      <c r="A31" s="1119" t="s">
        <v>576</v>
      </c>
      <c r="B31" s="1120">
        <f ca="1">'预评函-2'!D15</f>
        <v>20643</v>
      </c>
    </row>
    <row r="32" spans="1:2">
      <c r="A32" s="1119" t="s">
        <v>543</v>
      </c>
      <c r="B32" s="1120" t="str">
        <f ca="1">'预评函-2'!D14</f>
        <v>伍佰陆拾万元整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北京市景文东路1号院22号楼1至2层105房地产</v>
      </c>
    </row>
    <row r="42" spans="1:2" ht="31.2">
      <c r="A42" s="1119" t="s">
        <v>590</v>
      </c>
      <c r="B42" s="1120" t="str">
        <f>'预评函-3'!B2</f>
        <v>建筑面积</v>
      </c>
    </row>
    <row r="43" spans="1:2">
      <c r="A43" s="1119" t="s">
        <v>591</v>
      </c>
      <c r="B43" s="1120">
        <f>'预评函-3'!B4</f>
        <v>271.22000000000003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文东路1号院22号楼1至2层105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3" t="s">
        <v>2580</v>
      </c>
      <c r="J2" s="3193"/>
      <c r="K2" s="3193"/>
      <c r="L2" s="3193"/>
      <c r="M2" s="3193"/>
      <c r="N2" s="3193"/>
      <c r="O2" s="3193"/>
      <c r="P2" s="3193"/>
      <c r="Q2" s="3193"/>
      <c r="R2" s="3193"/>
    </row>
    <row r="3" spans="1:18">
      <c r="A3" s="2761" t="s">
        <v>2501</v>
      </c>
      <c r="B3" s="2762">
        <f>项目基本情况!D3</f>
        <v>45712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1.81</v>
      </c>
      <c r="D5" s="2766">
        <f>IF(ISERROR(ROUND(POWER(1+E5,A5-C5)*(POWER(1+E5,C5)-1)/(POWER(1+E5,A5)-1),3)),0,ROUND(POWER(1+E5,A5-C5)*(POWER(1+E5,C5)-1)/(POWER(1+E5,A5)-1),4))</f>
        <v>8.6599999999999996E-2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11.82</v>
      </c>
      <c r="D6" s="2766">
        <f>IF(ISERROR(ROUND(POWER(1+E6,A6-C6)*(POWER(1+E6,C6)-1)/(POWER(1+E6,A6)-1),3)),0,ROUND(POWER(1+E6,A6-C6)*(POWER(1+E6,C6)-1)/(POWER(1+E6,A6)-1),4))</f>
        <v>0.43169999999999997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31.83</v>
      </c>
      <c r="D7" s="2766">
        <f>IF(ISERROR(ROUND(POWER(1+E7,A7-C7)*(POWER(1+E7,C7)-1)/(POWER(1+E7,A7)-1),3)),0,ROUND(POWER(1+E7,A7-C7)*(POWER(1+E7,C7)-1)/(POWER(1+E7,A7)-1),4))</f>
        <v>0.76200000000000001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3388</v>
      </c>
    </row>
    <row r="50" spans="1:4">
      <c r="A50" s="3143" t="s">
        <v>3389</v>
      </c>
      <c r="B50" s="3143" t="s">
        <v>3390</v>
      </c>
      <c r="C50" s="3143" t="s">
        <v>3391</v>
      </c>
      <c r="D50" s="3143" t="s">
        <v>3392</v>
      </c>
    </row>
    <row r="51" spans="1:4">
      <c r="A51" s="3143" t="s">
        <v>3393</v>
      </c>
      <c r="B51" s="2763">
        <f>B52+B53</f>
        <v>15000</v>
      </c>
      <c r="C51" s="3144">
        <f>D51/B51</f>
        <v>2666.6666666666665</v>
      </c>
      <c r="D51" s="2763">
        <f>D52+D53</f>
        <v>40000000</v>
      </c>
    </row>
    <row r="52" spans="1:4">
      <c r="A52" s="3145" t="s">
        <v>3394</v>
      </c>
      <c r="B52" s="3146">
        <v>10000</v>
      </c>
      <c r="C52" s="3146">
        <v>1500</v>
      </c>
      <c r="D52" s="3147">
        <f>C52*B52</f>
        <v>15000000</v>
      </c>
    </row>
    <row r="53" spans="1:4">
      <c r="A53" s="3145" t="s">
        <v>3395</v>
      </c>
      <c r="B53" s="3146">
        <v>5000</v>
      </c>
      <c r="C53" s="3146">
        <v>5000</v>
      </c>
      <c r="D53" s="3147">
        <f>C53*B53</f>
        <v>25000000</v>
      </c>
    </row>
    <row r="54" spans="1:4">
      <c r="A54" s="3143" t="s">
        <v>3396</v>
      </c>
      <c r="B54" s="2763">
        <f>B51</f>
        <v>15000</v>
      </c>
      <c r="C54" s="2769">
        <v>700</v>
      </c>
      <c r="D54" s="2763">
        <f t="shared" ref="D54:D55" si="5">C54*B54</f>
        <v>10500000</v>
      </c>
    </row>
    <row r="55" spans="1:4">
      <c r="A55" s="3143" t="s">
        <v>3397</v>
      </c>
      <c r="B55" s="2763">
        <f>B51</f>
        <v>15000</v>
      </c>
      <c r="C55" s="2769">
        <v>1500</v>
      </c>
      <c r="D55" s="2763">
        <f t="shared" si="5"/>
        <v>22500000</v>
      </c>
    </row>
    <row r="56" spans="1:4">
      <c r="A56" s="3143" t="s">
        <v>3398</v>
      </c>
      <c r="B56" s="2763">
        <f>B51</f>
        <v>15000</v>
      </c>
      <c r="C56" s="3148">
        <f>C51+C54+C55</f>
        <v>4866.6666666666661</v>
      </c>
      <c r="D56" s="2763">
        <f>D51+D54+D55</f>
        <v>73000000</v>
      </c>
    </row>
    <row r="58" spans="1:4">
      <c r="A58" s="3143" t="s">
        <v>3399</v>
      </c>
      <c r="B58" s="3149">
        <v>0.05</v>
      </c>
      <c r="C58" s="2763">
        <f>C56*(1+B58)</f>
        <v>5110</v>
      </c>
      <c r="D58" s="2763">
        <f>D56*B58</f>
        <v>3650000</v>
      </c>
    </row>
    <row r="60" spans="1:4">
      <c r="A60" s="3143" t="s">
        <v>3400</v>
      </c>
      <c r="B60" s="2769">
        <v>3500</v>
      </c>
      <c r="C60" s="2769">
        <f>C53</f>
        <v>5000</v>
      </c>
      <c r="D60" s="2763">
        <f>C60*B60</f>
        <v>17500000</v>
      </c>
    </row>
    <row r="62" spans="1:4">
      <c r="A62" s="3143" t="s">
        <v>3401</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01" t="str">
        <f>IF(B10="北京市","北京市",C10)&amp;F10&amp;IF(结果表!G1="在建","出让国有建设用地使用权及在建建筑物",IF(结果表!G1="土地","出让国有建设用地使用权",))&amp;B9&amp;"预评估"</f>
        <v>北京市景文东路1号院22号楼1至2层105房地产抵押价值预评估</v>
      </c>
      <c r="C1" s="3202"/>
      <c r="D1" s="3202"/>
      <c r="E1" s="3202"/>
      <c r="F1" s="3202"/>
      <c r="G1" s="3202"/>
      <c r="H1" s="3202"/>
      <c r="I1" s="3203"/>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北京市景文东路1号院22号楼1至2层105房地产抵押价值</v>
      </c>
      <c r="T1" s="1618"/>
      <c r="U1" s="1618"/>
      <c r="V1" s="1618"/>
      <c r="W1" s="1618"/>
      <c r="X1" s="1618"/>
      <c r="Y1" s="1618"/>
      <c r="Z1" s="1618"/>
      <c r="AA1" s="1618"/>
      <c r="AB1" s="1618"/>
    </row>
    <row r="2" spans="1:30">
      <c r="A2" s="2181" t="s">
        <v>2169</v>
      </c>
      <c r="B2" s="122"/>
      <c r="D2" s="2446"/>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北京市景文东路1号院22号楼1至2层105房地产</v>
      </c>
      <c r="T2" s="1618"/>
      <c r="U2" s="1618"/>
      <c r="V2" s="1618"/>
      <c r="W2" s="1618"/>
      <c r="X2" s="1618"/>
      <c r="Y2" s="1618"/>
      <c r="Z2" s="1618"/>
      <c r="AA2" s="1618"/>
      <c r="AB2" s="1618"/>
    </row>
    <row r="3" spans="1:30">
      <c r="A3" s="294" t="s">
        <v>2170</v>
      </c>
      <c r="B3" s="2184"/>
      <c r="C3" s="2185" t="s">
        <v>2171</v>
      </c>
      <c r="D3" s="2184">
        <v>45712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3403</v>
      </c>
      <c r="C8" s="2200"/>
      <c r="D8" s="3204" t="s">
        <v>2177</v>
      </c>
      <c r="E8" s="2201" t="s">
        <v>3404</v>
      </c>
      <c r="F8" s="2202"/>
      <c r="G8" s="2441"/>
      <c r="H8" s="2441"/>
      <c r="I8" s="2441"/>
      <c r="J8" s="2244"/>
      <c r="K8" s="2399"/>
      <c r="L8" s="2398"/>
      <c r="M8" s="2398"/>
      <c r="N8" s="2244"/>
      <c r="O8" s="1670"/>
      <c r="P8" s="2244"/>
      <c r="Q8" s="2244"/>
      <c r="R8" s="2244"/>
    </row>
    <row r="9" spans="1:30" ht="13.8" thickBot="1">
      <c r="A9" s="2203" t="s">
        <v>2178</v>
      </c>
      <c r="B9" s="2204" t="s">
        <v>3404</v>
      </c>
      <c r="C9" s="2205"/>
      <c r="D9" s="3205"/>
      <c r="E9" s="2204"/>
      <c r="F9" s="2206"/>
      <c r="G9" s="2442"/>
      <c r="H9" s="2442"/>
      <c r="I9" s="2442"/>
      <c r="J9" s="2244"/>
      <c r="K9" s="2401"/>
      <c r="L9" s="2398"/>
      <c r="M9" s="2398"/>
      <c r="N9" s="2244"/>
      <c r="O9" s="1670"/>
      <c r="P9" s="2244"/>
      <c r="Q9" s="2244"/>
      <c r="R9" s="2244"/>
    </row>
    <row r="10" spans="1:30" ht="13.8" thickTop="1">
      <c r="A10" s="2207" t="s">
        <v>2179</v>
      </c>
      <c r="B10" s="2208" t="s">
        <v>3406</v>
      </c>
      <c r="C10" s="2209"/>
      <c r="D10" s="2192"/>
      <c r="E10" s="2210" t="s">
        <v>2180</v>
      </c>
      <c r="F10" s="3487" t="s">
        <v>3405</v>
      </c>
      <c r="G10" s="2443"/>
      <c r="H10" s="2444"/>
      <c r="I10" s="2445"/>
      <c r="J10" s="2244"/>
      <c r="K10" s="2401"/>
      <c r="L10" s="2398"/>
      <c r="M10" s="2398"/>
      <c r="N10" s="2244"/>
      <c r="O10" s="1670"/>
      <c r="P10" s="2244"/>
      <c r="Q10" s="2244"/>
      <c r="R10" s="2244"/>
    </row>
    <row r="11" spans="1:30">
      <c r="A11" s="2211" t="s">
        <v>2181</v>
      </c>
      <c r="B11" s="2212"/>
      <c r="C11" s="2213"/>
      <c r="D11" s="2214"/>
      <c r="E11" s="2181"/>
      <c r="F11" s="2181"/>
      <c r="G11" s="2181"/>
      <c r="H11" s="2181"/>
      <c r="I11" s="2181"/>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3331</v>
      </c>
      <c r="B13" s="2217" t="s">
        <v>2190</v>
      </c>
      <c r="C13" s="803"/>
      <c r="D13" s="803">
        <v>54839</v>
      </c>
      <c r="E13" s="803"/>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2193</v>
      </c>
      <c r="B16" s="3211"/>
      <c r="C16" s="3212"/>
      <c r="D16" s="3213"/>
      <c r="E16" s="2221" t="s">
        <v>2194</v>
      </c>
      <c r="F16" s="3214"/>
      <c r="G16" s="3215"/>
      <c r="H16" s="3215"/>
      <c r="I16" s="3216"/>
      <c r="J16" s="2244"/>
      <c r="K16" s="2402"/>
      <c r="L16" s="1670"/>
      <c r="M16" s="1670"/>
      <c r="N16" s="2244"/>
      <c r="O16" s="1670"/>
      <c r="P16" s="2244"/>
      <c r="Q16" s="2244"/>
      <c r="R16" s="2244"/>
    </row>
    <row r="17" spans="1:28">
      <c r="A17" s="305" t="s">
        <v>2195</v>
      </c>
      <c r="B17" s="294" t="s">
        <v>2196</v>
      </c>
      <c r="C17" s="8">
        <f>'数据-汇总表'!E3</f>
        <v>271.22000000000003</v>
      </c>
      <c r="D17" s="1256" t="s">
        <v>2197</v>
      </c>
      <c r="E17" s="3217" t="s">
        <v>2198</v>
      </c>
      <c r="F17" s="3218"/>
      <c r="G17" s="3218"/>
      <c r="H17" s="3218"/>
      <c r="I17" s="3219"/>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0" t="s">
        <v>2202</v>
      </c>
      <c r="F18" s="3221"/>
      <c r="G18" s="3221"/>
      <c r="H18" s="3221"/>
      <c r="I18" s="3222"/>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3407</v>
      </c>
      <c r="D19" s="1456" t="s">
        <v>2204</v>
      </c>
      <c r="E19" s="1457" t="s">
        <v>3409</v>
      </c>
      <c r="F19" s="1458" t="str">
        <f>IF(AND(C19="是",E19="否"),"是否提供他项权证或相关说明","")</f>
        <v>是否提供他项权证或相关说明</v>
      </c>
      <c r="G19" s="1459" t="s">
        <v>3409</v>
      </c>
      <c r="H19" s="2441"/>
      <c r="I19" s="2441"/>
      <c r="J19" s="2244"/>
      <c r="K19" s="2401"/>
      <c r="L19" s="2398"/>
      <c r="M19" s="2398"/>
      <c r="N19" s="2244"/>
      <c r="O19" s="1670"/>
      <c r="P19" s="2244"/>
      <c r="Q19" s="2244"/>
      <c r="R19" s="2244"/>
      <c r="S19" s="2244"/>
      <c r="T19" s="2244"/>
      <c r="U19" s="2244"/>
      <c r="V19" s="2244"/>
    </row>
    <row r="20" spans="1:28">
      <c r="A20" s="2416" t="s">
        <v>2205</v>
      </c>
      <c r="B20" s="3207" t="s">
        <v>2206</v>
      </c>
      <c r="C20" s="3208"/>
      <c r="D20" s="3209" t="s">
        <v>2207</v>
      </c>
      <c r="E20" s="3210"/>
      <c r="F20" s="2429" t="s">
        <v>1056</v>
      </c>
      <c r="G20" s="2441"/>
      <c r="H20" s="2441"/>
      <c r="I20" s="2441"/>
      <c r="J20" s="2244"/>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195" t="s">
        <v>2214</v>
      </c>
      <c r="B27" s="312" t="s">
        <v>2215</v>
      </c>
      <c r="C27" s="2224" t="s">
        <v>3410</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19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19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196"/>
      <c r="B30" s="294" t="s">
        <v>2218</v>
      </c>
      <c r="C30" s="3197"/>
      <c r="D30" s="3198"/>
      <c r="E30" s="2441"/>
      <c r="F30" s="2441"/>
      <c r="G30" s="2441"/>
      <c r="H30" s="2441"/>
      <c r="I30" s="2441"/>
      <c r="J30" s="2244"/>
      <c r="K30" s="2401"/>
      <c r="L30" s="2398"/>
      <c r="M30" s="2398"/>
      <c r="N30" s="2244"/>
      <c r="O30" s="1670"/>
      <c r="P30" s="2244"/>
      <c r="Q30" s="2244"/>
      <c r="R30" s="2244"/>
      <c r="S30" s="2244"/>
      <c r="T30" s="2244"/>
      <c r="U30" s="2244"/>
      <c r="V30" s="2244"/>
    </row>
    <row r="31" spans="1:28">
      <c r="A31" s="3199" t="s">
        <v>2219</v>
      </c>
      <c r="B31" s="2230" t="s">
        <v>3411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194" t="s">
        <v>2228</v>
      </c>
      <c r="T34" s="315" t="str">
        <f>NUMBERSTRING(7-K34,1)&amp;"通"</f>
        <v>七通</v>
      </c>
      <c r="U34" s="2244"/>
      <c r="V34" s="2244"/>
    </row>
    <row r="35" spans="1:30">
      <c r="A35" s="2235"/>
      <c r="B35" s="3194" t="s">
        <v>2229</v>
      </c>
      <c r="C35" s="3194"/>
      <c r="D35" s="3194"/>
      <c r="E35" s="319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t="s">
        <v>3423</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271.22000000000003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271.22000000000003</v>
      </c>
      <c r="H5" s="13">
        <f t="shared" ref="H5:AT5" si="0">SUM(H13:H656)</f>
        <v>271.22000000000003</v>
      </c>
      <c r="I5" s="13">
        <f t="shared" si="0"/>
        <v>271.22000000000003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271.22000000000003</v>
      </c>
      <c r="BA5" s="15">
        <f t="shared" si="1"/>
        <v>271.22000000000003</v>
      </c>
      <c r="BB5" s="15">
        <f t="shared" si="1"/>
        <v>271.22000000000003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3407</v>
      </c>
      <c r="E13" s="13">
        <f>IF($C$3="是",ROUND($A$3*G13/$B$3,2),ROUND($A$3*(G13-AT13)/$B$3,2))</f>
        <v>0</v>
      </c>
      <c r="F13" s="29"/>
      <c r="G13" s="30">
        <f>H13+AC13+AT13</f>
        <v>271.22000000000003</v>
      </c>
      <c r="H13" s="17">
        <f>SUMIF(I$12:AB$12,"总值",I13:AB13)</f>
        <v>271.22000000000003</v>
      </c>
      <c r="I13" s="1514">
        <v>271.22000000000003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271.22000000000003</v>
      </c>
      <c r="BA13" s="13">
        <f>SUM(BB13:BK13)</f>
        <v>271.22000000000003</v>
      </c>
      <c r="BB13" s="13">
        <f>IF($D13="是",I13-J13,0)</f>
        <v>271.22000000000003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2" t="s">
        <v>1131</v>
      </c>
      <c r="B2" s="3232"/>
      <c r="C2" s="3232"/>
      <c r="D2" s="748" t="s">
        <v>1107</v>
      </c>
      <c r="E2" s="1523" t="s">
        <v>1108</v>
      </c>
      <c r="F2" s="2438"/>
      <c r="G2" s="2431"/>
      <c r="H2" s="2432"/>
      <c r="I2" s="2145" t="s">
        <v>1132</v>
      </c>
      <c r="J2" s="2438"/>
      <c r="K2" s="2438"/>
      <c r="L2" s="2438"/>
      <c r="M2" s="2438"/>
      <c r="N2" s="2439"/>
      <c r="O2" s="2438"/>
      <c r="P2" s="2438"/>
    </row>
    <row r="3" spans="1:16" ht="15" thickBot="1">
      <c r="A3" s="3233" t="s">
        <v>1105</v>
      </c>
      <c r="B3" s="3233"/>
      <c r="C3" s="3233"/>
      <c r="D3" s="41">
        <f>'数据-基础表'!AY6</f>
        <v>0</v>
      </c>
      <c r="E3" s="41">
        <f>'数据-基础表'!AZ5</f>
        <v>271.22000000000003</v>
      </c>
      <c r="F3" s="2438"/>
      <c r="G3" s="42"/>
      <c r="H3" s="43" t="s">
        <v>1106</v>
      </c>
      <c r="I3" s="802" t="e">
        <f>ROUND('数据-基础表'!B3/'数据-基础表'!A3,2)</f>
        <v>#DIV/0!</v>
      </c>
      <c r="J3" s="2438"/>
      <c r="K3" s="2438"/>
      <c r="L3" s="2438"/>
      <c r="M3" s="2438"/>
      <c r="N3" s="2439"/>
      <c r="O3" s="2438"/>
      <c r="P3" s="2438"/>
    </row>
    <row r="4" spans="1:16" ht="14.4">
      <c r="A4" s="3234"/>
      <c r="B4" s="3235"/>
      <c r="C4" s="323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37" t="s">
        <v>1110</v>
      </c>
      <c r="C5" s="323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7" t="s">
        <v>1111</v>
      </c>
      <c r="C6" s="3237"/>
      <c r="D6" s="43">
        <f>ROUND($D$3*E6/$E$3,2)</f>
        <v>0</v>
      </c>
      <c r="E6" s="44">
        <f>E3-E5</f>
        <v>271.22000000000003</v>
      </c>
      <c r="F6" s="2438"/>
      <c r="G6" s="1529" t="s">
        <v>1112</v>
      </c>
      <c r="H6" s="45" t="s">
        <v>1113</v>
      </c>
      <c r="I6" s="2434" t="e">
        <f>ROUND(F31/D31,2)</f>
        <v>#DIV/0!</v>
      </c>
      <c r="J6" s="2438"/>
      <c r="K6" s="2438"/>
      <c r="L6" s="2438"/>
      <c r="M6" s="2438"/>
      <c r="N6" s="2438"/>
      <c r="O6" s="2438"/>
      <c r="P6" s="2438"/>
    </row>
    <row r="7" spans="1:16" ht="15" thickBot="1">
      <c r="A7" s="3229"/>
      <c r="B7" s="3230"/>
      <c r="C7" s="3231"/>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271.22000000000003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271.22000000000003</v>
      </c>
      <c r="F16" s="2438"/>
      <c r="G16" s="2438"/>
      <c r="H16" s="1531" t="s">
        <v>1135</v>
      </c>
      <c r="I16" s="1532"/>
      <c r="J16" s="1071"/>
      <c r="K16" s="3226" t="s">
        <v>1135</v>
      </c>
      <c r="L16" s="3227"/>
      <c r="M16" s="3227"/>
      <c r="N16" s="3227"/>
      <c r="O16" s="3227"/>
      <c r="P16" s="3228"/>
    </row>
    <row r="17" spans="1:19" ht="14.4">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3412</v>
      </c>
      <c r="D19" s="43">
        <f>ROUND($D$3*E19/$E$3,2)</f>
        <v>0</v>
      </c>
      <c r="E19" s="51">
        <f t="shared" ref="E19:E26" si="1">SUM(F19:G19)</f>
        <v>271.22000000000003</v>
      </c>
      <c r="F19" s="2556">
        <f>'数据-基础表'!G13</f>
        <v>271.22000000000003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271.22000000000003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271.22000000000003</v>
      </c>
      <c r="F27" s="1072">
        <f>IF(SUM(F19:F26)=E8,SUM(F19:F26),"地上面积有误")</f>
        <v>271.22000000000003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271.22000000000003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271.22000000000003</v>
      </c>
      <c r="F31" s="644">
        <f>F27+F30</f>
        <v>271.22000000000003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W21" sqref="W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54839</v>
      </c>
      <c r="F6" s="61">
        <f>SUMIF(项目基本情况!C$12:I$12,C6,项目基本情况!C$15:I$15)</f>
        <v>25</v>
      </c>
      <c r="G6" s="62">
        <f>IF(ISERROR(ROUND(POWER(1+H6,D6-F6)*(POWER(1+H6,F6)-1)/(POWER(1+H6,D6)-1),3)),0,ROUND(POWER(1+H6,D6-F6)*(POWER(1+H6,F6)-1)/(POWER(1+H6,D6)-1),3))</f>
        <v>0.82099999999999995</v>
      </c>
      <c r="H6" s="691">
        <v>0.05</v>
      </c>
      <c r="I6" s="691">
        <v>5.5E-2</v>
      </c>
      <c r="J6" s="63">
        <v>7.0000000000000007E-2</v>
      </c>
      <c r="K6" s="970">
        <f>SUMIF('数据-汇总表'!C$19:C$33,A6,'数据-汇总表'!E$19:E$33)</f>
        <v>271.22000000000003</v>
      </c>
      <c r="L6" s="3492">
        <v>3000</v>
      </c>
      <c r="M6" s="64">
        <f t="shared" ref="M6:M14" si="0">ROUND(K6*L6/10000,0)</f>
        <v>81</v>
      </c>
      <c r="N6" s="690">
        <f>N19</f>
        <v>0.78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W21</f>
        <v>2.88</v>
      </c>
      <c r="V6" s="67">
        <v>0.02</v>
      </c>
      <c r="W6" s="67">
        <v>0.1</v>
      </c>
      <c r="X6" s="979"/>
      <c r="Y6" s="68">
        <f>Q6</f>
        <v>0.15</v>
      </c>
      <c r="Z6" s="69"/>
      <c r="AA6" s="63"/>
      <c r="AB6" s="63"/>
      <c r="AC6" s="979"/>
      <c r="AD6" s="70"/>
      <c r="AE6" s="980">
        <f ca="1">IF(AN6="",0,SUMIF(INDIRECT("'"&amp;AN6&amp;"'"&amp;"!E:E"),$AE$5,INDIRECT("'"&amp;AN6&amp;"'"&amp;"!F:F")))</f>
        <v>25</v>
      </c>
      <c r="AF6" s="74"/>
      <c r="AG6" s="130">
        <f>IF(AF6="",0,AE6-AF6)</f>
        <v>0</v>
      </c>
      <c r="AH6" s="71"/>
      <c r="AI6" s="73">
        <v>365</v>
      </c>
      <c r="AJ6" s="74"/>
      <c r="AK6" s="75">
        <v>0.01</v>
      </c>
      <c r="AL6" s="76">
        <v>1E-3</v>
      </c>
      <c r="AM6" s="77">
        <v>0.01</v>
      </c>
      <c r="AN6" s="1589" t="s">
        <v>3418</v>
      </c>
      <c r="AO6" s="50">
        <f ca="1">SUMIF(INDIRECT("'"&amp;AN6&amp;"'"&amp;"!A:A"),"总价",INDIRECT("'"&amp;AN6&amp;"'"&amp;"!B:B"))</f>
        <v>332.428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0.82099999999999995</v>
      </c>
      <c r="H16" s="84">
        <f>ROUND(SUMPRODUCT(H6:H13,K6:K13)/SUMPRODUCT((H6:H13&gt;0)*(K6:K13)),3)</f>
        <v>0.05</v>
      </c>
      <c r="I16" s="85"/>
      <c r="J16" s="85"/>
      <c r="K16" s="86">
        <f>SUM(K6:K15)</f>
        <v>271.22000000000003</v>
      </c>
      <c r="L16" s="87">
        <f>ROUND(M16*10000/SUM(K6:K14),0)</f>
        <v>2987</v>
      </c>
      <c r="M16" s="87">
        <f>SUM(M6:M14)</f>
        <v>81</v>
      </c>
      <c r="N16" s="88">
        <f>ROUND(SUMPRODUCT(M6:M14,N6:N14)/M16,3)</f>
        <v>0.78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488" t="s">
        <v>3414</v>
      </c>
      <c r="N18" s="2447">
        <v>2012</v>
      </c>
      <c r="O18" s="3488" t="s">
        <v>3416</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488" t="s">
        <v>3415</v>
      </c>
      <c r="N19" s="2447">
        <f>ROUND(1-(1-0)*(2025-N18)/60,2)</f>
        <v>0.78</v>
      </c>
      <c r="O19" s="3488" t="s">
        <v>3417</v>
      </c>
      <c r="P19" s="2447"/>
      <c r="Q19" s="2447"/>
      <c r="R19" s="2447"/>
      <c r="S19" s="2447"/>
      <c r="T19" s="3488" t="s">
        <v>3544</v>
      </c>
      <c r="U19" s="2447"/>
      <c r="V19" s="3488"/>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3491">
        <f>N18-B20+40</f>
        <v>2050</v>
      </c>
      <c r="P20" s="2447"/>
      <c r="Q20" s="2447"/>
      <c r="R20" s="2447"/>
      <c r="S20" s="2447"/>
      <c r="T20" s="2447">
        <v>100</v>
      </c>
      <c r="U20" s="2447" t="s">
        <v>3548</v>
      </c>
      <c r="V20" s="3488" t="s">
        <v>3546</v>
      </c>
      <c r="W20" s="2447">
        <f>信息!G11</f>
        <v>3.6</v>
      </c>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v>80</v>
      </c>
      <c r="U21" s="2447" t="s">
        <v>3545</v>
      </c>
      <c r="V21" s="2447"/>
      <c r="W21" s="2447">
        <f>W20*T21/100</f>
        <v>2.88</v>
      </c>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3384</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3402</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3386</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3387</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38" t="s">
        <v>2286</v>
      </c>
      <c r="B1" s="3239"/>
      <c r="C1" s="3239"/>
      <c r="D1" s="3239"/>
      <c r="E1" s="3239"/>
      <c r="F1" s="3239"/>
      <c r="G1" s="323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271.22000000000003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45712</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560</v>
      </c>
      <c r="C5" s="2299">
        <f ca="1">IF(B5=D14,结果表!H102,ROUND(B5*10000/$B$1,0))</f>
        <v>20643</v>
      </c>
      <c r="D5" s="2299" t="e">
        <f ca="1">ROUND(B5*10000/$B$2,0)</f>
        <v>#DIV/0!</v>
      </c>
      <c r="E5" s="2460"/>
      <c r="F5" s="2461"/>
      <c r="G5" s="2461"/>
      <c r="H5" s="2461"/>
      <c r="I5" s="2461"/>
      <c r="J5" s="2461"/>
      <c r="K5" s="2461"/>
    </row>
    <row r="6" spans="1:11" ht="15.6">
      <c r="A6" s="2299" t="s">
        <v>656</v>
      </c>
      <c r="B6" s="2299">
        <f>SUM(G14:G23)</f>
        <v>0</v>
      </c>
      <c r="C6" s="2299">
        <f ca="1">IF(B6=G14,结果表!H108,ROUND(B6*10000/$B$1,0))</f>
        <v>20643</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271.22000000000003</v>
      </c>
      <c r="C14" s="2305"/>
      <c r="D14" s="2305">
        <f ca="1">结果表!H101</f>
        <v>560</v>
      </c>
      <c r="E14" s="2305">
        <f ca="1">结果表!H102</f>
        <v>20643</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3411</v>
      </c>
      <c r="H1" s="1621" t="str">
        <f>IF(G1="现房","——","估价对象范围")</f>
        <v>——</v>
      </c>
      <c r="I1" s="1622"/>
    </row>
    <row r="2" spans="1:12" ht="21.75" customHeight="1" thickBot="1">
      <c r="A2" s="3274" t="str">
        <f>项目基本情况!S2</f>
        <v>北京市景文东路1号院22号楼1至2层105房地产</v>
      </c>
      <c r="B2" s="3275"/>
      <c r="C2" s="3275"/>
      <c r="D2" s="3275"/>
      <c r="E2" s="3275"/>
      <c r="F2" s="3275"/>
      <c r="G2" s="3275"/>
      <c r="H2" s="3275"/>
      <c r="I2" s="3276"/>
    </row>
    <row r="3" spans="1:12" ht="13.2">
      <c r="A3" s="3278" t="s">
        <v>1264</v>
      </c>
      <c r="B3" s="3279"/>
      <c r="C3" s="3279"/>
      <c r="D3" s="3279"/>
      <c r="E3" s="3279"/>
      <c r="F3" s="3279"/>
      <c r="G3" s="3279"/>
      <c r="H3" s="3279"/>
      <c r="I3" s="3279"/>
    </row>
    <row r="4" spans="1:12" ht="14.4">
      <c r="A4" s="1624" t="s">
        <v>1265</v>
      </c>
      <c r="B4" s="1625" t="s">
        <v>1266</v>
      </c>
      <c r="C4" s="1626" t="s">
        <v>3547</v>
      </c>
      <c r="D4" s="1626" t="s">
        <v>3418</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4" t="s">
        <v>1268</v>
      </c>
      <c r="B5" s="3241">
        <v>25</v>
      </c>
      <c r="C5" s="3257"/>
      <c r="D5" s="3277"/>
      <c r="E5" s="123" t="s">
        <v>1269</v>
      </c>
      <c r="F5" s="1627"/>
      <c r="G5" s="1627"/>
      <c r="H5" s="1627"/>
      <c r="I5" s="1281"/>
    </row>
    <row r="6" spans="1:12" ht="13.2">
      <c r="A6" s="3254"/>
      <c r="B6" s="3241"/>
      <c r="C6" s="3258"/>
      <c r="D6" s="3277"/>
      <c r="E6" s="123" t="s">
        <v>1270</v>
      </c>
      <c r="F6" s="1627"/>
      <c r="G6" s="1627"/>
      <c r="H6" s="1627"/>
      <c r="I6" s="1281"/>
    </row>
    <row r="7" spans="1:12" ht="13.2">
      <c r="A7" s="3254"/>
      <c r="B7" s="3241"/>
      <c r="C7" s="3259"/>
      <c r="D7" s="3277"/>
      <c r="E7" s="123" t="s">
        <v>1271</v>
      </c>
      <c r="F7" s="1627"/>
      <c r="G7" s="1627"/>
      <c r="H7" s="1627"/>
      <c r="I7" s="1281"/>
    </row>
    <row r="8" spans="1:12" ht="13.2">
      <c r="A8" s="3254" t="s">
        <v>1272</v>
      </c>
      <c r="B8" s="3241">
        <v>15</v>
      </c>
      <c r="C8" s="3257"/>
      <c r="D8" s="3277"/>
      <c r="E8" s="123" t="s">
        <v>1273</v>
      </c>
      <c r="F8" s="1627"/>
      <c r="G8" s="1627"/>
      <c r="H8" s="1627"/>
      <c r="I8" s="1281"/>
    </row>
    <row r="9" spans="1:12" ht="13.2">
      <c r="A9" s="3254"/>
      <c r="B9" s="3241"/>
      <c r="C9" s="3259"/>
      <c r="D9" s="3277"/>
      <c r="E9" s="123" t="s">
        <v>1274</v>
      </c>
      <c r="F9" s="1627"/>
      <c r="G9" s="1627"/>
      <c r="H9" s="1627"/>
      <c r="I9" s="1281"/>
    </row>
    <row r="10" spans="1:12" ht="13.2">
      <c r="A10" s="3254" t="s">
        <v>1275</v>
      </c>
      <c r="B10" s="3241">
        <v>15</v>
      </c>
      <c r="C10" s="3257"/>
      <c r="D10" s="3277"/>
      <c r="E10" s="123" t="s">
        <v>1276</v>
      </c>
      <c r="F10" s="1627"/>
      <c r="G10" s="1627"/>
      <c r="H10" s="1627"/>
      <c r="I10" s="1281"/>
    </row>
    <row r="11" spans="1:12" ht="13.2">
      <c r="A11" s="3254"/>
      <c r="B11" s="3241"/>
      <c r="C11" s="3259"/>
      <c r="D11" s="3277"/>
      <c r="E11" s="123" t="s">
        <v>1277</v>
      </c>
      <c r="F11" s="1627"/>
      <c r="G11" s="1627"/>
      <c r="H11" s="1627"/>
      <c r="I11" s="1281"/>
    </row>
    <row r="12" spans="1:12" ht="13.2">
      <c r="A12" s="3254" t="s">
        <v>1278</v>
      </c>
      <c r="B12" s="3241">
        <v>15</v>
      </c>
      <c r="C12" s="3257"/>
      <c r="D12" s="3277"/>
      <c r="E12" s="123" t="s">
        <v>1279</v>
      </c>
      <c r="F12" s="1627"/>
      <c r="G12" s="1627"/>
      <c r="H12" s="1627"/>
      <c r="I12" s="1281"/>
    </row>
    <row r="13" spans="1:12" ht="13.2">
      <c r="A13" s="3254"/>
      <c r="B13" s="3241"/>
      <c r="C13" s="3259"/>
      <c r="D13" s="3277"/>
      <c r="E13" s="123" t="s">
        <v>1280</v>
      </c>
      <c r="F13" s="1627"/>
      <c r="G13" s="1627"/>
      <c r="H13" s="1627"/>
      <c r="I13" s="1281"/>
    </row>
    <row r="14" spans="1:12" ht="13.2">
      <c r="A14" s="3254" t="s">
        <v>1281</v>
      </c>
      <c r="B14" s="3241">
        <v>30</v>
      </c>
      <c r="C14" s="3257">
        <v>6</v>
      </c>
      <c r="D14" s="3277">
        <v>4</v>
      </c>
      <c r="E14" s="123" t="s">
        <v>1282</v>
      </c>
      <c r="F14" s="1627"/>
      <c r="G14" s="1627"/>
      <c r="H14" s="1627"/>
      <c r="I14" s="1281"/>
    </row>
    <row r="15" spans="1:12" ht="13.2">
      <c r="A15" s="3254"/>
      <c r="B15" s="3241"/>
      <c r="C15" s="3258"/>
      <c r="D15" s="3277"/>
      <c r="E15" s="123" t="s">
        <v>1283</v>
      </c>
      <c r="F15" s="1627"/>
      <c r="G15" s="1627"/>
      <c r="H15" s="1627"/>
      <c r="I15" s="1281"/>
    </row>
    <row r="16" spans="1:12" ht="13.2">
      <c r="A16" s="3254"/>
      <c r="B16" s="3241"/>
      <c r="C16" s="3259"/>
      <c r="D16" s="3277"/>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64" t="s">
        <v>2131</v>
      </c>
      <c r="F18" s="3265"/>
      <c r="G18" s="3265"/>
      <c r="H18" s="3265"/>
      <c r="I18" s="3265"/>
      <c r="K18" s="294" t="s">
        <v>1289</v>
      </c>
      <c r="L18" s="294">
        <f>IF(C1="",'数据-汇总表'!E3,SUMIF(项目类型,C1,'数据-汇总表'!E17:E26)+SUMIF(项目类型,C1,'数据-汇总表'!I17:I26))</f>
        <v>271.22000000000003</v>
      </c>
      <c r="M18" s="294">
        <f>IF(C1="",'数据-汇总表'!E3,SUMIF(项目类型,C1,'数据-汇总表'!E17:E26))</f>
        <v>271.22000000000003</v>
      </c>
    </row>
    <row r="19" spans="1:36" ht="14.4">
      <c r="A19" s="1630" t="s">
        <v>1290</v>
      </c>
      <c r="B19" s="1631" t="s">
        <v>1291</v>
      </c>
      <c r="C19" s="126">
        <f ca="1">SUMIF(INDIRECT("'"&amp;C4&amp;"'"&amp;"!A:A"),结果表!B19,INDIRECT("'"&amp;C4&amp;"'"&amp;"!B:B"))</f>
        <v>711.4914</v>
      </c>
      <c r="D19" s="127">
        <f ca="1">SUMIF(INDIRECT("'"&amp;D4&amp;"'"&amp;"!A:A"),结果表!B19,INDIRECT("'"&amp;D4&amp;"'"&amp;"!B:B"))</f>
        <v>332.428</v>
      </c>
      <c r="E19" s="1630" t="s">
        <v>1292</v>
      </c>
      <c r="F19" s="1631" t="s">
        <v>1291</v>
      </c>
      <c r="G19" s="128">
        <f ca="1">ROUND(C19*$C$18+D19*$D$18,0)</f>
        <v>560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26233</v>
      </c>
      <c r="D20" s="130">
        <f ca="1">SUMIF(INDIRECT("'"&amp;D4&amp;"'"&amp;"!A:A"),结果表!B20,INDIRECT("'"&amp;D4&amp;"'"&amp;"!B:B"))</f>
        <v>12257</v>
      </c>
      <c r="E20" s="1633"/>
      <c r="F20" s="43" t="s">
        <v>1295</v>
      </c>
      <c r="G20" s="131">
        <f ca="1">ROUND(C20*$C$18+D20*$D$18,0)</f>
        <v>20643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1.140287220089764</v>
      </c>
      <c r="E22" s="121"/>
      <c r="F22" s="121"/>
      <c r="G22" s="121"/>
      <c r="H22" s="121"/>
      <c r="I22" s="121"/>
    </row>
    <row r="23" spans="1:36" ht="13.8" thickBot="1">
      <c r="A23" s="646"/>
      <c r="B23" s="646"/>
      <c r="C23" s="646"/>
      <c r="D23" s="646"/>
      <c r="E23" s="121"/>
      <c r="F23" s="121"/>
      <c r="G23" s="121"/>
      <c r="H23" s="121"/>
      <c r="I23" s="121"/>
    </row>
    <row r="24" spans="1:36" ht="14.4">
      <c r="A24" s="3248" t="s">
        <v>1299</v>
      </c>
      <c r="B24" s="1631" t="s">
        <v>1291</v>
      </c>
      <c r="C24" s="128">
        <f>IF(B30=0,0,D30)</f>
        <v>0</v>
      </c>
      <c r="D24" s="1637"/>
      <c r="E24" s="121"/>
      <c r="F24" s="121"/>
      <c r="G24" s="121"/>
      <c r="H24" s="121"/>
      <c r="I24" s="121"/>
    </row>
    <row r="25" spans="1:36" ht="14.4">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20643</v>
      </c>
      <c r="D32" s="1641" t="s">
        <v>3440</v>
      </c>
      <c r="E32" s="121"/>
      <c r="F32" s="121"/>
      <c r="G32" s="121"/>
      <c r="H32" s="121"/>
      <c r="I32" s="121"/>
    </row>
    <row r="33" spans="1:15" ht="14.4">
      <c r="A33" s="740" t="s">
        <v>1306</v>
      </c>
      <c r="B33" s="123"/>
      <c r="C33" s="1642" t="s">
        <v>3441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68" t="s">
        <v>1312</v>
      </c>
      <c r="B36" s="1652" t="s">
        <v>1313</v>
      </c>
      <c r="C36" s="137"/>
      <c r="D36" s="1653"/>
      <c r="E36" s="1567"/>
      <c r="F36" s="1654"/>
      <c r="G36" s="121"/>
      <c r="H36" s="121"/>
      <c r="I36" s="121"/>
    </row>
    <row r="37" spans="1:15" ht="15" thickBot="1">
      <c r="A37" s="3269"/>
      <c r="B37" s="1555" t="s">
        <v>1314</v>
      </c>
      <c r="C37" s="139"/>
      <c r="D37" s="1071"/>
      <c r="E37" s="1071"/>
      <c r="F37" s="1654"/>
      <c r="G37" s="121"/>
      <c r="H37" s="121"/>
      <c r="I37" s="121"/>
    </row>
    <row r="38" spans="1:15" ht="15" thickBot="1">
      <c r="A38" s="327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f ca="1">ROUND(H101*F45,0)</f>
        <v>560</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09">
        <v>1</v>
      </c>
      <c r="K46" s="3304" t="s">
        <v>1331</v>
      </c>
      <c r="L46" s="3304"/>
      <c r="M46" s="3324"/>
      <c r="N46" s="3324"/>
      <c r="O46" s="3324"/>
    </row>
    <row r="47" spans="1:15" ht="12" customHeight="1">
      <c r="A47" s="152" t="s">
        <v>1332</v>
      </c>
      <c r="B47" s="153"/>
      <c r="C47" s="154"/>
      <c r="D47" s="1024" t="s">
        <v>1333</v>
      </c>
      <c r="E47" s="294" t="s">
        <v>1334</v>
      </c>
      <c r="F47" s="155" t="s">
        <v>1335</v>
      </c>
      <c r="G47" s="2332" t="s">
        <v>1336</v>
      </c>
      <c r="H47" s="2333"/>
      <c r="I47" s="151"/>
      <c r="J47" s="2309">
        <v>2</v>
      </c>
      <c r="K47" s="3304" t="s">
        <v>1337</v>
      </c>
      <c r="L47" s="3304"/>
      <c r="M47" s="3325">
        <f>'数据-取费表'!B2</f>
        <v>45712</v>
      </c>
      <c r="N47" s="3325"/>
      <c r="O47" s="3325"/>
    </row>
    <row r="48" spans="1:15" ht="26.4">
      <c r="A48" s="3273" t="s">
        <v>1338</v>
      </c>
      <c r="B48" s="3256"/>
      <c r="C48" s="3256"/>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04" t="s">
        <v>1340</v>
      </c>
      <c r="L48" s="3304"/>
      <c r="M48" s="3326">
        <f ca="1">H101</f>
        <v>560</v>
      </c>
      <c r="N48" s="3326"/>
      <c r="O48" s="3326"/>
    </row>
    <row r="49" spans="1:35" ht="25.5" customHeight="1">
      <c r="A49" s="2151" t="s">
        <v>1341</v>
      </c>
      <c r="B49" s="3240" t="s">
        <v>1342</v>
      </c>
      <c r="C49" s="3240"/>
      <c r="D49" s="1478">
        <v>0</v>
      </c>
      <c r="E49" s="316" t="s">
        <v>1343</v>
      </c>
      <c r="F49" s="2232" t="s">
        <v>28</v>
      </c>
      <c r="G49" s="3310"/>
      <c r="H49" s="2133" t="s">
        <v>2134</v>
      </c>
      <c r="I49" s="2134"/>
      <c r="J49" s="2309">
        <v>4</v>
      </c>
      <c r="K49" s="3304" t="str">
        <f>IF(项目基本情况!E8="房地产抵押价值","房地产抵押价值","抵押担保权已注销时的房地产抵押价值")</f>
        <v>房地产抵押价值</v>
      </c>
      <c r="L49" s="3304"/>
      <c r="M49" s="3326">
        <f ca="1">IF(项目基本情况!E8="房地产抵押价值",H107,H109)</f>
        <v>560</v>
      </c>
      <c r="N49" s="3326"/>
      <c r="O49" s="3326"/>
    </row>
    <row r="50" spans="1:35" ht="25.5" customHeight="1">
      <c r="A50" s="2337"/>
      <c r="B50" s="3240" t="s">
        <v>1344</v>
      </c>
      <c r="C50" s="3240"/>
      <c r="D50" s="2188"/>
      <c r="E50" s="323"/>
      <c r="F50" s="2232"/>
      <c r="G50" s="3311"/>
      <c r="H50" s="2135" t="s">
        <v>2135</v>
      </c>
      <c r="I50" s="2134"/>
      <c r="J50" s="3323" t="s">
        <v>1345</v>
      </c>
      <c r="K50" s="3323"/>
      <c r="L50" s="3323"/>
      <c r="M50" s="3323"/>
      <c r="N50" s="3323"/>
      <c r="O50" s="3323"/>
    </row>
    <row r="51" spans="1:35" ht="20.399999999999999" customHeight="1">
      <c r="A51" s="2338"/>
      <c r="B51" s="3240" t="s">
        <v>1346</v>
      </c>
      <c r="C51" s="3240"/>
      <c r="D51" s="1024"/>
      <c r="E51" s="319"/>
      <c r="F51" s="2232"/>
      <c r="G51" s="3312"/>
      <c r="H51" s="2135" t="s">
        <v>2136</v>
      </c>
      <c r="I51" s="2134"/>
      <c r="J51" s="2310" t="s">
        <v>1347</v>
      </c>
      <c r="K51" s="3304" t="s">
        <v>1348</v>
      </c>
      <c r="L51" s="3304"/>
      <c r="M51" s="2310" t="s">
        <v>1349</v>
      </c>
      <c r="N51" s="2310" t="s">
        <v>1350</v>
      </c>
      <c r="O51" s="2310" t="s">
        <v>1351</v>
      </c>
    </row>
    <row r="52" spans="1:35" ht="24" customHeight="1">
      <c r="A52" s="2152" t="s">
        <v>1352</v>
      </c>
      <c r="B52" s="3240" t="s">
        <v>1353</v>
      </c>
      <c r="C52" s="3240"/>
      <c r="D52" s="1024">
        <f ca="1">ROUND(D45*'数据-取费表'!B41/(1+'数据-取费表'!C42),0)</f>
        <v>29</v>
      </c>
      <c r="E52" s="1256" t="s">
        <v>1354</v>
      </c>
      <c r="F52" s="2339">
        <f>'数据-取费表'!B41</f>
        <v>5.5000000000000007E-2</v>
      </c>
      <c r="G52" s="2340"/>
      <c r="H52" s="2330"/>
      <c r="I52" s="1669"/>
      <c r="J52" s="2309">
        <v>1</v>
      </c>
      <c r="K52" s="3305" t="s">
        <v>1355</v>
      </c>
      <c r="L52" s="3305"/>
      <c r="M52" s="2311" t="b">
        <f>D48</f>
        <v>0</v>
      </c>
      <c r="N52" s="2309" t="str">
        <f>E48</f>
        <v>销售额×税（费）率</v>
      </c>
      <c r="O52" s="2312">
        <f>F48</f>
        <v>5.5000000000000007E-2</v>
      </c>
    </row>
    <row r="53" spans="1:35" ht="12" customHeight="1">
      <c r="A53" s="2152" t="s">
        <v>1356</v>
      </c>
      <c r="B53" s="3266" t="s">
        <v>2291</v>
      </c>
      <c r="C53" s="3267"/>
      <c r="D53" s="1024">
        <f ca="1">ROUND(D45*'数据-取费表'!B41/(1+'数据-取费表'!C42),0)</f>
        <v>29</v>
      </c>
      <c r="E53" s="1256" t="s">
        <v>1354</v>
      </c>
      <c r="F53" s="2339">
        <f>'数据-取费表'!B41</f>
        <v>5.5000000000000007E-2</v>
      </c>
      <c r="G53" s="2340"/>
      <c r="H53" s="2330"/>
      <c r="I53" s="1669"/>
      <c r="J53" s="2309">
        <v>2</v>
      </c>
      <c r="K53" s="3305" t="s">
        <v>1357</v>
      </c>
      <c r="L53" s="3305"/>
      <c r="M53" s="2311">
        <f t="shared" ref="M53:O54" ca="1" si="0">D55</f>
        <v>0</v>
      </c>
      <c r="N53" s="2309" t="str">
        <f t="shared" si="0"/>
        <v>销售额×税（费）率</v>
      </c>
      <c r="O53" s="2312" t="str">
        <f t="shared" si="0"/>
        <v>免征</v>
      </c>
    </row>
    <row r="54" spans="1:35" ht="12" customHeight="1">
      <c r="A54" s="2152" t="s">
        <v>1358</v>
      </c>
      <c r="B54" s="3266" t="s">
        <v>2292</v>
      </c>
      <c r="C54" s="3267"/>
      <c r="D54" s="1024">
        <f ca="1">C68</f>
        <v>29</v>
      </c>
      <c r="E54" s="319" t="s">
        <v>1359</v>
      </c>
      <c r="F54" s="2339">
        <f>'数据-取费表'!B41</f>
        <v>5.5000000000000007E-2</v>
      </c>
      <c r="G54" s="2340"/>
      <c r="H54" s="2341"/>
      <c r="I54" s="1669"/>
      <c r="J54" s="2309">
        <v>3</v>
      </c>
      <c r="K54" s="3305" t="s">
        <v>1360</v>
      </c>
      <c r="L54" s="3305"/>
      <c r="M54" s="2311">
        <f t="shared" ca="1" si="0"/>
        <v>317</v>
      </c>
      <c r="N54" s="2309" t="str">
        <f t="shared" si="0"/>
        <v>增值额×税（费）率</v>
      </c>
      <c r="O54" s="2313" t="str">
        <f t="shared" si="0"/>
        <v>免征</v>
      </c>
    </row>
    <row r="55" spans="1:35" ht="24" customHeight="1">
      <c r="A55" s="3255" t="s">
        <v>1361</v>
      </c>
      <c r="B55" s="3256"/>
      <c r="C55" s="3256"/>
      <c r="D55" s="12">
        <f ca="1">IF(H55="个人住宅",0,ROUND(D45*I55,0))</f>
        <v>0</v>
      </c>
      <c r="E55" s="1256" t="s">
        <v>1362</v>
      </c>
      <c r="F55" s="2339" t="str">
        <f>IF(H55="正常",I55,"免征")</f>
        <v>免征</v>
      </c>
      <c r="G55" s="2340"/>
      <c r="H55" s="2336"/>
      <c r="I55" s="157">
        <f>'数据-取费表'!B49</f>
        <v>5.0000000000000001E-4</v>
      </c>
      <c r="J55" s="2309">
        <f>IF(H59="非个人房产","",4)</f>
        <v>4</v>
      </c>
      <c r="K55" s="3305" t="str">
        <f>IF(H59="非个人房产","——","个人所得税")</f>
        <v>个人所得税</v>
      </c>
      <c r="L55" s="3305"/>
      <c r="M55" s="2314">
        <f ca="1">D59</f>
        <v>5</v>
      </c>
      <c r="N55" s="1883" t="str">
        <f>E59</f>
        <v>差额计税</v>
      </c>
      <c r="O55" s="2315">
        <f>F59</f>
        <v>0.01</v>
      </c>
    </row>
    <row r="56" spans="1:35" ht="25.2">
      <c r="A56" s="3255" t="s">
        <v>1363</v>
      </c>
      <c r="B56" s="3256"/>
      <c r="C56" s="3256"/>
      <c r="D56" s="12">
        <f ca="1">IF(H56="个人住宅",D57,D58)</f>
        <v>317</v>
      </c>
      <c r="E56" s="1256" t="s">
        <v>1364</v>
      </c>
      <c r="F56" s="2339" t="str">
        <f>IF(H56="正常",F58,"免征")</f>
        <v>免征</v>
      </c>
      <c r="G56" s="2342" t="s">
        <v>1365</v>
      </c>
      <c r="H56" s="2343"/>
      <c r="I56" s="1670"/>
      <c r="J56" s="2309" t="str">
        <f>IF(项目基本情况!K6="上海银行",IF(J55="",4,J55+1),"")</f>
        <v/>
      </c>
      <c r="K56" s="3328" t="str">
        <f>IF(项目基本情况!K6="上海银行","其他处置费用","")</f>
        <v/>
      </c>
      <c r="L56" s="3329"/>
      <c r="M56" s="2311" t="str">
        <f>IF(项目基本情况!K6="上海银行",M69,"")</f>
        <v/>
      </c>
      <c r="N56" s="3328" t="str">
        <f>IF(项目基本情况!K6="上海银行","包含处置中涉及的律师、诉讼、拍卖、评估等费用","")</f>
        <v/>
      </c>
      <c r="O56" s="3331"/>
    </row>
    <row r="57" spans="1:35" ht="13.2">
      <c r="A57" s="2152" t="s">
        <v>1341</v>
      </c>
      <c r="B57" s="3266" t="s">
        <v>1366</v>
      </c>
      <c r="C57" s="3267"/>
      <c r="D57" s="1478">
        <v>0</v>
      </c>
      <c r="E57" s="316" t="s">
        <v>1343</v>
      </c>
      <c r="F57" s="294"/>
      <c r="G57" s="2340"/>
      <c r="H57" s="2344"/>
      <c r="I57" s="1670"/>
      <c r="J57" s="3305">
        <f>IF(AND(J55="",J56=""),4,IF(项目基本情况!K6="上海银行",结果表!J56+1,结果表!J55+1))</f>
        <v>5</v>
      </c>
      <c r="K57" s="3305" t="s">
        <v>1367</v>
      </c>
      <c r="L57" s="2316" t="s">
        <v>1368</v>
      </c>
      <c r="M57" s="2317"/>
      <c r="N57" s="2318">
        <f ca="1">SUMIF(M52:M56,"&lt;9e307")</f>
        <v>322</v>
      </c>
      <c r="O57" s="2319"/>
      <c r="P57" s="2463">
        <f ca="1">N57/M49</f>
        <v>0.57499999999999996</v>
      </c>
    </row>
    <row r="58" spans="1:35" ht="25.2">
      <c r="A58" s="2152" t="s">
        <v>1352</v>
      </c>
      <c r="B58" s="3266" t="s">
        <v>1369</v>
      </c>
      <c r="C58" s="3240"/>
      <c r="D58" s="12">
        <f ca="1">IF(H58="转让取得",C81,C97)</f>
        <v>317</v>
      </c>
      <c r="E58" s="1256" t="s">
        <v>1364</v>
      </c>
      <c r="F58" s="294" t="s">
        <v>28</v>
      </c>
      <c r="G58" s="2340"/>
      <c r="H58" s="2343"/>
      <c r="I58" s="1670"/>
      <c r="J58" s="3305"/>
      <c r="K58" s="3305"/>
      <c r="L58" s="2316" t="s">
        <v>1370</v>
      </c>
      <c r="M58" s="2320"/>
      <c r="N58" s="2321" t="str">
        <f ca="1">NUMBERSTRING(INT(N57*10000),2)&amp;"元整"</f>
        <v>叁佰贰拾贰万元整</v>
      </c>
      <c r="O58" s="2322"/>
    </row>
    <row r="59" spans="1:35" ht="24.6" thickBot="1">
      <c r="A59" s="3308" t="s">
        <v>1371</v>
      </c>
      <c r="B59" s="3309"/>
      <c r="C59" s="3309"/>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06">
        <f>J57+1</f>
        <v>6</v>
      </c>
      <c r="K59" s="3305" t="s">
        <v>1372</v>
      </c>
      <c r="L59" s="2309" t="s">
        <v>1368</v>
      </c>
      <c r="M59" s="2323"/>
      <c r="N59" s="2324">
        <f ca="1">M49-N57</f>
        <v>238</v>
      </c>
      <c r="O59" s="2325"/>
    </row>
    <row r="60" spans="1:35" ht="12" customHeight="1">
      <c r="A60" s="1671"/>
      <c r="B60" s="646"/>
      <c r="C60" s="646"/>
      <c r="D60" s="646"/>
      <c r="E60" s="1466"/>
      <c r="F60" s="1670"/>
      <c r="G60" s="1670"/>
      <c r="H60" s="151"/>
      <c r="I60" s="121"/>
      <c r="J60" s="3307"/>
      <c r="K60" s="3305"/>
      <c r="L60" s="2316" t="s">
        <v>1370</v>
      </c>
      <c r="M60" s="2320"/>
      <c r="N60" s="2321" t="str">
        <f ca="1">NUMBERSTRING(INT(N59*10000),2)&amp;"元整"</f>
        <v>贰佰叁拾捌万元整</v>
      </c>
      <c r="O60" s="2322"/>
    </row>
    <row r="61" spans="1:35" ht="13.8" thickBot="1">
      <c r="A61" s="3253" t="s">
        <v>1373</v>
      </c>
      <c r="B61" s="3253"/>
      <c r="C61" s="3253"/>
      <c r="D61" s="3253"/>
      <c r="E61" s="3253"/>
      <c r="F61" s="1670"/>
      <c r="G61" s="1670"/>
      <c r="H61" s="151"/>
      <c r="I61" s="121"/>
      <c r="J61" s="2309">
        <f>J59+1</f>
        <v>7</v>
      </c>
      <c r="K61" s="3305" t="s">
        <v>1374</v>
      </c>
      <c r="L61" s="3305"/>
      <c r="M61" s="2326"/>
      <c r="N61" s="2327">
        <f ca="1">ROUND(N59*10000/'数据-汇总表'!E3,0)</f>
        <v>8775</v>
      </c>
      <c r="O61" s="2328"/>
    </row>
    <row r="62" spans="1:35" ht="13.2">
      <c r="A62" s="3271" t="s">
        <v>1375</v>
      </c>
      <c r="B62" s="3272"/>
      <c r="C62" s="1865"/>
      <c r="D62" s="1865" t="s">
        <v>1376</v>
      </c>
      <c r="E62" s="158" t="s">
        <v>1377</v>
      </c>
      <c r="F62" s="1670"/>
      <c r="G62" s="1670"/>
      <c r="H62" s="151"/>
      <c r="I62" s="121"/>
    </row>
    <row r="63" spans="1:35" ht="13.2">
      <c r="A63" s="165" t="s">
        <v>330</v>
      </c>
      <c r="B63" s="159" t="s">
        <v>1378</v>
      </c>
      <c r="C63" s="2349">
        <f ca="1">ROUND((C64+C65)/(1+'数据-取费表'!C42),0)</f>
        <v>533</v>
      </c>
      <c r="D63" s="159"/>
      <c r="E63" s="160"/>
      <c r="F63" s="1670"/>
      <c r="G63" s="1670"/>
      <c r="H63" s="151"/>
      <c r="I63" s="121"/>
      <c r="J63" s="3330" t="s">
        <v>1379</v>
      </c>
      <c r="K63" s="1245" t="s">
        <v>1380</v>
      </c>
      <c r="L63" s="1245">
        <f ca="1">IF(M49&gt;10000,M49*0.5%,IF(AND(M49&gt;1000,M49&lt;=10000),M49*1%,IF(AND(M49&gt;100,M49&lt;=1000),M49*3%,IF(AND(M49&gt;10,M49&lt;=100),M49*5%,M49*8%))))</f>
        <v>16.8</v>
      </c>
      <c r="M63" s="294">
        <f ca="1">ROUND(L63,1)</f>
        <v>16.8</v>
      </c>
      <c r="N63" s="2329"/>
      <c r="Z63" s="1623"/>
      <c r="AI63" s="1561"/>
    </row>
    <row r="64" spans="1:35" ht="14.25" customHeight="1">
      <c r="A64" s="161" t="s">
        <v>325</v>
      </c>
      <c r="B64" s="162" t="s">
        <v>1381</v>
      </c>
      <c r="C64" s="2350">
        <f ca="1">D45</f>
        <v>560</v>
      </c>
      <c r="D64" s="162" t="s">
        <v>26</v>
      </c>
      <c r="E64" s="164"/>
      <c r="F64" s="1670"/>
      <c r="G64" s="1670"/>
      <c r="H64" s="151"/>
      <c r="I64" s="121"/>
      <c r="J64" s="3330"/>
      <c r="K64" s="1245" t="s">
        <v>1382</v>
      </c>
      <c r="L64" s="1245">
        <f ca="1">IF(M49&gt;2000,M49*0.5%,IF(AND(M49&gt;1000,M49&lt;=2000),M49*0.6%,IF(AND(M49&gt;500,M49&lt;=1000),M49*0.7%,IF(AND(M49&gt;200,M49&lt;=500),M49*0.8%,IF(AND(M49&gt;100,M49&lt;=200),M49*0.9%,IF(AND(M49&gt;50,M49&lt;=100),M49*1%,IF(AND(M49&gt;20,M49&lt;=50),M49*1.5%,IF(AND(M49&gt;10,M49&lt;=20),M49*2%,IF(AND(M49&gt;1,M49&lt;=10),M49*2.5%)))))))))</f>
        <v>3.9199999999999995</v>
      </c>
      <c r="M64" s="294">
        <f t="shared" ref="M64:M65" ca="1" si="1">ROUND(L64,1)</f>
        <v>3.9</v>
      </c>
      <c r="N64" s="2330" t="s">
        <v>1383</v>
      </c>
      <c r="Z64" s="1623"/>
      <c r="AI64" s="1561"/>
    </row>
    <row r="65" spans="1:35" ht="14.25" customHeight="1">
      <c r="A65" s="161" t="s">
        <v>326</v>
      </c>
      <c r="B65" s="162" t="s">
        <v>1384</v>
      </c>
      <c r="C65" s="2351"/>
      <c r="D65" s="162"/>
      <c r="E65" s="164"/>
      <c r="F65" s="1670"/>
      <c r="G65" s="1670"/>
      <c r="H65" s="151"/>
      <c r="I65" s="121"/>
      <c r="J65" s="3330"/>
      <c r="K65" s="1245" t="s">
        <v>1385</v>
      </c>
      <c r="L65" s="1245">
        <f ca="1">IF(M49&gt;1000,M49*0.1%,IF(AND(M49&gt;500,M49&lt;=1000),M49*0.5%,IF(AND(M49&gt;50,M49&lt;=500),M49*1%,IF(AND(M49&gt;1,M49&lt;=50),M49*1.5%))))</f>
        <v>2.8000000000000003</v>
      </c>
      <c r="M65" s="294">
        <f t="shared" ca="1" si="1"/>
        <v>2.8</v>
      </c>
      <c r="N65" s="2330" t="s">
        <v>1383</v>
      </c>
      <c r="Z65" s="1623"/>
      <c r="AI65" s="1561"/>
    </row>
    <row r="66" spans="1:35" ht="14.25" customHeight="1">
      <c r="A66" s="165" t="s">
        <v>327</v>
      </c>
      <c r="B66" s="166" t="s">
        <v>1386</v>
      </c>
      <c r="C66" s="2352"/>
      <c r="D66" s="166" t="s">
        <v>26</v>
      </c>
      <c r="E66" s="1251" t="s">
        <v>671</v>
      </c>
      <c r="F66" s="1670"/>
      <c r="G66" s="1670"/>
      <c r="H66" s="151"/>
      <c r="I66" s="121"/>
      <c r="J66" s="3330"/>
      <c r="K66" s="1245" t="s">
        <v>1387</v>
      </c>
      <c r="L66" s="1245">
        <f ca="1">M49*0.5%</f>
        <v>2.8000000000000003</v>
      </c>
      <c r="M66" s="294">
        <f ca="1">IF(L66&gt;0.5,0.5,ROUND(L66,0))</f>
        <v>0.5</v>
      </c>
      <c r="N66" s="2330" t="s">
        <v>1388</v>
      </c>
      <c r="Z66" s="1623"/>
      <c r="AI66" s="1561"/>
    </row>
    <row r="67" spans="1:35" ht="14.25" customHeight="1">
      <c r="A67" s="165" t="s">
        <v>328</v>
      </c>
      <c r="B67" s="166" t="s">
        <v>1389</v>
      </c>
      <c r="C67" s="2353">
        <f ca="1">C63-C66</f>
        <v>533</v>
      </c>
      <c r="D67" s="162" t="s">
        <v>26</v>
      </c>
      <c r="E67" s="164"/>
      <c r="F67" s="1670"/>
      <c r="G67" s="1670"/>
      <c r="H67" s="151"/>
      <c r="I67" s="121"/>
      <c r="J67" s="3330"/>
      <c r="K67" s="1245" t="s">
        <v>1390</v>
      </c>
      <c r="L67" s="1245">
        <f ca="1">IF(M49&gt;=10000,(8.25+(M49-10000)*0.01%),IF(AND(M49&gt;=8000,M49&lt;10000),(7.85+(M49-8000)*0.02%),IF(AND(M49&gt;=5000,M49&lt;8000),(6.65+(M49-5000)*0.04%),IF(AND(M49&gt;=2000,M49&lt;5000),(4.25+(PM49-2000)*0.08%),IF(AND(M49&gt;=1000,M49&lt;2000),(2.75+(M49-1000)*0.15%),IF(AND(M49&gt;=100,M49&lt;1000),(0.5+(M49-100)*0.25%),IF(AND(M49&gt;0,M49&lt;100),M49*0.5%)))))))</f>
        <v>1.6500000000000001</v>
      </c>
      <c r="M67" s="294">
        <f ca="1">ROUND(L67*0.9,1)</f>
        <v>1.5</v>
      </c>
      <c r="N67" s="2329"/>
      <c r="Z67" s="1623"/>
      <c r="AI67" s="1561"/>
    </row>
    <row r="68" spans="1:35" ht="14.25" customHeight="1" thickBot="1">
      <c r="A68" s="168" t="s">
        <v>329</v>
      </c>
      <c r="B68" s="169" t="s">
        <v>1391</v>
      </c>
      <c r="C68" s="2354">
        <f ca="1">IF(C67&lt;=0,0,ROUND(C67*D68,0))</f>
        <v>29</v>
      </c>
      <c r="D68" s="2355">
        <f>'数据-取费表'!B41</f>
        <v>5.5000000000000007E-2</v>
      </c>
      <c r="E68" s="170"/>
      <c r="F68" s="1670"/>
      <c r="G68" s="1670"/>
      <c r="H68" s="151"/>
      <c r="I68" s="121"/>
      <c r="J68" s="3330"/>
      <c r="K68" s="1245" t="s">
        <v>1392</v>
      </c>
      <c r="L68" s="1245">
        <f ca="1">IF(M49&gt;10000,M49*0.5%,IF(AND(M49&gt;5000,M49&lt;=10000),M49*1%,IF(AND(M49&gt;1000,M49&lt;=5000),M49*2%,IF(AND(M49&gt;200,M49&lt;=1000),M49*3%,M49*5%))))</f>
        <v>16.8</v>
      </c>
      <c r="M68" s="294">
        <f ca="1">ROUND(L68,1)</f>
        <v>16.8</v>
      </c>
      <c r="N68" s="2329"/>
      <c r="Z68" s="1623"/>
      <c r="AI68" s="1561"/>
    </row>
    <row r="69" spans="1:35" ht="16.5" customHeight="1">
      <c r="A69" s="1672"/>
      <c r="B69" s="1673"/>
      <c r="C69" s="1674"/>
      <c r="D69" s="1675"/>
      <c r="E69" s="1676"/>
      <c r="F69" s="1466"/>
      <c r="G69" s="1466"/>
      <c r="H69" s="1467"/>
      <c r="I69" s="646"/>
      <c r="J69" s="3330"/>
      <c r="K69" s="1245" t="s">
        <v>1393</v>
      </c>
      <c r="L69" s="1245"/>
      <c r="M69" s="294">
        <f ca="1">ROUND(SUM(M63:M68),0)</f>
        <v>42</v>
      </c>
      <c r="N69" s="2331">
        <f ca="1">M69/M49</f>
        <v>7.4999999999999997E-2</v>
      </c>
      <c r="Z69" s="1623"/>
      <c r="AI69" s="1561"/>
    </row>
    <row r="70" spans="1:35" s="642" customFormat="1" ht="14.4"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533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5.000000000000001E-3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530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176.66666666666666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317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533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7"/>
      <c r="G90" s="3332" t="s">
        <v>2129</v>
      </c>
      <c r="H90" s="333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0" t="s">
        <v>1422</v>
      </c>
      <c r="F92" s="3251"/>
      <c r="G92" s="3251"/>
      <c r="H92" s="326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5.000000000000001E-3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530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176.66666666666666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317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0" t="str">
        <f>C4</f>
        <v>比较法-商业</v>
      </c>
      <c r="D101" s="2371" t="str">
        <f>D4</f>
        <v>收益法 (元)</v>
      </c>
      <c r="E101" s="3327" t="s">
        <v>1431</v>
      </c>
      <c r="F101" s="3284"/>
      <c r="G101" s="1687" t="s">
        <v>1432</v>
      </c>
      <c r="H101" s="2380">
        <f ca="1">H118</f>
        <v>560</v>
      </c>
      <c r="I101" s="121"/>
    </row>
    <row r="102" spans="1:35" ht="18.75" customHeight="1">
      <c r="A102" s="3286" t="s">
        <v>1433</v>
      </c>
      <c r="B102" s="2369" t="s">
        <v>1432</v>
      </c>
      <c r="C102" s="2370">
        <f ca="1">IF(D32="楼面单价",ROUND(C19,0),C19)</f>
        <v>711</v>
      </c>
      <c r="D102" s="2371">
        <f ca="1">IF(D32="楼面单价",ROUND(D19,0),D19)</f>
        <v>332</v>
      </c>
      <c r="E102" s="3327"/>
      <c r="F102" s="3284"/>
      <c r="G102" s="1687" t="s">
        <v>1434</v>
      </c>
      <c r="H102" s="2340">
        <f ca="1">I118</f>
        <v>20643</v>
      </c>
      <c r="I102" s="121"/>
    </row>
    <row r="103" spans="1:35" ht="42.75" customHeight="1">
      <c r="A103" s="3286"/>
      <c r="B103" s="2369" t="s">
        <v>1434</v>
      </c>
      <c r="C103" s="2372">
        <f ca="1">C20</f>
        <v>26233</v>
      </c>
      <c r="D103" s="2373">
        <f ca="1">D20</f>
        <v>12257</v>
      </c>
      <c r="E103" s="3321" t="s">
        <v>1435</v>
      </c>
      <c r="F103" s="3322"/>
      <c r="G103" s="1688" t="s">
        <v>1436</v>
      </c>
      <c r="H103" s="2380">
        <f>IF(D36="正常操作",H104+H105+H106,H105+H106)</f>
        <v>0</v>
      </c>
      <c r="I103" s="121"/>
    </row>
    <row r="104" spans="1:35" ht="18.75" customHeight="1">
      <c r="A104" s="3286" t="s">
        <v>1437</v>
      </c>
      <c r="B104" s="2374" t="s">
        <v>1432</v>
      </c>
      <c r="C104" s="2375">
        <f ca="1">H118</f>
        <v>560</v>
      </c>
      <c r="D104" s="2376"/>
      <c r="E104" s="1555" t="s">
        <v>1438</v>
      </c>
      <c r="F104" s="1548"/>
      <c r="G104" s="1688" t="s">
        <v>1436</v>
      </c>
      <c r="H104" s="2381">
        <f>IF(D36="同一抵押权人同一抵押物续贷",C36&amp;"（续贷，未扣减，详见特别提示）",C36)</f>
        <v>0</v>
      </c>
      <c r="I104" s="121"/>
    </row>
    <row r="105" spans="1:35" ht="18.75" customHeight="1" thickBot="1">
      <c r="A105" s="3287"/>
      <c r="B105" s="2377" t="s">
        <v>1434</v>
      </c>
      <c r="C105" s="2378">
        <f ca="1">I118</f>
        <v>20643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3" t="str">
        <f>IF(项目基本情况!E8="已注销","——","3.房地产抵押价值")</f>
        <v>3.房地产抵押价值</v>
      </c>
      <c r="F107" s="3284"/>
      <c r="G107" s="1687" t="s">
        <v>1432</v>
      </c>
      <c r="H107" s="2380">
        <f ca="1">IF(E107="——","——",H101-H103)</f>
        <v>560</v>
      </c>
      <c r="I107" s="121"/>
    </row>
    <row r="108" spans="1:35" ht="18.75" customHeight="1">
      <c r="A108" s="121"/>
      <c r="B108" s="121"/>
      <c r="C108" s="121"/>
      <c r="D108" s="121"/>
      <c r="E108" s="3283"/>
      <c r="F108" s="3284"/>
      <c r="G108" s="1687" t="s">
        <v>1434</v>
      </c>
      <c r="H108" s="2340">
        <f ca="1">IF(H107=H101,H102,ROUND(H107*10000/'数据-汇总表'!E3,0))</f>
        <v>20643</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3" t="str">
        <f>IF(E109="——","——",H101-H105-H106)</f>
        <v>——</v>
      </c>
      <c r="I109" s="121"/>
    </row>
    <row r="110" spans="1:35" ht="18.75" customHeight="1">
      <c r="A110" s="121"/>
      <c r="B110" s="121"/>
      <c r="C110" s="121"/>
      <c r="D110" s="121"/>
      <c r="E110" s="3283"/>
      <c r="F110" s="3284"/>
      <c r="G110" s="1687" t="s">
        <v>1434</v>
      </c>
      <c r="H110" s="2340"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16"/>
      <c r="F112" s="3317"/>
      <c r="G112" s="1690" t="s">
        <v>1434</v>
      </c>
      <c r="H112" s="2384"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49" t="s">
        <v>1449</v>
      </c>
      <c r="E117" s="2149" t="s">
        <v>1450</v>
      </c>
      <c r="F117" s="2149" t="s">
        <v>1449</v>
      </c>
      <c r="G117" s="2149" t="s">
        <v>1451</v>
      </c>
      <c r="H117" s="2149" t="s">
        <v>1449</v>
      </c>
      <c r="I117" s="2149" t="s">
        <v>1451</v>
      </c>
    </row>
    <row r="118" spans="1:27" ht="24.75" customHeight="1">
      <c r="A118" s="2385" t="str">
        <f>项目基本情况!S2</f>
        <v>北京市景文东路1号院22号楼1至2层105房地产</v>
      </c>
      <c r="B118" s="2149">
        <f>M18</f>
        <v>271.22000000000003</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560</v>
      </c>
      <c r="I118" s="2149">
        <f ca="1">ROUND(IF(D32="楼面单价",C32,H118*10000/B118),0)</f>
        <v>20643</v>
      </c>
    </row>
    <row r="119" spans="1:27" ht="18.75" customHeight="1">
      <c r="A119" s="3254" t="s">
        <v>1452</v>
      </c>
      <c r="B119" s="3254"/>
      <c r="C119" s="3254"/>
      <c r="D119" s="3294" t="str">
        <f>NUMBERSTRING(INT(D118*10000),2)&amp;"元整"</f>
        <v>零元整</v>
      </c>
      <c r="E119" s="3296"/>
      <c r="F119" s="3294" t="str">
        <f>NUMBERSTRING(INT(F118*10000),2)&amp;"元整"</f>
        <v>零元整</v>
      </c>
      <c r="G119" s="3296"/>
      <c r="H119" s="3294" t="str">
        <f ca="1">NUMBERSTRING(INT(H118*10000),2)&amp;"元整"</f>
        <v>伍佰陆拾万元整</v>
      </c>
      <c r="I119" s="3296"/>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房地产抵押价值</v>
      </c>
      <c r="B122" s="3285"/>
      <c r="C122" s="3285"/>
      <c r="D122" s="3318">
        <f ca="1">H107</f>
        <v>560</v>
      </c>
      <c r="E122" s="3319"/>
      <c r="F122" s="3319"/>
      <c r="G122" s="3319"/>
      <c r="H122" s="3319"/>
      <c r="I122" s="3320"/>
      <c r="AA122" s="684"/>
    </row>
    <row r="123" spans="1:27" ht="18.75" customHeight="1">
      <c r="A123" s="3254" t="s">
        <v>1452</v>
      </c>
      <c r="B123" s="3254"/>
      <c r="C123" s="3254"/>
      <c r="D123" s="3294" t="str">
        <f ca="1">NUMBERSTRING(INT(D122*10000),2)&amp;"元整"</f>
        <v>伍佰陆拾万元整</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673</v>
      </c>
      <c r="C1" s="190"/>
      <c r="D1" s="190"/>
      <c r="E1" s="190"/>
      <c r="F1" s="190"/>
      <c r="G1" s="1062">
        <f>MATCH(B1,'数据-取费表'!A6:A16,0)+5</f>
        <v>6</v>
      </c>
    </row>
    <row r="2" spans="1:9" s="192" customFormat="1" ht="18" customHeight="1">
      <c r="A2" s="193" t="s">
        <v>1462</v>
      </c>
      <c r="B2" s="194">
        <f ca="1">IF(D2="——",C52,C52-E2)</f>
        <v>94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3466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3419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271.22000000000003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271.22000000000003</v>
      </c>
      <c r="E19" s="203">
        <f>'数据-取费表'!B31</f>
        <v>200</v>
      </c>
      <c r="F19" s="223"/>
      <c r="G19" s="1714" t="s">
        <v>3420</v>
      </c>
    </row>
    <row r="20" spans="1:7" s="206" customFormat="1" ht="13.5" customHeight="1">
      <c r="A20" s="247" t="s">
        <v>1493</v>
      </c>
      <c r="B20" s="202" t="s">
        <v>1494</v>
      </c>
      <c r="C20" s="224">
        <f>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92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81</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271.22000000000003</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5.9999999999999995E-4</v>
      </c>
      <c r="D44" s="230"/>
      <c r="E44" s="230"/>
      <c r="F44" s="231"/>
      <c r="G44" s="3336"/>
    </row>
    <row r="45" spans="1:7" s="206" customFormat="1" ht="13.5" customHeight="1">
      <c r="A45" s="247" t="s">
        <v>1547</v>
      </c>
      <c r="B45" s="236" t="s">
        <v>1513</v>
      </c>
      <c r="C45" s="237">
        <f ca="1">C46</f>
        <v>14</v>
      </c>
      <c r="D45" s="227">
        <f ca="1">C47</f>
        <v>3.0000000000000001E-3</v>
      </c>
      <c r="E45" s="228" t="s">
        <v>1539</v>
      </c>
      <c r="F45" s="238">
        <f ca="1">F27</f>
        <v>0.15</v>
      </c>
      <c r="G45" s="239" t="s">
        <v>1548</v>
      </c>
    </row>
    <row r="46" spans="1:7" s="206" customFormat="1" ht="13.5" customHeight="1">
      <c r="A46" s="734" t="s">
        <v>346</v>
      </c>
      <c r="B46" s="240" t="s">
        <v>1549</v>
      </c>
      <c r="C46" s="241">
        <f ca="1">ROUND((C33+C39)*F27,0)</f>
        <v>14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120</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94</v>
      </c>
      <c r="D51" s="224"/>
      <c r="E51" s="224"/>
      <c r="F51" s="256"/>
      <c r="G51" s="226" t="s">
        <v>1560</v>
      </c>
    </row>
    <row r="52" spans="1:7" s="200" customFormat="1" ht="16.8" thickBot="1">
      <c r="A52" s="257" t="s">
        <v>1561</v>
      </c>
      <c r="B52" s="258"/>
      <c r="C52" s="259">
        <f ca="1">C31+C51</f>
        <v>94</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北京市景文东路1号院22号楼1至2层105房地产抵押价值预评估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-221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271.22000000000003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271.22000000000003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271.22000000000003</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0</v>
      </c>
      <c r="D6" s="147" t="s">
        <v>2109</v>
      </c>
      <c r="E6" s="294" t="s">
        <v>696</v>
      </c>
      <c r="F6" s="295">
        <f ca="1">INDIRECT("'数据-取费表'!u"&amp;$G$1)</f>
        <v>0</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40" zoomScale="85" zoomScaleNormal="70" zoomScaleSheetLayoutView="85" workbookViewId="0">
      <selection activeCell="E66" sqref="E66"/>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3456</v>
      </c>
      <c r="F1" s="1735" t="s">
        <v>3458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711.4914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26233</v>
      </c>
      <c r="C3" s="344" t="s">
        <v>1768</v>
      </c>
      <c r="D3" s="343">
        <f>IF(D1="",'数据-汇总表'!E3,SUMIF('数据-汇总表'!$C19:$C33,D1,'数据-汇总表'!$E19:$E33))</f>
        <v>271.22000000000003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67" t="s">
        <v>1772</v>
      </c>
      <c r="AC4" s="3378" t="s">
        <v>1773</v>
      </c>
    </row>
    <row r="5" spans="1:29" ht="13.8" customHeight="1">
      <c r="A5" s="348"/>
      <c r="B5" s="349"/>
      <c r="C5" s="3399" t="s">
        <v>1673</v>
      </c>
      <c r="D5" s="3400"/>
      <c r="E5" s="3406" t="str">
        <f>[2]案例!P15</f>
        <v>国泰百货对面</v>
      </c>
      <c r="F5" s="3407"/>
      <c r="G5" s="3504" t="s">
        <v>3534</v>
      </c>
      <c r="H5" s="3505"/>
      <c r="I5" s="3506" t="s">
        <v>3535</v>
      </c>
      <c r="J5" s="3507"/>
      <c r="K5" s="537"/>
      <c r="L5" s="2485"/>
      <c r="M5" s="2486"/>
      <c r="N5" s="2486"/>
      <c r="O5" s="2486"/>
      <c r="P5" s="3387"/>
      <c r="Q5" s="3388"/>
      <c r="R5" s="3393"/>
      <c r="S5" s="3394"/>
      <c r="T5" s="3393"/>
      <c r="U5" s="3394"/>
      <c r="V5" s="3367"/>
      <c r="W5" s="3367"/>
      <c r="X5" s="1265"/>
      <c r="Y5" s="3393"/>
      <c r="Z5" s="3394"/>
      <c r="AA5" s="3379"/>
      <c r="AB5" s="3367"/>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67"/>
      <c r="AC6" s="3380"/>
    </row>
    <row r="7" spans="1:29" s="102" customFormat="1" ht="15" thickBot="1">
      <c r="A7" s="352" t="s">
        <v>1679</v>
      </c>
      <c r="B7" s="353"/>
      <c r="C7" s="354">
        <f>'数据-取费表'!B2</f>
        <v>45712</v>
      </c>
      <c r="D7" s="355">
        <v>100</v>
      </c>
      <c r="E7" s="356">
        <f>C7</f>
        <v>45712</v>
      </c>
      <c r="F7" s="357">
        <f>SUMIF(58:58,YEAR(E7)&amp;"-"&amp;MONTH(E7),59:59)</f>
        <v>100</v>
      </c>
      <c r="G7" s="356">
        <f>C7</f>
        <v>45712</v>
      </c>
      <c r="H7" s="355">
        <f>SUMIF(58:58,YEAR(G7)&amp;"-"&amp;MONTH(G7),59:59)</f>
        <v>100</v>
      </c>
      <c r="I7" s="356">
        <f>C7</f>
        <v>45712</v>
      </c>
      <c r="J7" s="355">
        <f>SUMIF(58:58,YEAR(I7)&amp;"-"&amp;MONTH(I7),59:59)</f>
        <v>100</v>
      </c>
      <c r="K7" s="38"/>
      <c r="L7" s="2487"/>
      <c r="M7" s="2439"/>
      <c r="N7" s="2439"/>
      <c r="O7" s="2439"/>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3459</v>
      </c>
      <c r="D8" s="355">
        <v>100</v>
      </c>
      <c r="E8" s="358" t="s">
        <v>3465</v>
      </c>
      <c r="F8" s="357">
        <f>SUMIF(61:61,E8,62:62)-SUMIF(61:61,C8,62:62)+100</f>
        <v>102</v>
      </c>
      <c r="G8" s="358" t="s">
        <v>3465</v>
      </c>
      <c r="H8" s="355">
        <f>SUMIF(61:61,G8,62:62)-SUMIF(61:61,C8,62:62)+100</f>
        <v>102</v>
      </c>
      <c r="I8" s="358" t="s">
        <v>3465</v>
      </c>
      <c r="J8" s="355">
        <f>SUMIF(61:61,I8,62:62)-SUMIF(61:61,C8,62:62)+100</f>
        <v>102</v>
      </c>
      <c r="K8" s="38"/>
      <c r="L8" s="2487"/>
      <c r="M8" s="2439"/>
      <c r="N8" s="2439"/>
      <c r="O8" s="2439"/>
      <c r="P8" s="3401" t="s">
        <v>1683</v>
      </c>
      <c r="Q8" s="3402"/>
      <c r="R8" s="664" t="s">
        <v>14</v>
      </c>
      <c r="S8" s="665">
        <f t="shared" si="0"/>
        <v>102</v>
      </c>
      <c r="T8" s="664" t="s">
        <v>14</v>
      </c>
      <c r="U8" s="665">
        <f t="shared" si="1"/>
        <v>102</v>
      </c>
      <c r="V8" s="664" t="s">
        <v>14</v>
      </c>
      <c r="W8" s="665">
        <f t="shared" si="2"/>
        <v>102</v>
      </c>
      <c r="X8" s="666"/>
      <c r="Y8" s="3401" t="s">
        <v>1683</v>
      </c>
      <c r="Z8" s="3402"/>
      <c r="AA8" s="50">
        <f t="shared" ref="AA8:AA46" si="3">D8/F8</f>
        <v>0.98039215686274506</v>
      </c>
      <c r="AB8" s="50">
        <f t="shared" ref="AB8:AB46" si="4">D8/H8</f>
        <v>0.98039215686274506</v>
      </c>
      <c r="AC8" s="50">
        <f t="shared" ref="AC8:AC46" si="5">D8/J8</f>
        <v>0.98039215686274506</v>
      </c>
    </row>
    <row r="9" spans="1:29" s="102" customFormat="1" ht="15" thickBot="1">
      <c r="A9" s="359" t="s">
        <v>1684</v>
      </c>
      <c r="B9" s="60" t="s">
        <v>1685</v>
      </c>
      <c r="C9" s="3494" t="s">
        <v>3460</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9.4" thickTop="1">
      <c r="A10" s="363"/>
      <c r="B10" s="364" t="s">
        <v>1688</v>
      </c>
      <c r="C10" s="3496" t="s">
        <v>3463</v>
      </c>
      <c r="D10" s="119">
        <v>100</v>
      </c>
      <c r="E10" s="3132" t="s">
        <v>3536</v>
      </c>
      <c r="F10" s="364">
        <f>SUMIF(65:65,E10,66:66)-SUMIF(65:65,C10,66:66)+100</f>
        <v>95</v>
      </c>
      <c r="G10" s="3132" t="s">
        <v>3536</v>
      </c>
      <c r="H10" s="119">
        <f>SUMIF(65:65,G10,66:66)-SUMIF(65:65,C10,66:66)+100</f>
        <v>95</v>
      </c>
      <c r="I10" s="3132" t="s">
        <v>3536</v>
      </c>
      <c r="J10" s="119">
        <f>SUMIF(65:65,I10,66:66)-SUMIF(65:65,C10,66:66)+100</f>
        <v>95</v>
      </c>
      <c r="K10" s="38"/>
      <c r="L10" s="2488"/>
      <c r="M10" s="2489"/>
      <c r="N10" s="2489"/>
      <c r="O10" s="2489"/>
      <c r="P10" s="3377"/>
      <c r="Q10" s="530" t="str">
        <f t="shared" si="6"/>
        <v>土地使用年限（年）</v>
      </c>
      <c r="R10" s="664" t="s">
        <v>14</v>
      </c>
      <c r="S10" s="665">
        <f t="shared" si="0"/>
        <v>95</v>
      </c>
      <c r="T10" s="664" t="s">
        <v>14</v>
      </c>
      <c r="U10" s="665">
        <f t="shared" si="1"/>
        <v>95</v>
      </c>
      <c r="V10" s="664" t="s">
        <v>14</v>
      </c>
      <c r="W10" s="665">
        <f t="shared" si="2"/>
        <v>95</v>
      </c>
      <c r="X10" s="666"/>
      <c r="Y10" s="3241"/>
      <c r="Z10" s="50" t="str">
        <f t="shared" si="7"/>
        <v>土地使用年限（年）</v>
      </c>
      <c r="AA10" s="50">
        <f t="shared" si="3"/>
        <v>1.0526315789473684</v>
      </c>
      <c r="AB10" s="50">
        <f t="shared" si="4"/>
        <v>1.0526315789473684</v>
      </c>
      <c r="AC10" s="50">
        <f t="shared" si="5"/>
        <v>1.0526315789473684</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110</v>
      </c>
      <c r="G15" s="383"/>
      <c r="H15" s="380">
        <f>SUMIF(76:76,G16,77:77)-SUMIF(76:76,C16,77:77)+100</f>
        <v>105</v>
      </c>
      <c r="I15" s="381"/>
      <c r="J15" s="380">
        <f>SUMIF(76:76,I16,77:77)-SUMIF(76:76,C16,77:77)+100</f>
        <v>110</v>
      </c>
      <c r="K15" s="540">
        <v>5</v>
      </c>
      <c r="L15" s="2491"/>
      <c r="M15" s="2486"/>
      <c r="N15" s="2486"/>
      <c r="O15" s="2486"/>
      <c r="P15" s="3375" t="s">
        <v>1691</v>
      </c>
      <c r="Q15" s="1263" t="str">
        <f t="shared" si="6"/>
        <v>商业繁华度</v>
      </c>
      <c r="R15" s="667" t="s">
        <v>14</v>
      </c>
      <c r="S15" s="668">
        <f t="shared" si="0"/>
        <v>110</v>
      </c>
      <c r="T15" s="667" t="s">
        <v>14</v>
      </c>
      <c r="U15" s="668">
        <f t="shared" si="1"/>
        <v>105</v>
      </c>
      <c r="V15" s="667" t="s">
        <v>14</v>
      </c>
      <c r="W15" s="668">
        <f t="shared" si="2"/>
        <v>110</v>
      </c>
      <c r="X15" s="1265"/>
      <c r="Y15" s="3368" t="s">
        <v>1691</v>
      </c>
      <c r="Z15" s="1264" t="str">
        <f t="shared" si="7"/>
        <v>商业繁华度</v>
      </c>
      <c r="AA15" s="1264">
        <f t="shared" si="3"/>
        <v>0.90909090909090906</v>
      </c>
      <c r="AB15" s="1264">
        <f t="shared" si="4"/>
        <v>0.95238095238095233</v>
      </c>
      <c r="AC15" s="1264">
        <f t="shared" si="5"/>
        <v>0.90909090909090906</v>
      </c>
    </row>
    <row r="16" spans="1:29" ht="15">
      <c r="A16" s="367"/>
      <c r="B16" s="385"/>
      <c r="C16" s="386" t="s">
        <v>3433</v>
      </c>
      <c r="D16" s="387"/>
      <c r="E16" s="386" t="s">
        <v>3432</v>
      </c>
      <c r="F16" s="388"/>
      <c r="G16" s="386" t="s">
        <v>3431</v>
      </c>
      <c r="H16" s="389"/>
      <c r="I16" s="386" t="s">
        <v>3432</v>
      </c>
      <c r="J16" s="387"/>
      <c r="K16" s="541"/>
      <c r="L16" s="2491"/>
      <c r="M16" s="2486"/>
      <c r="N16" s="2486"/>
      <c r="O16" s="2486"/>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6"/>
      <c r="M17" s="3493" t="s">
        <v>3450</v>
      </c>
      <c r="N17" s="3493" t="s">
        <v>3451</v>
      </c>
      <c r="O17" s="2486"/>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t="s">
        <v>3432</v>
      </c>
      <c r="D18" s="389"/>
      <c r="E18" s="1755" t="s">
        <v>3432</v>
      </c>
      <c r="F18" s="392"/>
      <c r="G18" s="1755" t="s">
        <v>3432</v>
      </c>
      <c r="H18" s="387"/>
      <c r="I18" s="1755" t="s">
        <v>3432</v>
      </c>
      <c r="J18" s="387"/>
      <c r="K18" s="541"/>
      <c r="L18" s="2486" t="s">
        <v>3452</v>
      </c>
      <c r="M18" s="2486">
        <v>100</v>
      </c>
      <c r="N18" s="2486">
        <f>ROUND(M18*N20/M20,0)</f>
        <v>111</v>
      </c>
      <c r="O18" s="2486"/>
      <c r="P18" s="3376"/>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6" t="s">
        <v>3453</v>
      </c>
      <c r="M19" s="2486">
        <v>80</v>
      </c>
      <c r="N19" s="2486">
        <f>ROUND(M19*N20/M20,0)</f>
        <v>89</v>
      </c>
      <c r="O19" s="2486"/>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t="s">
        <v>3432</v>
      </c>
      <c r="D20" s="387"/>
      <c r="E20" s="1755" t="s">
        <v>3432</v>
      </c>
      <c r="F20" s="388"/>
      <c r="G20" s="1755" t="s">
        <v>3432</v>
      </c>
      <c r="H20" s="387"/>
      <c r="I20" s="1755" t="s">
        <v>3432</v>
      </c>
      <c r="J20" s="387"/>
      <c r="K20" s="541"/>
      <c r="L20" s="2486" t="s">
        <v>3454</v>
      </c>
      <c r="M20" s="2486">
        <f>ROUND((M18+M19)/2,2)</f>
        <v>90</v>
      </c>
      <c r="N20" s="2486">
        <v>100</v>
      </c>
      <c r="O20" s="2486"/>
      <c r="P20" s="3376"/>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6" t="s">
        <v>3455</v>
      </c>
      <c r="M21" s="2486">
        <f>M29</f>
        <v>87</v>
      </c>
      <c r="N21" s="2486">
        <f>ROUND(M21*N20/M20,0)</f>
        <v>97</v>
      </c>
      <c r="O21" s="2486"/>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92"/>
      <c r="N22" s="2492"/>
      <c r="O22" s="2486"/>
      <c r="P22" s="3376"/>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6"/>
      <c r="M23" s="3493" t="s">
        <v>3530</v>
      </c>
      <c r="N23" s="3493" t="s">
        <v>3531</v>
      </c>
      <c r="O23" s="2486"/>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t="s">
        <v>3432</v>
      </c>
      <c r="D24" s="387"/>
      <c r="E24" s="386" t="s">
        <v>3432</v>
      </c>
      <c r="F24" s="388"/>
      <c r="G24" s="386" t="s">
        <v>3432</v>
      </c>
      <c r="H24" s="387"/>
      <c r="I24" s="386" t="s">
        <v>3432</v>
      </c>
      <c r="J24" s="387"/>
      <c r="K24" s="541"/>
      <c r="L24" s="2486" t="s">
        <v>3454</v>
      </c>
      <c r="M24" s="2486">
        <v>200</v>
      </c>
      <c r="N24" s="2486">
        <v>1</v>
      </c>
      <c r="O24" s="2486"/>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86" t="s">
        <v>3452</v>
      </c>
      <c r="M25" s="2486">
        <v>70</v>
      </c>
      <c r="N25" s="2486">
        <f>M25/M24</f>
        <v>0.35</v>
      </c>
      <c r="O25" s="2486"/>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39" t="s">
        <v>3532</v>
      </c>
      <c r="M26" s="2439">
        <f>M24-M25</f>
        <v>130</v>
      </c>
      <c r="N26" s="2439">
        <f>M26/M24</f>
        <v>0.65</v>
      </c>
      <c r="O26" s="2486"/>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t="s">
        <v>3538</v>
      </c>
      <c r="D27" s="401">
        <v>100</v>
      </c>
      <c r="E27" s="1807" t="s">
        <v>3537</v>
      </c>
      <c r="F27" s="395">
        <f>SUMIF(90:90,E27,91:91)-SUMIF(90:90,C27,91:91)+100</f>
        <v>104</v>
      </c>
      <c r="G27" s="1807" t="s">
        <v>3431</v>
      </c>
      <c r="H27" s="401">
        <f>SUMIF(90:90,G27,91:91)-SUMIF(90:90,C27,91:91)+100</f>
        <v>102</v>
      </c>
      <c r="I27" s="1807" t="s">
        <v>3431</v>
      </c>
      <c r="J27" s="401">
        <f>SUMIF(90:90,I27,91:91)-SUMIF(90:90,C27,91:91)+100</f>
        <v>102</v>
      </c>
      <c r="K27" s="538">
        <v>2</v>
      </c>
      <c r="L27" s="2486"/>
      <c r="M27" s="2486"/>
      <c r="N27" s="2486"/>
      <c r="O27" s="2439"/>
      <c r="P27" s="3376"/>
      <c r="Q27" s="530" t="str">
        <f t="shared" si="11"/>
        <v>人流量</v>
      </c>
      <c r="R27" s="664" t="s">
        <v>14</v>
      </c>
      <c r="S27" s="665">
        <f>F27</f>
        <v>104</v>
      </c>
      <c r="T27" s="664" t="s">
        <v>14</v>
      </c>
      <c r="U27" s="665">
        <f>H27</f>
        <v>102</v>
      </c>
      <c r="V27" s="664" t="s">
        <v>14</v>
      </c>
      <c r="W27" s="665">
        <f>J27</f>
        <v>102</v>
      </c>
      <c r="X27" s="666"/>
      <c r="Y27" s="3369"/>
      <c r="Z27" s="50" t="str">
        <f>Q27</f>
        <v>人流量</v>
      </c>
      <c r="AA27" s="1264">
        <f>D27/F27</f>
        <v>0.96153846153846156</v>
      </c>
      <c r="AB27" s="1264">
        <f>D27/H27</f>
        <v>0.98039215686274506</v>
      </c>
      <c r="AC27" s="1264">
        <f>D27/J27</f>
        <v>0.98039215686274506</v>
      </c>
    </row>
    <row r="28" spans="1:29" ht="27.6">
      <c r="A28" s="367"/>
      <c r="B28" s="364" t="s">
        <v>1783</v>
      </c>
      <c r="C28" s="542" t="s">
        <v>3529</v>
      </c>
      <c r="D28" s="374">
        <v>100</v>
      </c>
      <c r="E28" s="542" t="s">
        <v>3533</v>
      </c>
      <c r="F28" s="400">
        <f>SUMIF(92:92,E28,93:93)-SUMIF(92:92,C28,93:93)+100</f>
        <v>97</v>
      </c>
      <c r="G28" s="542" t="s">
        <v>3425</v>
      </c>
      <c r="H28" s="374">
        <f>SUMIF(92:92,G28,93:93)-SUMIF(92:92,C28,93:93)+100</f>
        <v>111</v>
      </c>
      <c r="I28" s="542" t="s">
        <v>3425</v>
      </c>
      <c r="J28" s="374">
        <f>SUMIF(92:92,I28,93:93)-SUMIF(92:92,C28,93:93)+100</f>
        <v>111</v>
      </c>
      <c r="K28" s="539"/>
      <c r="L28" s="2486"/>
      <c r="M28" s="2486"/>
      <c r="N28" s="2486"/>
      <c r="O28" s="2486"/>
      <c r="P28" s="3376"/>
      <c r="Q28" s="1263" t="str">
        <f t="shared" si="11"/>
        <v>楼层</v>
      </c>
      <c r="R28" s="667" t="s">
        <v>14</v>
      </c>
      <c r="S28" s="668">
        <f t="shared" ref="S28:S46" si="12">F28</f>
        <v>97</v>
      </c>
      <c r="T28" s="667" t="s">
        <v>14</v>
      </c>
      <c r="U28" s="668">
        <f t="shared" ref="U28:U46" si="13">H28</f>
        <v>111</v>
      </c>
      <c r="V28" s="667" t="s">
        <v>14</v>
      </c>
      <c r="W28" s="668">
        <f t="shared" ref="W28:W46" si="14">J28</f>
        <v>111</v>
      </c>
      <c r="X28" s="1265"/>
      <c r="Y28" s="3369"/>
      <c r="Z28" s="1264" t="str">
        <f t="shared" ref="Z28:Z46" si="15">Q28</f>
        <v>楼层</v>
      </c>
      <c r="AA28" s="1264">
        <f t="shared" si="3"/>
        <v>1.0309278350515463</v>
      </c>
      <c r="AB28" s="1264">
        <f t="shared" si="4"/>
        <v>0.90090090090090091</v>
      </c>
      <c r="AC28" s="1264">
        <f t="shared" si="5"/>
        <v>0.90090090090090091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6">
        <f>N25*M18+N26*M19</f>
        <v>87</v>
      </c>
      <c r="N29" s="2486"/>
      <c r="O29" s="2486"/>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3528</v>
      </c>
      <c r="J32" s="405">
        <f>SUMIF(100:100,I32,101:101)-SUMIF(100:100,C32,101:101)+100</f>
        <v>100</v>
      </c>
      <c r="K32" s="538"/>
      <c r="L32" s="2491"/>
      <c r="M32" s="2486"/>
      <c r="N32" s="2486"/>
      <c r="O32" s="2486"/>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271.22000000000003</v>
      </c>
      <c r="D33" s="119">
        <v>100</v>
      </c>
      <c r="E33" s="369">
        <v>200</v>
      </c>
      <c r="F33" s="364">
        <f>LOOKUP(E33,103:103,104:104)-LOOKUP(C33,103:103,104:104)+100</f>
        <v>100</v>
      </c>
      <c r="G33" s="368">
        <v>312</v>
      </c>
      <c r="H33" s="119">
        <f>LOOKUP(G33,103:103,104:104)-LOOKUP(C33,103:103,104:104)+100</f>
        <v>100</v>
      </c>
      <c r="I33" s="368">
        <v>180.46</v>
      </c>
      <c r="J33" s="119">
        <f>LOOKUP(I33,103:103,104:104)-LOOKUP(C33,103:103,104:104)+100</f>
        <v>101</v>
      </c>
      <c r="K33" s="539"/>
      <c r="L33" s="2490"/>
      <c r="M33" s="2492"/>
      <c r="N33" s="2492"/>
      <c r="O33" s="2492"/>
      <c r="P33" s="3371"/>
      <c r="Q33" s="531" t="str">
        <f t="shared" si="11"/>
        <v>项目建筑规模</v>
      </c>
      <c r="R33" s="669" t="s">
        <v>14</v>
      </c>
      <c r="S33" s="670">
        <f t="shared" si="12"/>
        <v>100</v>
      </c>
      <c r="T33" s="669" t="s">
        <v>14</v>
      </c>
      <c r="U33" s="670">
        <f t="shared" si="13"/>
        <v>100</v>
      </c>
      <c r="V33" s="669" t="s">
        <v>14</v>
      </c>
      <c r="W33" s="670">
        <f t="shared" si="14"/>
        <v>101</v>
      </c>
      <c r="X33" s="671"/>
      <c r="Y33" s="3373"/>
      <c r="Z33" s="672" t="str">
        <f t="shared" si="15"/>
        <v>项目建筑规模</v>
      </c>
      <c r="AA33" s="1264">
        <f t="shared" si="3"/>
        <v>1</v>
      </c>
      <c r="AB33" s="1264">
        <f t="shared" si="4"/>
        <v>1</v>
      </c>
      <c r="AC33" s="1264">
        <f t="shared" si="5"/>
        <v>0.99009900990099009</v>
      </c>
    </row>
    <row r="34" spans="1:29" ht="15">
      <c r="A34" s="409"/>
      <c r="B34" s="364" t="s">
        <v>1698</v>
      </c>
      <c r="C34" s="399" t="s">
        <v>3442</v>
      </c>
      <c r="D34" s="374">
        <v>100</v>
      </c>
      <c r="E34" s="399" t="s">
        <v>3442</v>
      </c>
      <c r="F34" s="400">
        <f>SUMIF(105:105,E34,106:106)-SUMIF(105:105,C34,106:106)+100</f>
        <v>100</v>
      </c>
      <c r="G34" s="399" t="s">
        <v>3442</v>
      </c>
      <c r="H34" s="374">
        <f>SUMIF(105:105,G34,106:106)-SUMIF(105:105,C34,106:106)+100</f>
        <v>100</v>
      </c>
      <c r="I34" s="399" t="s">
        <v>3442</v>
      </c>
      <c r="J34" s="374">
        <f>SUMIF(105:105,I34,106:106)-SUMIF(105:105,C34,106:106)+100</f>
        <v>100</v>
      </c>
      <c r="K34" s="538">
        <v>2</v>
      </c>
      <c r="L34" s="2491"/>
      <c r="M34" s="2486"/>
      <c r="N34" s="2486"/>
      <c r="O34" s="2486"/>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f>'数据-取费表'!N6</f>
        <v>0.78</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371"/>
      <c r="Q36" s="1263" t="str">
        <f t="shared" si="11"/>
        <v>成新度</v>
      </c>
      <c r="R36" s="667" t="s">
        <v>14</v>
      </c>
      <c r="S36" s="668">
        <f t="shared" si="12"/>
        <v>100</v>
      </c>
      <c r="T36" s="667" t="s">
        <v>14</v>
      </c>
      <c r="U36" s="668">
        <f t="shared" si="13"/>
        <v>100</v>
      </c>
      <c r="V36" s="667" t="s">
        <v>14</v>
      </c>
      <c r="W36" s="668">
        <f t="shared" si="14"/>
        <v>100</v>
      </c>
      <c r="X36" s="1265"/>
      <c r="Y36" s="337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3508" t="s">
        <v>3539</v>
      </c>
      <c r="D38" s="374">
        <v>100</v>
      </c>
      <c r="E38" s="1760" t="s">
        <v>3539</v>
      </c>
      <c r="F38" s="400">
        <f>SUMIF(114:114,E38,115:115)-SUMIF(114:114,C38,115:115)+100</f>
        <v>100</v>
      </c>
      <c r="G38" s="1760" t="s">
        <v>3539</v>
      </c>
      <c r="H38" s="374">
        <f>SUMIF(114:114,G38,115:115)-SUMIF(114:114,C38,115:115)+100</f>
        <v>100</v>
      </c>
      <c r="I38" s="1760" t="s">
        <v>3540</v>
      </c>
      <c r="J38" s="374">
        <f>SUMIF(114:114,I38,115:115)-SUMIF(114:114,C38,115:115)+100</f>
        <v>102</v>
      </c>
      <c r="K38" s="538">
        <v>2</v>
      </c>
      <c r="L38" s="2491"/>
      <c r="M38" s="2486"/>
      <c r="N38" s="2486"/>
      <c r="O38" s="2486"/>
      <c r="P38" s="3371" t="s">
        <v>1696</v>
      </c>
      <c r="Q38" s="1263" t="str">
        <f t="shared" si="11"/>
        <v>业态</v>
      </c>
      <c r="R38" s="667" t="s">
        <v>14</v>
      </c>
      <c r="S38" s="668">
        <f t="shared" si="12"/>
        <v>100</v>
      </c>
      <c r="T38" s="667" t="s">
        <v>14</v>
      </c>
      <c r="U38" s="668">
        <f t="shared" si="13"/>
        <v>100</v>
      </c>
      <c r="V38" s="667" t="s">
        <v>14</v>
      </c>
      <c r="W38" s="668">
        <f t="shared" si="14"/>
        <v>102</v>
      </c>
      <c r="X38" s="1265"/>
      <c r="Y38" s="3373" t="s">
        <v>1696</v>
      </c>
      <c r="Z38" s="1264" t="str">
        <f t="shared" si="15"/>
        <v>业态</v>
      </c>
      <c r="AA38" s="1264">
        <f t="shared" si="3"/>
        <v>1</v>
      </c>
      <c r="AB38" s="1264">
        <f t="shared" si="4"/>
        <v>1</v>
      </c>
      <c r="AC38" s="1264">
        <f t="shared" si="5"/>
        <v>0.98039215686274506</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1"/>
      <c r="M39" s="2486"/>
      <c r="N39" s="2486"/>
      <c r="O39" s="2486"/>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3508"/>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1"/>
      <c r="M43" s="2486"/>
      <c r="N43" s="2486"/>
      <c r="O43" s="2486"/>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4.4">
      <c r="A47" s="416" t="s">
        <v>1708</v>
      </c>
      <c r="B47" s="417"/>
      <c r="C47" s="1081" t="s">
        <v>0</v>
      </c>
      <c r="D47" s="418"/>
      <c r="E47" s="419">
        <v>30250</v>
      </c>
      <c r="F47" s="420"/>
      <c r="G47" s="421">
        <v>29000</v>
      </c>
      <c r="H47" s="422"/>
      <c r="I47" s="419">
        <v>31568</v>
      </c>
      <c r="J47" s="422"/>
      <c r="K47" s="674"/>
      <c r="L47" s="2493"/>
      <c r="M47" s="2486"/>
      <c r="N47" s="2486"/>
      <c r="O47" s="2486"/>
      <c r="P47" s="3366" t="str">
        <f>A47</f>
        <v>成交单价（元/平方米）</v>
      </c>
      <c r="Q47" s="3366"/>
      <c r="R47" s="3367">
        <f>E47</f>
        <v>30250</v>
      </c>
      <c r="S47" s="3367"/>
      <c r="T47" s="3367">
        <f>G47</f>
        <v>29000</v>
      </c>
      <c r="U47" s="3367"/>
      <c r="V47" s="3367">
        <f>I47</f>
        <v>31568</v>
      </c>
      <c r="W47" s="3367"/>
      <c r="X47" s="385"/>
      <c r="Y47" s="673"/>
      <c r="Z47" s="385"/>
      <c r="AA47" s="385"/>
      <c r="AB47" s="385"/>
      <c r="AC47" s="385"/>
    </row>
    <row r="48" spans="1:29" ht="15" thickBot="1">
      <c r="A48" s="423" t="s">
        <v>1793</v>
      </c>
      <c r="B48" s="424"/>
      <c r="C48" s="1082">
        <f>R49</f>
        <v>26233</v>
      </c>
      <c r="D48" s="2140" t="s">
        <v>2138</v>
      </c>
      <c r="E48" s="1083">
        <f>R48</f>
        <v>28132</v>
      </c>
      <c r="F48" s="2141"/>
      <c r="G48" s="1082">
        <f>T48</f>
        <v>25175</v>
      </c>
      <c r="H48" s="2141"/>
      <c r="I48" s="1083">
        <f>V48</f>
        <v>25391</v>
      </c>
      <c r="J48" s="2141"/>
      <c r="K48" s="2143">
        <f>F48+H48+J48</f>
        <v>0</v>
      </c>
      <c r="L48" s="2493"/>
      <c r="M48" s="2486"/>
      <c r="N48" s="2486"/>
      <c r="O48" s="2486"/>
      <c r="P48" s="3366" t="str">
        <f>A48</f>
        <v>比较价值（元/平方米）</v>
      </c>
      <c r="Q48" s="3366"/>
      <c r="R48" s="3367">
        <f>IF(F1="售价",ROUND(PRODUCT(R47,AA7:AA46),0),ROUND(PRODUCT(R47,AA7:AA46),1))</f>
        <v>28132</v>
      </c>
      <c r="S48" s="3367"/>
      <c r="T48" s="3367">
        <f>IF(F1="售价",ROUND(PRODUCT(T47,AB7:AB46),0),ROUND(PRODUCT(T47,AB7:AB46),1))</f>
        <v>25175</v>
      </c>
      <c r="U48" s="3367"/>
      <c r="V48" s="3367">
        <f>IF(F1="售价",ROUND(PRODUCT(V47,AC7:AC46),0),ROUND(PRODUCT(V47,AC7:AC46),1))</f>
        <v>25391</v>
      </c>
      <c r="W48" s="3367"/>
      <c r="X48" s="385"/>
      <c r="Y48" s="385"/>
      <c r="Z48" s="385"/>
      <c r="AA48" s="385"/>
      <c r="AB48" s="385"/>
      <c r="AC48" s="385"/>
    </row>
    <row r="49" spans="1:29" ht="15" thickBot="1">
      <c r="A49" s="427" t="s">
        <v>1794</v>
      </c>
      <c r="B49" s="428"/>
      <c r="C49" s="351">
        <f>R49</f>
        <v>26233</v>
      </c>
      <c r="D49" s="351"/>
      <c r="E49" s="351"/>
      <c r="F49" s="351"/>
      <c r="G49" s="351"/>
      <c r="H49" s="351"/>
      <c r="I49" s="351"/>
      <c r="J49" s="351"/>
      <c r="K49" s="675"/>
      <c r="L49" s="2493"/>
      <c r="M49" s="2486"/>
      <c r="N49" s="2486"/>
      <c r="O49" s="2486"/>
      <c r="P49" s="3363" t="str">
        <f>A49</f>
        <v>估价对象XX用房的比较价值（楼面单价，元/平方米）</v>
      </c>
      <c r="Q49" s="3364"/>
      <c r="R49" s="3365">
        <f>IF(F1="售价",ROUND(IF(D48="简单平均",AVERAGE(R48:V48),R48*F48+T48*H48+V48*J48),0),ROUND(IF(D48="简单平均",AVERAGE(R48:V48),R48*F48+T48*H48+V48*J48),1))</f>
        <v>26233</v>
      </c>
      <c r="S49" s="3365"/>
      <c r="T49" s="3365"/>
      <c r="U49" s="3365"/>
      <c r="V49" s="3365"/>
      <c r="W49" s="336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7.5287928337835819E-2</v>
      </c>
      <c r="F52" s="435" t="str">
        <f>IF(OR(E52&gt;=0.3,E52&lt;=-0.3),"超过30%","")</f>
        <v/>
      </c>
      <c r="G52" s="434">
        <f>IF(G47&lt;G48,G48/G47-1,G47/G48-1)</f>
        <v>0.15193644488579938</v>
      </c>
      <c r="H52" s="435" t="str">
        <f>IF(OR(G52&gt;=0.3,G52&lt;=-0.3),"超过30%","")</f>
        <v/>
      </c>
      <c r="I52" s="434">
        <f>IF(I47&lt;I48,I48/I47-1,I47/I48-1)</f>
        <v>0.24327517624355077</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0.11745779543197621</v>
      </c>
      <c r="F53" s="435" t="str">
        <f>IF(OR(E53&gt;=0.2,E53&lt;=-0.2),"超过20%","")</f>
        <v/>
      </c>
      <c r="G53" s="434">
        <f>IF(G48&lt;I48,I48/G48-1,G48/I48-1)</f>
        <v>8.5799404170805449E-3</v>
      </c>
      <c r="H53" s="435" t="str">
        <f>IF(OR(G53&gt;=0.2,G53&lt;=-0.2),"超过20%","")</f>
        <v/>
      </c>
      <c r="I53" s="434">
        <f>IF(I48&lt;E48,E48/I48-1,I48/E48-1)</f>
        <v>0.10795163640660066</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4.31034482758621E-2</v>
      </c>
      <c r="F54" s="435" t="str">
        <f>IF(OR(E54&gt;=0.3,E54&lt;=-0.3),"超过30%","")</f>
        <v/>
      </c>
      <c r="G54" s="434">
        <f>IF(G47&lt;I47,I47/G47-1,G47/I47-1)</f>
        <v>8.8551724137930998E-2</v>
      </c>
      <c r="H54" s="435" t="str">
        <f>IF(OR(G54&gt;=0.3,G54&lt;=-0.3),"超过30%","")</f>
        <v/>
      </c>
      <c r="I54" s="434">
        <f>IF(I47&lt;E47,E47/I47-1,I47/E47-1)</f>
        <v>4.3570247933884199E-2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498" t="s">
        <v>3466</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3495" t="s">
        <v>3461</v>
      </c>
      <c r="D65" s="3496" t="s">
        <v>3462</v>
      </c>
      <c r="E65" s="3496" t="s">
        <v>3463</v>
      </c>
      <c r="F65" s="513" t="s">
        <v>3464</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3497">
        <f t="shared" ref="C66:D66" si="17">D66-5</f>
        <v>85</v>
      </c>
      <c r="D66" s="3497">
        <f t="shared" si="17"/>
        <v>90</v>
      </c>
      <c r="E66" s="349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499" t="s">
        <v>3467</v>
      </c>
      <c r="D86" s="3499" t="s">
        <v>3468</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499" t="s">
        <v>3469</v>
      </c>
      <c r="D88" s="3499" t="s">
        <v>3470</v>
      </c>
      <c r="E88" s="3499" t="s">
        <v>3471</v>
      </c>
      <c r="F88" s="3500" t="s">
        <v>3472</v>
      </c>
      <c r="G88" s="3499" t="s">
        <v>3473</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C89-2</f>
        <v>98</v>
      </c>
      <c r="E89" s="467">
        <f t="shared" ref="E89:G89" si="22">D89-2</f>
        <v>96</v>
      </c>
      <c r="F89" s="467">
        <f t="shared" si="22"/>
        <v>94</v>
      </c>
      <c r="G89" s="467">
        <f t="shared" si="22"/>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499" t="s">
        <v>3474</v>
      </c>
      <c r="D90" s="3499" t="s">
        <v>3475</v>
      </c>
      <c r="E90" s="3499" t="s">
        <v>3471</v>
      </c>
      <c r="F90" s="3499" t="s">
        <v>3476</v>
      </c>
      <c r="G90" s="3499" t="s">
        <v>3477</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3478</v>
      </c>
      <c r="D92" s="485" t="s">
        <v>3479</v>
      </c>
      <c r="E92" s="485" t="str">
        <f>L21</f>
        <v>1-2层（1层面积小）</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N20</f>
        <v>100</v>
      </c>
      <c r="D93" s="467">
        <f>N18</f>
        <v>111</v>
      </c>
      <c r="E93" s="467">
        <f>N21</f>
        <v>97</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501" t="s">
        <v>3480</v>
      </c>
      <c r="D100" s="3501" t="s">
        <v>3481</v>
      </c>
      <c r="E100" s="3501" t="s">
        <v>3482</v>
      </c>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4">C101-$K32</f>
        <v>100</v>
      </c>
      <c r="E101" s="475">
        <f t="shared" si="24"/>
        <v>100</v>
      </c>
      <c r="F101" s="475">
        <f t="shared" si="24"/>
        <v>100</v>
      </c>
      <c r="G101" s="475">
        <f t="shared" si="24"/>
        <v>100</v>
      </c>
      <c r="H101" s="475">
        <f t="shared" si="24"/>
        <v>100</v>
      </c>
      <c r="I101" s="475">
        <f t="shared" si="24"/>
        <v>100</v>
      </c>
      <c r="J101" s="475">
        <f t="shared" si="24"/>
        <v>100</v>
      </c>
      <c r="K101" s="475">
        <f t="shared" si="24"/>
        <v>100</v>
      </c>
      <c r="L101" s="475">
        <f t="shared" si="24"/>
        <v>100</v>
      </c>
      <c r="M101" s="476">
        <f t="shared" si="24"/>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0(含)-200</v>
      </c>
      <c r="D102" s="509" t="str">
        <f t="shared" ref="D102:L102" si="25">D103&amp;"(含)"&amp;"-"&amp;E103</f>
        <v>200(含)-400</v>
      </c>
      <c r="E102" s="509" t="str">
        <f t="shared" si="25"/>
        <v>400(含)-600</v>
      </c>
      <c r="F102" s="509" t="str">
        <f t="shared" si="25"/>
        <v>600(含)-</v>
      </c>
      <c r="G102" s="509" t="str">
        <f t="shared" si="25"/>
        <v>(含)-</v>
      </c>
      <c r="H102" s="509" t="str">
        <f t="shared" si="25"/>
        <v>(含)-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v>400</v>
      </c>
      <c r="F103" s="6">
        <v>600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F104" si="26">D104-1</f>
        <v>98</v>
      </c>
      <c r="F104" s="467">
        <f t="shared" si="26"/>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499" t="s">
        <v>3483</v>
      </c>
      <c r="D105" s="3499" t="s">
        <v>3484</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499"/>
      <c r="D107" s="3499"/>
      <c r="E107" s="3499"/>
      <c r="F107" s="3499"/>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499" t="s">
        <v>3485</v>
      </c>
      <c r="D112" s="3499" t="s">
        <v>3486</v>
      </c>
      <c r="E112" s="3499" t="s">
        <v>3487</v>
      </c>
      <c r="F112" s="3499" t="s">
        <v>3488</v>
      </c>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499" t="s">
        <v>3489</v>
      </c>
      <c r="D114" s="3499" t="s">
        <v>3490</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1">C115-$K38</f>
        <v>98</v>
      </c>
      <c r="E115" s="475">
        <f t="shared" si="31"/>
        <v>96</v>
      </c>
      <c r="F115" s="475">
        <f t="shared" si="31"/>
        <v>94</v>
      </c>
      <c r="G115" s="475">
        <f t="shared" si="31"/>
        <v>92</v>
      </c>
      <c r="H115" s="475">
        <f t="shared" si="31"/>
        <v>90</v>
      </c>
      <c r="I115" s="475">
        <f t="shared" si="31"/>
        <v>88</v>
      </c>
      <c r="J115" s="475">
        <f t="shared" si="31"/>
        <v>86</v>
      </c>
      <c r="K115" s="475">
        <f t="shared" si="31"/>
        <v>84</v>
      </c>
      <c r="L115" s="475">
        <f t="shared" si="31"/>
        <v>82</v>
      </c>
      <c r="M115" s="476">
        <f t="shared" si="31"/>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499" t="s">
        <v>3491</v>
      </c>
      <c r="D116" s="3499" t="s">
        <v>3492</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499" t="s">
        <v>3493</v>
      </c>
      <c r="D122" s="3499" t="s">
        <v>3494</v>
      </c>
      <c r="E122" s="3499" t="s">
        <v>3495</v>
      </c>
      <c r="F122" s="3502" t="s">
        <v>3496</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37" sqref="J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25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332.428</v>
      </c>
      <c r="C2" s="1289" t="s">
        <v>879</v>
      </c>
      <c r="D2" s="1375">
        <f ca="1">C40+J29+L46</f>
        <v>3324280</v>
      </c>
      <c r="E2" s="1295" t="s">
        <v>880</v>
      </c>
      <c r="F2" s="1296"/>
      <c r="G2" s="2477"/>
      <c r="H2" s="2467"/>
      <c r="I2" s="2467"/>
      <c r="J2" s="2467"/>
      <c r="K2" s="2468"/>
      <c r="L2" s="2467"/>
      <c r="M2" s="2467"/>
    </row>
    <row r="3" spans="1:37" ht="18" customHeight="1" thickBot="1">
      <c r="A3" s="1297" t="s">
        <v>881</v>
      </c>
      <c r="B3" s="1298">
        <f ca="1">IF(ISERROR(D2/F43),0,ROUND(D2/F43,0))</f>
        <v>12257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256917</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256596</v>
      </c>
      <c r="D6" s="147" t="s">
        <v>2106</v>
      </c>
      <c r="E6" s="294" t="s">
        <v>696</v>
      </c>
      <c r="F6" s="295">
        <f ca="1">INDIRECT("'数据-取费表'!u"&amp;$G$1)</f>
        <v>2.88</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271.22000000000003</v>
      </c>
      <c r="G7" s="1292"/>
      <c r="H7" s="296"/>
      <c r="I7" s="3340"/>
      <c r="J7" s="298"/>
      <c r="K7" s="299"/>
      <c r="L7" s="294" t="s">
        <v>697</v>
      </c>
      <c r="M7" s="295">
        <f ca="1">F7</f>
        <v>271.22000000000003</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321</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180861</v>
      </c>
      <c r="D13" s="1018" t="s">
        <v>705</v>
      </c>
      <c r="E13" s="1018" t="s">
        <v>706</v>
      </c>
      <c r="F13" s="1019">
        <f ca="1">INDIRECT("'数据-取费表'!y"&amp;$G$1)</f>
        <v>0.15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813660</v>
      </c>
      <c r="D14" s="1257" t="s">
        <v>708</v>
      </c>
      <c r="E14" s="1255"/>
      <c r="F14" s="311"/>
      <c r="G14" s="1292"/>
      <c r="H14" s="928" t="s">
        <v>398</v>
      </c>
      <c r="I14" s="294" t="s">
        <v>709</v>
      </c>
      <c r="J14" s="21">
        <f ca="1">C29</f>
        <v>1205741</v>
      </c>
      <c r="K14" s="12"/>
      <c r="L14" s="759"/>
      <c r="M14" s="760"/>
    </row>
    <row r="15" spans="1:37" s="1304" customFormat="1" ht="18" customHeight="1" thickBot="1">
      <c r="A15" s="928" t="s">
        <v>399</v>
      </c>
      <c r="B15" s="294" t="s">
        <v>710</v>
      </c>
      <c r="C15" s="21">
        <f ca="1">ROUND(C14*F15,0)</f>
        <v>40683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12057</v>
      </c>
      <c r="K16" s="1024" t="s">
        <v>715</v>
      </c>
      <c r="L16" s="1025"/>
      <c r="M16" s="1009"/>
    </row>
    <row r="17" spans="1:37" s="1304" customFormat="1" ht="18" customHeight="1">
      <c r="A17" s="928" t="s">
        <v>681</v>
      </c>
      <c r="B17" s="294" t="s">
        <v>716</v>
      </c>
      <c r="C17" s="21">
        <f ca="1">ROUND(F17*(F43+INDIRECT("'数据-取费表'!S"&amp;$G$1)),0)</f>
        <v>54244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16273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924860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18497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12057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29244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-12057</v>
      </c>
      <c r="K25" s="1032" t="s">
        <v>753</v>
      </c>
      <c r="L25" s="1033"/>
      <c r="M25" s="1034"/>
    </row>
    <row r="26" spans="1:37" ht="18" customHeight="1">
      <c r="A26" s="928" t="s">
        <v>397</v>
      </c>
      <c r="B26" s="294" t="s">
        <v>754</v>
      </c>
      <c r="C26" s="21">
        <f ca="1">ROUND((C19+C20)*F26,0)</f>
        <v>141504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1205741</v>
      </c>
      <c r="D29" s="1029"/>
      <c r="E29" s="1027"/>
      <c r="F29" s="1030"/>
      <c r="G29" s="1303"/>
      <c r="H29" s="325" t="s">
        <v>396</v>
      </c>
      <c r="I29" s="326" t="s">
        <v>768</v>
      </c>
      <c r="J29" s="327">
        <f ca="1">ROUND(J26/(1+F40)^F41,0)</f>
        <v>0</v>
      </c>
      <c r="K29" s="328" t="s">
        <v>769</v>
      </c>
      <c r="L29" s="329"/>
      <c r="M29" s="330">
        <f ca="1">INDIRECT("'数据-取费表'!k"&amp;$G$1)</f>
        <v>271.22000000000003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57573</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42766</v>
      </c>
      <c r="D31" s="1257" t="s">
        <v>720</v>
      </c>
      <c r="E31" s="1256" t="s">
        <v>770</v>
      </c>
      <c r="F31" s="2138">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f ca="1">IF(项目基本情况!B11="自然人","——",ROUND(C6*F32/(1+'数据-取费表'!C42),0))</f>
        <v>13441</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29325</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12057</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181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2569</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199344</v>
      </c>
      <c r="D39" s="1032" t="s">
        <v>773</v>
      </c>
      <c r="E39" s="1033"/>
      <c r="F39" s="1034"/>
      <c r="G39" s="1292"/>
      <c r="H39" s="2472">
        <f ca="1">C39/C5</f>
        <v>0.77590817267833578</v>
      </c>
      <c r="I39" s="1305"/>
      <c r="J39" s="1306"/>
      <c r="K39" s="2470"/>
      <c r="L39" s="2472"/>
      <c r="M39" s="2472"/>
    </row>
    <row r="40" spans="1:18" ht="18" customHeight="1">
      <c r="A40" s="291" t="s">
        <v>395</v>
      </c>
      <c r="B40" s="292" t="s">
        <v>774</v>
      </c>
      <c r="C40" s="293">
        <f ca="1">ROUND(C39*(1-((1+F42)/(1+F40))^F41)/(F40-F42),0)</f>
        <v>3245194</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25</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11965</v>
      </c>
      <c r="D43" s="328" t="s">
        <v>777</v>
      </c>
      <c r="E43" s="329" t="s">
        <v>778</v>
      </c>
      <c r="F43" s="330">
        <f ca="1">INDIRECT("'数据-取费表'!k"&amp;$G$1)</f>
        <v>271.22000000000003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-340.93540000000002</v>
      </c>
      <c r="D45" s="3129" t="s">
        <v>3351</v>
      </c>
      <c r="E45" s="1307"/>
      <c r="F45" s="1307"/>
      <c r="O45" s="1310" t="s">
        <v>808</v>
      </c>
      <c r="P45" s="1366"/>
      <c r="Q45" s="1366"/>
      <c r="R45" s="1366"/>
    </row>
    <row r="46" spans="1:18" s="1292" customFormat="1" ht="13.8" thickBot="1">
      <c r="A46" s="1311" t="s">
        <v>809</v>
      </c>
      <c r="C46" s="1312">
        <f ca="1">ROUND(C45,0)</f>
        <v>-341</v>
      </c>
      <c r="D46" s="1313" t="str">
        <f>C2</f>
        <v>万元</v>
      </c>
      <c r="I46" s="1314" t="s">
        <v>810</v>
      </c>
      <c r="J46" s="1315"/>
      <c r="K46" s="1316"/>
      <c r="L46" s="1317">
        <f ca="1">IF(M47="住宅",0,IF(L48&gt;J51,L60,J60))</f>
        <v>79086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3442</v>
      </c>
      <c r="K47" s="1323" t="s">
        <v>816</v>
      </c>
      <c r="L47" s="1324">
        <f ca="1">INDIRECT("'数据-取费表'!d"&amp;$G$1)</f>
        <v>40</v>
      </c>
      <c r="M47" s="1288" t="str">
        <f>IF(ISNUMBER(FIND("住宅",C1)),"住宅","非住宅")</f>
        <v>非住宅</v>
      </c>
      <c r="O47" s="1325" t="s">
        <v>403</v>
      </c>
      <c r="P47" s="1326" t="s">
        <v>817</v>
      </c>
      <c r="Q47" s="1327">
        <f ca="1">C40+J29</f>
        <v>3245194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3443</v>
      </c>
      <c r="K48" s="1330" t="s">
        <v>820</v>
      </c>
      <c r="L48" s="1331">
        <f ca="1">INDIRECT("'数据-取费表'!f"&amp;$G$1)</f>
        <v>25</v>
      </c>
      <c r="O48" s="1325" t="s">
        <v>404</v>
      </c>
      <c r="P48" s="1326" t="s">
        <v>821</v>
      </c>
      <c r="Q48" s="1327">
        <f ca="1">J60</f>
        <v>79086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1205741</v>
      </c>
      <c r="R49" s="1327" t="s">
        <v>818</v>
      </c>
    </row>
    <row r="50" spans="1:18" s="1292" customFormat="1" ht="13.8" thickBot="1">
      <c r="A50" s="922"/>
      <c r="B50" s="925"/>
      <c r="C50" s="926"/>
      <c r="D50" s="899"/>
      <c r="E50" s="993" t="s">
        <v>697</v>
      </c>
      <c r="F50" s="994">
        <f ca="1">F7</f>
        <v>271.22000000000003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3356763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25</v>
      </c>
      <c r="K53" s="3337" t="s">
        <v>837</v>
      </c>
      <c r="L53" s="3338"/>
      <c r="O53" s="1325" t="s">
        <v>409</v>
      </c>
      <c r="P53" s="1326" t="s">
        <v>838</v>
      </c>
      <c r="Q53" s="1327">
        <f ca="1">Q47+Q48</f>
        <v>3324280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180861</v>
      </c>
      <c r="D56" s="1352"/>
      <c r="E56" s="1353"/>
      <c r="F56" s="1345"/>
      <c r="I56" s="1354" t="s">
        <v>842</v>
      </c>
      <c r="J56" s="1355" t="s">
        <v>3409</v>
      </c>
      <c r="K56" s="1328" t="s">
        <v>843</v>
      </c>
      <c r="L56" s="1331" t="str">
        <f ca="1">IF(L48&lt;J51,"——",L48-J51)</f>
        <v>——</v>
      </c>
      <c r="O56" s="1325" t="s">
        <v>403</v>
      </c>
      <c r="P56" s="1326" t="s">
        <v>817</v>
      </c>
      <c r="Q56" s="1327">
        <f ca="1">C40+J29</f>
        <v>3245194</v>
      </c>
      <c r="R56" s="1327" t="s">
        <v>818</v>
      </c>
    </row>
    <row r="57" spans="1:18" s="1292" customFormat="1" ht="24.6" thickBot="1">
      <c r="A57" s="1356"/>
      <c r="B57" s="896" t="s">
        <v>767</v>
      </c>
      <c r="C57" s="230">
        <f ca="1">C29</f>
        <v>1205741</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12238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482296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79086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3245194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12057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181</v>
      </c>
      <c r="D65" s="910" t="s">
        <v>743</v>
      </c>
      <c r="E65" s="896" t="s">
        <v>744</v>
      </c>
      <c r="F65" s="321">
        <f t="shared" ca="1" si="0"/>
        <v>1E-3</v>
      </c>
      <c r="I65" s="1367" t="s">
        <v>867</v>
      </c>
      <c r="J65" s="610">
        <v>40</v>
      </c>
      <c r="K65" s="610">
        <v>30</v>
      </c>
      <c r="L65" s="610">
        <v>50</v>
      </c>
      <c r="M65" s="1369">
        <v>0.02</v>
      </c>
      <c r="O65" s="1325" t="s">
        <v>403</v>
      </c>
      <c r="P65" s="1326" t="s">
        <v>868</v>
      </c>
      <c r="Q65" s="1327">
        <f ca="1">C40+J29</f>
        <v>3245194</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-12238</v>
      </c>
      <c r="D67" s="909" t="s">
        <v>753</v>
      </c>
      <c r="E67" s="914"/>
      <c r="F67" s="915"/>
      <c r="O67" s="1334" t="s">
        <v>405</v>
      </c>
      <c r="P67" s="1326" t="s">
        <v>850</v>
      </c>
      <c r="Q67" s="1370">
        <f ca="1">L51</f>
        <v>3356763</v>
      </c>
      <c r="R67" s="1327" t="s">
        <v>870</v>
      </c>
    </row>
    <row r="68" spans="1:18" s="1292" customFormat="1" ht="16.2" thickBot="1">
      <c r="A68" s="893" t="s">
        <v>395</v>
      </c>
      <c r="B68" s="894" t="s">
        <v>774</v>
      </c>
      <c r="C68" s="293">
        <f ca="1">ROUND(C67*(1-((1+F70)/(1+F68))^F69)/(F68-F70),0)</f>
        <v>-164160</v>
      </c>
      <c r="D68" s="911" t="s">
        <v>758</v>
      </c>
      <c r="E68" s="896" t="s">
        <v>759</v>
      </c>
      <c r="F68" s="304">
        <f ca="1">F40</f>
        <v>5.5E-2</v>
      </c>
      <c r="O68" s="1334" t="s">
        <v>406</v>
      </c>
      <c r="P68" s="1371" t="s">
        <v>871</v>
      </c>
      <c r="Q68" s="1327">
        <f ca="1">ROUND(Q69-Q70*Q71,0)</f>
        <v>186684</v>
      </c>
      <c r="R68" s="1327" t="s">
        <v>414</v>
      </c>
    </row>
    <row r="69" spans="1:18" s="1292" customFormat="1" ht="13.8" thickBot="1">
      <c r="A69" s="897"/>
      <c r="B69" s="898"/>
      <c r="C69" s="298"/>
      <c r="D69" s="916" t="s">
        <v>762</v>
      </c>
      <c r="E69" s="896" t="s">
        <v>763</v>
      </c>
      <c r="F69" s="324">
        <f ca="1">F41</f>
        <v>25</v>
      </c>
      <c r="O69" s="1334" t="s">
        <v>411</v>
      </c>
      <c r="P69" s="1371" t="s">
        <v>872</v>
      </c>
      <c r="Q69" s="1327">
        <f ca="1">C39</f>
        <v>199344</v>
      </c>
      <c r="R69" s="1327" t="s">
        <v>818</v>
      </c>
    </row>
    <row r="70" spans="1:18" s="1292" customFormat="1" ht="13.8" thickBot="1">
      <c r="A70" s="900"/>
      <c r="B70" s="901"/>
      <c r="C70" s="302"/>
      <c r="D70" s="912"/>
      <c r="E70" s="896" t="s">
        <v>766</v>
      </c>
      <c r="F70" s="991"/>
      <c r="O70" s="1334" t="s">
        <v>412</v>
      </c>
      <c r="P70" s="1371" t="s">
        <v>873</v>
      </c>
      <c r="Q70" s="1327">
        <f ca="1">C13</f>
        <v>180861</v>
      </c>
      <c r="R70" s="1327" t="s">
        <v>818</v>
      </c>
    </row>
    <row r="71" spans="1:18" s="1292" customFormat="1" ht="13.8" thickBot="1">
      <c r="A71" s="917" t="s">
        <v>396</v>
      </c>
      <c r="B71" s="918" t="s">
        <v>776</v>
      </c>
      <c r="C71" s="327">
        <f ca="1">ROUND(C68/F71,0)</f>
        <v>-605</v>
      </c>
      <c r="D71" s="919" t="s">
        <v>777</v>
      </c>
      <c r="E71" s="920" t="s">
        <v>778</v>
      </c>
      <c r="F71" s="330">
        <f ca="1">F43</f>
        <v>271.22000000000003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12660</v>
      </c>
      <c r="D75" s="1292"/>
      <c r="E75" s="1292"/>
      <c r="F75" s="1292"/>
      <c r="K75" s="1309"/>
      <c r="L75" s="1292"/>
      <c r="O75" s="1325" t="s">
        <v>409</v>
      </c>
      <c r="P75" s="1326" t="s">
        <v>838</v>
      </c>
      <c r="Q75" s="1327">
        <f ca="1">Q65+Q66</f>
        <v>3245194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0.93599999999999994</v>
      </c>
    </row>
    <row r="80" spans="1:18">
      <c r="B80" s="331" t="s">
        <v>800</v>
      </c>
      <c r="C80" s="266">
        <f ca="1">ROUND(C75/C39,3)</f>
        <v>6.4000000000000001E-2</v>
      </c>
    </row>
    <row r="81" spans="2:3">
      <c r="B81" s="262" t="s">
        <v>801</v>
      </c>
      <c r="C81" s="230"/>
    </row>
    <row r="82" spans="2:3">
      <c r="B82" s="265" t="s">
        <v>802</v>
      </c>
      <c r="C82" s="267">
        <f ca="1">1-C83</f>
        <v>0.94399999999999995</v>
      </c>
    </row>
    <row r="83" spans="2:3">
      <c r="B83" s="265" t="s">
        <v>803</v>
      </c>
      <c r="C83" s="266">
        <f ca="1">ROUND(C13/C40,3)</f>
        <v>5.6000000000000001E-2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3357</v>
      </c>
      <c r="E2" s="3138"/>
      <c r="F2" s="2596"/>
      <c r="G2" s="2597"/>
      <c r="H2" s="2598"/>
      <c r="I2" s="2599"/>
      <c r="J2" s="3348" t="s">
        <v>2317</v>
      </c>
      <c r="K2" s="3349"/>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0" t="s">
        <v>2327</v>
      </c>
      <c r="K3" s="3351"/>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0" t="s">
        <v>2329</v>
      </c>
      <c r="K4" s="3351"/>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56" t="s">
        <v>2333</v>
      </c>
      <c r="B6" s="3357"/>
      <c r="C6" s="3358"/>
      <c r="D6" s="2620"/>
      <c r="E6" s="2621"/>
      <c r="F6" s="2622"/>
      <c r="G6" s="2623"/>
      <c r="H6" s="2598"/>
      <c r="I6" s="2599"/>
      <c r="J6" s="3342">
        <v>1</v>
      </c>
      <c r="K6" s="334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42"/>
      <c r="K7" s="3344"/>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59" t="s">
        <v>2347</v>
      </c>
      <c r="C8" s="3360"/>
      <c r="D8" s="2639" t="s">
        <v>2348</v>
      </c>
      <c r="E8" s="2640" t="s">
        <v>2349</v>
      </c>
      <c r="F8" s="2641" t="s">
        <v>2350</v>
      </c>
      <c r="G8" s="2642"/>
      <c r="H8" s="2598"/>
      <c r="I8" s="2599"/>
      <c r="J8" s="3342"/>
      <c r="K8" s="3344"/>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59" t="s">
        <v>2353</v>
      </c>
      <c r="C9" s="3360"/>
      <c r="D9" s="2639">
        <f>ROUND(D6*E9,0)</f>
        <v>0</v>
      </c>
      <c r="E9" s="2643"/>
      <c r="F9" s="2644" t="s">
        <v>2354</v>
      </c>
      <c r="G9" s="2623"/>
      <c r="H9" s="2598"/>
      <c r="I9" s="2599"/>
      <c r="J9" s="3342"/>
      <c r="K9" s="3344"/>
      <c r="L9" s="2633" t="s">
        <v>2355</v>
      </c>
      <c r="M9" s="2634"/>
      <c r="N9" s="2610"/>
      <c r="O9" s="2635"/>
      <c r="P9" s="2635"/>
      <c r="Q9" s="2636">
        <v>365</v>
      </c>
      <c r="R9" s="2637">
        <f t="shared" si="0"/>
        <v>0</v>
      </c>
      <c r="S9" s="2591"/>
      <c r="T9" s="2591"/>
      <c r="U9" s="2591"/>
      <c r="V9" s="2599"/>
    </row>
    <row r="10" spans="1:22" s="2603" customFormat="1" ht="13.2" customHeight="1">
      <c r="A10" s="2638">
        <v>2</v>
      </c>
      <c r="B10" s="3359" t="s">
        <v>2356</v>
      </c>
      <c r="C10" s="3360"/>
      <c r="D10" s="2639">
        <f>ROUND(D6*E10,0)</f>
        <v>0</v>
      </c>
      <c r="E10" s="2643"/>
      <c r="F10" s="2644" t="s">
        <v>2357</v>
      </c>
      <c r="G10" s="2623"/>
      <c r="H10" s="2598"/>
      <c r="I10" s="2599"/>
      <c r="J10" s="3342"/>
      <c r="K10" s="3344"/>
      <c r="L10" s="2633" t="s">
        <v>2358</v>
      </c>
      <c r="M10" s="2634"/>
      <c r="N10" s="2610"/>
      <c r="O10" s="2635"/>
      <c r="P10" s="2635"/>
      <c r="Q10" s="2636">
        <v>365</v>
      </c>
      <c r="R10" s="2637">
        <f t="shared" si="0"/>
        <v>0</v>
      </c>
      <c r="S10" s="2591"/>
      <c r="T10" s="2591"/>
      <c r="U10" s="2591"/>
      <c r="V10" s="2599"/>
    </row>
    <row r="11" spans="1:22" s="2603" customFormat="1" ht="13.2" customHeight="1">
      <c r="A11" s="2638">
        <v>3</v>
      </c>
      <c r="B11" s="3359" t="s">
        <v>2359</v>
      </c>
      <c r="C11" s="3360"/>
      <c r="D11" s="2639">
        <f>D12+D14+D15+D16</f>
        <v>0</v>
      </c>
      <c r="E11" s="2645" t="e">
        <f>D11/D6</f>
        <v>#DIV/0!</v>
      </c>
      <c r="F11" s="2641"/>
      <c r="G11" s="2642"/>
      <c r="H11" s="2598"/>
      <c r="I11" s="2599"/>
      <c r="J11" s="3342"/>
      <c r="K11" s="3344"/>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52" t="s">
        <v>2362</v>
      </c>
      <c r="C12" s="3353"/>
      <c r="D12" s="2647">
        <f>ROUND(D13*1.2%*(1-30%),0)</f>
        <v>0</v>
      </c>
      <c r="E12" s="2648">
        <v>1.2E-2</v>
      </c>
      <c r="F12" s="2641" t="s">
        <v>2363</v>
      </c>
      <c r="G12" s="2642"/>
      <c r="H12" s="2598"/>
      <c r="I12" s="2599"/>
      <c r="J12" s="3342"/>
      <c r="K12" s="3344"/>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42"/>
      <c r="K13" s="3344"/>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52" t="s">
        <v>2368</v>
      </c>
      <c r="C14" s="3353"/>
      <c r="D14" s="2647">
        <f>ROUND(E14*B5/10000,0)</f>
        <v>0</v>
      </c>
      <c r="E14" s="2636"/>
      <c r="F14" s="2641" t="s">
        <v>2369</v>
      </c>
      <c r="G14" s="2642"/>
      <c r="H14" s="2598"/>
      <c r="I14" s="2599"/>
      <c r="J14" s="3342"/>
      <c r="K14" s="334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52" t="s">
        <v>2372</v>
      </c>
      <c r="C15" s="3353"/>
      <c r="D15" s="2647">
        <f>ROUND(D6*E15,0)</f>
        <v>0</v>
      </c>
      <c r="E15" s="2648">
        <v>5.5E-2</v>
      </c>
      <c r="F15" s="2641" t="s">
        <v>2373</v>
      </c>
      <c r="G15" s="2623"/>
      <c r="H15" s="2598"/>
      <c r="I15" s="2599"/>
      <c r="J15" s="3342">
        <v>2</v>
      </c>
      <c r="K15" s="334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52" t="s">
        <v>2381</v>
      </c>
      <c r="C16" s="3353"/>
      <c r="D16" s="2658">
        <f>D6*E16</f>
        <v>0</v>
      </c>
      <c r="E16" s="2659"/>
      <c r="F16" s="2644" t="s">
        <v>2382</v>
      </c>
      <c r="G16" s="2623"/>
      <c r="H16" s="2598"/>
      <c r="I16" s="2599"/>
      <c r="J16" s="3342"/>
      <c r="K16" s="3344"/>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54" t="s">
        <v>2384</v>
      </c>
      <c r="C17" s="3355"/>
      <c r="D17" s="2661">
        <f>ROUND(D6*E17,0)</f>
        <v>0</v>
      </c>
      <c r="E17" s="2662"/>
      <c r="F17" s="2663" t="s">
        <v>2385</v>
      </c>
      <c r="G17" s="2623"/>
      <c r="H17" s="2598"/>
      <c r="I17" s="2599"/>
      <c r="J17" s="3342"/>
      <c r="K17" s="3344"/>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42"/>
      <c r="K18" s="3344"/>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42"/>
      <c r="K19" s="334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42">
        <v>3</v>
      </c>
      <c r="K20" s="334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42"/>
      <c r="K21" s="3344"/>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42"/>
      <c r="K22" s="3344"/>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42"/>
      <c r="K23" s="3344"/>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42"/>
      <c r="K24" s="334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46">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4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48" t="s">
        <v>2317</v>
      </c>
      <c r="K32" s="3349"/>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0" t="s">
        <v>2327</v>
      </c>
      <c r="K33" s="3351"/>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0" t="s">
        <v>2329</v>
      </c>
      <c r="K34" s="335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42">
        <v>1</v>
      </c>
      <c r="K36" s="3343"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42"/>
      <c r="K37" s="3344"/>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42"/>
      <c r="K38" s="3344"/>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42"/>
      <c r="K39" s="3344"/>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42"/>
      <c r="K40" s="3345"/>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46">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4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332.428</v>
      </c>
      <c r="C2" s="1729" t="s">
        <v>1651</v>
      </c>
      <c r="D2" s="1730" t="s">
        <v>1652</v>
      </c>
      <c r="E2" s="2392">
        <f>SUM(E6:E13)</f>
        <v>271.22000000000003</v>
      </c>
      <c r="F2" s="2478"/>
      <c r="G2" s="459"/>
      <c r="H2" s="459"/>
      <c r="I2" s="459"/>
      <c r="J2" s="459"/>
      <c r="K2" s="459"/>
      <c r="L2" s="459"/>
      <c r="M2" s="459"/>
      <c r="N2" s="459"/>
      <c r="O2" s="459"/>
      <c r="P2" s="459"/>
      <c r="Q2" s="459"/>
      <c r="R2" s="459"/>
      <c r="S2" s="459"/>
    </row>
    <row r="3" spans="1:22" ht="15.6">
      <c r="A3" s="1728" t="s">
        <v>686</v>
      </c>
      <c r="B3" s="2386">
        <f ca="1">ROUND(B2*10000/E2,0)</f>
        <v>12257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1" t="s">
        <v>1654</v>
      </c>
      <c r="C5" s="3362"/>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332.428</v>
      </c>
      <c r="C6" s="1729" t="s">
        <v>1651</v>
      </c>
      <c r="D6" s="2478"/>
      <c r="E6" s="2391">
        <f>IF(OR(A6=0,F6="否"),0,'数据-取费表'!K6+'数据-取费表'!S6)</f>
        <v>271.22000000000003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271.22000000000003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1" t="s">
        <v>1667</v>
      </c>
      <c r="D4" s="3382"/>
      <c r="E4" s="3383" t="s">
        <v>1668</v>
      </c>
      <c r="F4" s="3384"/>
      <c r="G4" s="3381" t="s">
        <v>1669</v>
      </c>
      <c r="H4" s="3382"/>
      <c r="I4" s="3381" t="s">
        <v>1670</v>
      </c>
      <c r="J4" s="3382"/>
      <c r="K4" s="1744" t="s">
        <v>1671</v>
      </c>
      <c r="L4" s="2485"/>
      <c r="M4" s="2486"/>
      <c r="N4" s="2486"/>
      <c r="O4" s="2486"/>
      <c r="P4" s="3385" t="s">
        <v>1672</v>
      </c>
      <c r="Q4" s="3386"/>
      <c r="R4" s="3391" t="s">
        <v>1668</v>
      </c>
      <c r="S4" s="3392"/>
      <c r="T4" s="3391" t="s">
        <v>1669</v>
      </c>
      <c r="U4" s="3392"/>
      <c r="V4" s="3367" t="s">
        <v>1670</v>
      </c>
      <c r="W4" s="3367"/>
      <c r="X4" s="1265"/>
      <c r="Y4" s="3391" t="s">
        <v>1672</v>
      </c>
      <c r="Z4" s="3392"/>
      <c r="AA4" s="3378" t="s">
        <v>1668</v>
      </c>
      <c r="AB4" s="3378" t="s">
        <v>1669</v>
      </c>
      <c r="AC4" s="3378" t="s">
        <v>1670</v>
      </c>
    </row>
    <row r="5" spans="1:29">
      <c r="A5" s="348"/>
      <c r="B5" s="349"/>
      <c r="C5" s="3399" t="s">
        <v>1673</v>
      </c>
      <c r="D5" s="3400"/>
      <c r="E5" s="3406" t="s">
        <v>1674</v>
      </c>
      <c r="F5" s="3407"/>
      <c r="G5" s="3399" t="s">
        <v>1675</v>
      </c>
      <c r="H5" s="3400"/>
      <c r="I5" s="3399" t="s">
        <v>1676</v>
      </c>
      <c r="J5" s="3400"/>
      <c r="K5" s="1745"/>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1745"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1" t="s">
        <v>1680</v>
      </c>
      <c r="Q7" s="3403"/>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7"/>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7"/>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7"/>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7"/>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76"/>
      <c r="Q18" s="1263"/>
      <c r="R18" s="667"/>
      <c r="S18" s="668"/>
      <c r="T18" s="667"/>
      <c r="U18" s="668"/>
      <c r="V18" s="667"/>
      <c r="W18" s="668"/>
      <c r="X18" s="1265"/>
      <c r="Y18" s="336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76"/>
      <c r="Q20" s="1263"/>
      <c r="R20" s="667"/>
      <c r="S20" s="668"/>
      <c r="T20" s="667"/>
      <c r="U20" s="668"/>
      <c r="V20" s="667"/>
      <c r="W20" s="668"/>
      <c r="X20" s="1265"/>
      <c r="Y20" s="336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76"/>
      <c r="Q22" s="1263"/>
      <c r="R22" s="667"/>
      <c r="S22" s="668"/>
      <c r="T22" s="667"/>
      <c r="U22" s="668"/>
      <c r="V22" s="667"/>
      <c r="W22" s="668"/>
      <c r="X22" s="1265"/>
      <c r="Y22" s="336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6"/>
      <c r="Q27" s="530">
        <f t="shared" si="11"/>
        <v>111</v>
      </c>
      <c r="R27" s="664" t="s">
        <v>18</v>
      </c>
      <c r="S27" s="665">
        <f t="shared" si="12"/>
        <v>100</v>
      </c>
      <c r="T27" s="664" t="s">
        <v>18</v>
      </c>
      <c r="U27" s="665">
        <f t="shared" si="13"/>
        <v>100</v>
      </c>
      <c r="V27" s="664" t="s">
        <v>18</v>
      </c>
      <c r="W27" s="665">
        <f t="shared" si="14"/>
        <v>100</v>
      </c>
      <c r="X27" s="666"/>
      <c r="Y27" s="336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0" t="s">
        <v>1696</v>
      </c>
      <c r="Q32" s="1263" t="str">
        <f t="shared" si="11"/>
        <v>建筑类型</v>
      </c>
      <c r="R32" s="667" t="s">
        <v>18</v>
      </c>
      <c r="S32" s="668">
        <f t="shared" si="12"/>
        <v>100</v>
      </c>
      <c r="T32" s="667" t="s">
        <v>18</v>
      </c>
      <c r="U32" s="668">
        <f t="shared" si="13"/>
        <v>100</v>
      </c>
      <c r="V32" s="667" t="s">
        <v>18</v>
      </c>
      <c r="W32" s="668">
        <f t="shared" si="14"/>
        <v>100</v>
      </c>
      <c r="X32" s="1265"/>
      <c r="Y32" s="337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1"/>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271.22000000000003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414" t="s">
        <v>1775</v>
      </c>
      <c r="Q4" s="3415"/>
      <c r="R4" s="3418" t="s">
        <v>1771</v>
      </c>
      <c r="S4" s="3419"/>
      <c r="T4" s="3418" t="s">
        <v>1772</v>
      </c>
      <c r="U4" s="3419"/>
      <c r="V4" s="3420" t="s">
        <v>1773</v>
      </c>
      <c r="W4" s="3420"/>
      <c r="X4" s="1809"/>
      <c r="Y4" s="3418" t="s">
        <v>1775</v>
      </c>
      <c r="Z4" s="3419"/>
      <c r="AA4" s="3422" t="s">
        <v>1771</v>
      </c>
      <c r="AB4" s="3422" t="s">
        <v>1772</v>
      </c>
      <c r="AC4" s="3411" t="s">
        <v>1773</v>
      </c>
    </row>
    <row r="5" spans="1:29">
      <c r="A5" s="348"/>
      <c r="B5" s="349"/>
      <c r="C5" s="3399" t="s">
        <v>1673</v>
      </c>
      <c r="D5" s="3400"/>
      <c r="E5" s="3406" t="s">
        <v>1674</v>
      </c>
      <c r="F5" s="3407"/>
      <c r="G5" s="3399" t="s">
        <v>1675</v>
      </c>
      <c r="H5" s="3400"/>
      <c r="I5" s="3399" t="s">
        <v>1676</v>
      </c>
      <c r="J5" s="3400"/>
      <c r="K5" s="537"/>
      <c r="L5" s="2485"/>
      <c r="M5" s="2486"/>
      <c r="N5" s="2486"/>
      <c r="O5" s="2486"/>
      <c r="P5" s="3416"/>
      <c r="Q5" s="3388"/>
      <c r="R5" s="3393"/>
      <c r="S5" s="3394"/>
      <c r="T5" s="3393"/>
      <c r="U5" s="3394"/>
      <c r="V5" s="3367"/>
      <c r="W5" s="3367"/>
      <c r="X5" s="1265"/>
      <c r="Y5" s="3393"/>
      <c r="Z5" s="3394"/>
      <c r="AA5" s="3379"/>
      <c r="AB5" s="3379"/>
      <c r="AC5" s="3412"/>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417"/>
      <c r="Q6" s="3390"/>
      <c r="R6" s="3393"/>
      <c r="S6" s="3394"/>
      <c r="T6" s="3395"/>
      <c r="U6" s="3396"/>
      <c r="V6" s="3367"/>
      <c r="W6" s="3367"/>
      <c r="X6" s="1265"/>
      <c r="Y6" s="3395"/>
      <c r="Z6" s="3396"/>
      <c r="AA6" s="3380"/>
      <c r="AB6" s="3380"/>
      <c r="AC6" s="3413"/>
    </row>
    <row r="7" spans="1:29" s="102" customFormat="1" ht="15" thickBot="1">
      <c r="A7" s="352" t="s">
        <v>1679</v>
      </c>
      <c r="B7" s="353"/>
      <c r="C7" s="354">
        <f>'数据-取费表'!B2</f>
        <v>45712</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1" t="s">
        <v>1683</v>
      </c>
      <c r="Q8" s="3402"/>
      <c r="R8" s="664" t="s">
        <v>14</v>
      </c>
      <c r="S8" s="665">
        <f t="shared" si="0"/>
        <v>100</v>
      </c>
      <c r="T8" s="664" t="s">
        <v>14</v>
      </c>
      <c r="U8" s="665">
        <f t="shared" si="1"/>
        <v>100</v>
      </c>
      <c r="V8" s="664" t="s">
        <v>14</v>
      </c>
      <c r="W8" s="665">
        <f t="shared" si="2"/>
        <v>100</v>
      </c>
      <c r="X8" s="666"/>
      <c r="Y8" s="3401" t="s">
        <v>1683</v>
      </c>
      <c r="Z8" s="340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76"/>
      <c r="Q16" s="1263"/>
      <c r="R16" s="667"/>
      <c r="S16" s="668"/>
      <c r="T16" s="667"/>
      <c r="U16" s="668"/>
      <c r="V16" s="667"/>
      <c r="W16" s="668"/>
      <c r="X16" s="1265"/>
      <c r="Y16" s="336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76"/>
      <c r="Q18" s="1263"/>
      <c r="R18" s="667"/>
      <c r="S18" s="668"/>
      <c r="T18" s="667"/>
      <c r="U18" s="668"/>
      <c r="V18" s="667"/>
      <c r="W18" s="668"/>
      <c r="X18" s="1265"/>
      <c r="Y18" s="336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76"/>
      <c r="Q20" s="1263"/>
      <c r="R20" s="667"/>
      <c r="S20" s="668"/>
      <c r="T20" s="667"/>
      <c r="U20" s="668"/>
      <c r="V20" s="667"/>
      <c r="W20" s="668"/>
      <c r="X20" s="1265"/>
      <c r="Y20" s="336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76"/>
      <c r="Q22" s="1263"/>
      <c r="R22" s="667"/>
      <c r="S22" s="668"/>
      <c r="T22" s="667"/>
      <c r="U22" s="668"/>
      <c r="V22" s="667"/>
      <c r="W22" s="668"/>
      <c r="X22" s="1265"/>
      <c r="Y22" s="336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76"/>
      <c r="Q24" s="1263"/>
      <c r="R24" s="667"/>
      <c r="S24" s="668"/>
      <c r="T24" s="667"/>
      <c r="U24" s="668"/>
      <c r="V24" s="667"/>
      <c r="W24" s="668"/>
      <c r="X24" s="1265"/>
      <c r="Y24" s="336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76"/>
      <c r="Q26" s="1263"/>
      <c r="R26" s="667"/>
      <c r="S26" s="668"/>
      <c r="T26" s="667"/>
      <c r="U26" s="668"/>
      <c r="V26" s="667"/>
      <c r="W26" s="668"/>
      <c r="X26" s="1265"/>
      <c r="Y26" s="336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76"/>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1"/>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77" t="str">
        <f>A48</f>
        <v>成交单价（元/平方米）</v>
      </c>
      <c r="Q48" s="3366"/>
      <c r="R48" s="3367">
        <f>E48</f>
        <v>0</v>
      </c>
      <c r="S48" s="3367"/>
      <c r="T48" s="3367">
        <f>G48</f>
        <v>0</v>
      </c>
      <c r="U48" s="3367"/>
      <c r="V48" s="3367">
        <f>I48</f>
        <v>0</v>
      </c>
      <c r="W48" s="3367"/>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77"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08" t="str">
        <f>A50</f>
        <v>估价对象XX用房的比较价值（楼面单价，元/平方米）</v>
      </c>
      <c r="Q50" s="3409"/>
      <c r="R50" s="3410" t="e">
        <f>IF(F1="售价",ROUND(IF(D49="简单平均",AVERAGE(R49:V49),R49*F49+T49*H49+V49*J49),0),ROUND(IF(D49="简单平均",AVERAGE(R49:V49),R49*F49+T49*H49+V49*J49),1))</f>
        <v>#DIV/0!</v>
      </c>
      <c r="S50" s="3410"/>
      <c r="T50" s="3410"/>
      <c r="U50" s="3410"/>
      <c r="V50" s="3410"/>
      <c r="W50" s="341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271.22000000000003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860"/>
      <c r="M5" s="861"/>
      <c r="N5" s="861"/>
      <c r="O5" s="861"/>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860"/>
      <c r="M6" s="861"/>
      <c r="N6" s="861"/>
      <c r="O6" s="861"/>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45712</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3" t="str">
        <f t="shared" si="11"/>
        <v>成新度</v>
      </c>
      <c r="R33" s="667" t="s">
        <v>14</v>
      </c>
      <c r="S33" s="668" t="e">
        <f t="shared" si="12"/>
        <v>#N/A</v>
      </c>
      <c r="T33" s="667" t="s">
        <v>14</v>
      </c>
      <c r="U33" s="668" t="e">
        <f t="shared" si="13"/>
        <v>#N/A</v>
      </c>
      <c r="V33" s="667" t="s">
        <v>14</v>
      </c>
      <c r="W33" s="668" t="e">
        <f t="shared" si="14"/>
        <v>#N/A</v>
      </c>
      <c r="X33" s="1265"/>
      <c r="Y33" s="33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365" t="e">
        <f>IF(F1="售价",ROUND(IF(D42="简单平均",AVERAGE(R42:V42),R42*F42+T42*H42+V42*J42),0),ROUND(IF(D42="简单平均",AVERAGE(R42:V42),R42*F42+T42*H42+V42*J42),1))</f>
        <v>#DIV/0!</v>
      </c>
      <c r="S43" s="3365"/>
      <c r="T43" s="3365"/>
      <c r="U43" s="3365"/>
      <c r="V43" s="3365"/>
      <c r="W43" s="336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45712</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69"/>
      <c r="Q15" s="1263"/>
      <c r="R15" s="667"/>
      <c r="S15" s="668"/>
      <c r="T15" s="667"/>
      <c r="U15" s="668"/>
      <c r="V15" s="667"/>
      <c r="W15" s="668"/>
      <c r="X15" s="1265"/>
      <c r="Y15" s="336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69"/>
      <c r="Q17" s="1263"/>
      <c r="R17" s="667"/>
      <c r="S17" s="668"/>
      <c r="T17" s="667"/>
      <c r="U17" s="668"/>
      <c r="V17" s="667"/>
      <c r="W17" s="668"/>
      <c r="X17" s="1265"/>
      <c r="Y17" s="336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69"/>
      <c r="Q19" s="1263"/>
      <c r="R19" s="667"/>
      <c r="S19" s="668"/>
      <c r="T19" s="667"/>
      <c r="U19" s="668"/>
      <c r="V19" s="667"/>
      <c r="W19" s="668"/>
      <c r="X19" s="1265"/>
      <c r="Y19" s="336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366" t="str">
        <f>A37</f>
        <v>成交单价</v>
      </c>
      <c r="Q37" s="3366"/>
      <c r="R37" s="3367">
        <f>E37</f>
        <v>0</v>
      </c>
      <c r="S37" s="3367"/>
      <c r="T37" s="3367">
        <f>G37</f>
        <v>0</v>
      </c>
      <c r="U37" s="3367"/>
      <c r="V37" s="3367">
        <f>I37</f>
        <v>0</v>
      </c>
      <c r="W37" s="3367"/>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63" t="str">
        <f>A39</f>
        <v>估价对象XX用房的比较价值（楼面单价，元/平方米）</v>
      </c>
      <c r="Q39" s="3364"/>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受贵公司委托，我公司对北京市景文东路1号院22号楼1至2层105房地产抵押价值进行了预评估。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估价对象为北京市景文东路1号院22号楼1至2层105房地产，为所有。根据《国有土地使用证》[]，估价对象（分摊）出让国有建设用地使用权面积为0平方米，建筑面积为271.22平方米。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文东路1号院22号楼1至2层105房地产,属开发建设的商业项目，该项目尚在开发建设中。根据《国有土地使用证》[]，估价对象（分摊）出让国有建设用地使用权面积为0平方米，规划建筑面积为271.22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景文东路1号院22号楼1至2层105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2025年2月24日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1" t="s">
        <v>1680</v>
      </c>
      <c r="Q7" s="3403"/>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6"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6"/>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6"/>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69"/>
      <c r="Q15" s="1263"/>
      <c r="R15" s="667"/>
      <c r="S15" s="668"/>
      <c r="T15" s="667"/>
      <c r="U15" s="668"/>
      <c r="V15" s="667"/>
      <c r="W15" s="668"/>
      <c r="X15" s="1265"/>
      <c r="Y15" s="336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69"/>
      <c r="Q17" s="1263"/>
      <c r="R17" s="667"/>
      <c r="S17" s="668"/>
      <c r="T17" s="667"/>
      <c r="U17" s="668"/>
      <c r="V17" s="667"/>
      <c r="W17" s="668"/>
      <c r="X17" s="1265"/>
      <c r="Y17" s="336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69"/>
      <c r="Q19" s="1263"/>
      <c r="R19" s="667"/>
      <c r="S19" s="668"/>
      <c r="T19" s="667"/>
      <c r="U19" s="668"/>
      <c r="V19" s="667"/>
      <c r="W19" s="668"/>
      <c r="X19" s="1265"/>
      <c r="Y19" s="336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63" t="str">
        <f>A37</f>
        <v>估价对象XX用房的比较价值（楼面单价，元/平方米）</v>
      </c>
      <c r="Q37" s="3364"/>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122</v>
      </c>
      <c r="G10" s="402"/>
      <c r="H10" s="119">
        <f>ROUND(100/'数据-取费表'!G16,0)</f>
        <v>122</v>
      </c>
      <c r="I10" s="402"/>
      <c r="J10" s="119">
        <f>ROUND(100/'数据-取费表'!G16,0)</f>
        <v>122</v>
      </c>
      <c r="K10" s="592"/>
      <c r="L10" s="2488"/>
      <c r="M10" s="2489"/>
      <c r="N10" s="2489"/>
      <c r="O10" s="2540"/>
      <c r="P10" s="3366"/>
      <c r="Q10" s="530" t="str">
        <f t="shared" si="6"/>
        <v>土地使用年限（年）</v>
      </c>
      <c r="R10" s="664" t="s">
        <v>14</v>
      </c>
      <c r="S10" s="665">
        <f t="shared" si="0"/>
        <v>122</v>
      </c>
      <c r="T10" s="664" t="s">
        <v>14</v>
      </c>
      <c r="U10" s="665">
        <f t="shared" si="1"/>
        <v>122</v>
      </c>
      <c r="V10" s="664" t="s">
        <v>14</v>
      </c>
      <c r="W10" s="665">
        <f t="shared" si="2"/>
        <v>122</v>
      </c>
      <c r="X10" s="666"/>
      <c r="Y10" s="3241"/>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6"/>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69"/>
      <c r="Q16" s="1263"/>
      <c r="R16" s="667"/>
      <c r="S16" s="668"/>
      <c r="T16" s="667"/>
      <c r="U16" s="668"/>
      <c r="V16" s="667"/>
      <c r="W16" s="668"/>
      <c r="X16" s="1265"/>
      <c r="Y16" s="336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69"/>
      <c r="Q18" s="1263"/>
      <c r="R18" s="667"/>
      <c r="S18" s="668"/>
      <c r="T18" s="667"/>
      <c r="U18" s="668"/>
      <c r="V18" s="667"/>
      <c r="W18" s="668"/>
      <c r="X18" s="1265"/>
      <c r="Y18" s="336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69"/>
      <c r="Q20" s="1263"/>
      <c r="R20" s="667"/>
      <c r="S20" s="668"/>
      <c r="T20" s="667"/>
      <c r="U20" s="668"/>
      <c r="V20" s="667"/>
      <c r="W20" s="668"/>
      <c r="X20" s="1265"/>
      <c r="Y20" s="336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69"/>
      <c r="Q22" s="1263"/>
      <c r="R22" s="667"/>
      <c r="S22" s="668"/>
      <c r="T22" s="667"/>
      <c r="U22" s="668"/>
      <c r="V22" s="667"/>
      <c r="W22" s="668"/>
      <c r="X22" s="1265"/>
      <c r="Y22" s="336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69"/>
      <c r="Q24" s="1263"/>
      <c r="R24" s="667"/>
      <c r="S24" s="668"/>
      <c r="T24" s="667"/>
      <c r="U24" s="668"/>
      <c r="V24" s="667"/>
      <c r="W24" s="668"/>
      <c r="X24" s="1265"/>
      <c r="Y24" s="336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69"/>
      <c r="Q26" s="1263"/>
      <c r="R26" s="667"/>
      <c r="S26" s="668"/>
      <c r="T26" s="667"/>
      <c r="U26" s="668"/>
      <c r="V26" s="667"/>
      <c r="W26" s="668"/>
      <c r="X26" s="1265"/>
      <c r="Y26" s="336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69"/>
      <c r="Q28" s="530"/>
      <c r="R28" s="664"/>
      <c r="S28" s="665"/>
      <c r="T28" s="664"/>
      <c r="U28" s="665"/>
      <c r="V28" s="664"/>
      <c r="W28" s="665"/>
      <c r="X28" s="666"/>
      <c r="Y28" s="336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3"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66" t="str">
        <f>A46</f>
        <v>成交单价</v>
      </c>
      <c r="Q46" s="3366"/>
      <c r="R46" s="3367">
        <f>E46</f>
        <v>0</v>
      </c>
      <c r="S46" s="3367"/>
      <c r="T46" s="3367">
        <f>G46</f>
        <v>0</v>
      </c>
      <c r="U46" s="3367"/>
      <c r="V46" s="3367">
        <f>I46</f>
        <v>0</v>
      </c>
      <c r="W46" s="3367"/>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66" t="str">
        <f>A47</f>
        <v>比较价值（元/平方米）</v>
      </c>
      <c r="Q47" s="3366"/>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63" t="str">
        <f>A48</f>
        <v>估价对象XX用房的比较价值（楼面单价，元/平方米）</v>
      </c>
      <c r="Q48" s="3364"/>
      <c r="R48" s="3426" t="e">
        <f>ROUND(IF(D47="简单平均",AVERAGE(R47:W47),R47*F47+T47*H47+V47*J47),0)</f>
        <v>#DIV/0!</v>
      </c>
      <c r="S48" s="3426"/>
      <c r="T48" s="3426"/>
      <c r="U48" s="3426"/>
      <c r="V48" s="3426"/>
      <c r="W48" s="342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1" t="s">
        <v>1887</v>
      </c>
      <c r="H55" s="342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271.22000000000003</v>
      </c>
      <c r="F56" s="833" t="e">
        <f t="shared" ref="F56:F64" si="15">ROUND(B56*E56/10000,0)</f>
        <v>#DIV/0!</v>
      </c>
      <c r="G56" s="3377"/>
      <c r="H56" s="336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271.22000000000003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1" t="s">
        <v>1770</v>
      </c>
      <c r="D4" s="3382"/>
      <c r="E4" s="3383" t="s">
        <v>1771</v>
      </c>
      <c r="F4" s="3384"/>
      <c r="G4" s="3381" t="s">
        <v>1772</v>
      </c>
      <c r="H4" s="3382"/>
      <c r="I4" s="3381" t="s">
        <v>1773</v>
      </c>
      <c r="J4" s="3382"/>
      <c r="K4" s="537" t="s">
        <v>1774</v>
      </c>
      <c r="L4" s="2485"/>
      <c r="M4" s="2486"/>
      <c r="N4" s="2486"/>
      <c r="O4" s="2486"/>
      <c r="P4" s="3385" t="s">
        <v>1775</v>
      </c>
      <c r="Q4" s="3386"/>
      <c r="R4" s="3391" t="s">
        <v>1771</v>
      </c>
      <c r="S4" s="3392"/>
      <c r="T4" s="3391" t="s">
        <v>1772</v>
      </c>
      <c r="U4" s="3392"/>
      <c r="V4" s="3367" t="s">
        <v>1773</v>
      </c>
      <c r="W4" s="3367"/>
      <c r="X4" s="1265"/>
      <c r="Y4" s="3391" t="s">
        <v>1775</v>
      </c>
      <c r="Z4" s="3392"/>
      <c r="AA4" s="3378" t="s">
        <v>1771</v>
      </c>
      <c r="AB4" s="3379" t="s">
        <v>1772</v>
      </c>
      <c r="AC4" s="3378" t="s">
        <v>1773</v>
      </c>
    </row>
    <row r="5" spans="1:29">
      <c r="A5" s="348"/>
      <c r="B5" s="349"/>
      <c r="C5" s="3399" t="s">
        <v>1673</v>
      </c>
      <c r="D5" s="3400"/>
      <c r="E5" s="3406" t="s">
        <v>1674</v>
      </c>
      <c r="F5" s="3407"/>
      <c r="G5" s="3399" t="s">
        <v>1675</v>
      </c>
      <c r="H5" s="3400"/>
      <c r="I5" s="3399" t="s">
        <v>1676</v>
      </c>
      <c r="J5" s="3400"/>
      <c r="K5" s="537"/>
      <c r="L5" s="2485"/>
      <c r="M5" s="2486"/>
      <c r="N5" s="2486"/>
      <c r="O5" s="2486"/>
      <c r="P5" s="3387"/>
      <c r="Q5" s="3388"/>
      <c r="R5" s="3393"/>
      <c r="S5" s="3394"/>
      <c r="T5" s="3393"/>
      <c r="U5" s="3394"/>
      <c r="V5" s="3367"/>
      <c r="W5" s="3367"/>
      <c r="X5" s="1265"/>
      <c r="Y5" s="3393"/>
      <c r="Z5" s="3394"/>
      <c r="AA5" s="3379"/>
      <c r="AB5" s="3379"/>
      <c r="AC5" s="3379"/>
    </row>
    <row r="6" spans="1:29" ht="15" thickBot="1">
      <c r="A6" s="350"/>
      <c r="B6" s="351"/>
      <c r="C6" s="3428" t="s">
        <v>1919</v>
      </c>
      <c r="D6" s="3429"/>
      <c r="E6" s="3430" t="s">
        <v>1919</v>
      </c>
      <c r="F6" s="3431"/>
      <c r="G6" s="3428" t="s">
        <v>1919</v>
      </c>
      <c r="H6" s="3429"/>
      <c r="I6" s="3428" t="s">
        <v>1919</v>
      </c>
      <c r="J6" s="3429"/>
      <c r="K6" s="537" t="s">
        <v>1678</v>
      </c>
      <c r="L6" s="2485"/>
      <c r="M6" s="2486"/>
      <c r="N6" s="2486"/>
      <c r="O6" s="2486"/>
      <c r="P6" s="3389"/>
      <c r="Q6" s="3390"/>
      <c r="R6" s="3393"/>
      <c r="S6" s="3394"/>
      <c r="T6" s="3395"/>
      <c r="U6" s="3396"/>
      <c r="V6" s="3367"/>
      <c r="W6" s="3367"/>
      <c r="X6" s="1265"/>
      <c r="Y6" s="3395"/>
      <c r="Z6" s="3396"/>
      <c r="AA6" s="3380"/>
      <c r="AB6" s="3380"/>
      <c r="AC6" s="3380"/>
    </row>
    <row r="7" spans="1:29" s="102" customFormat="1" ht="15" thickBot="1">
      <c r="A7" s="352" t="s">
        <v>1679</v>
      </c>
      <c r="B7" s="353"/>
      <c r="C7" s="354">
        <f>'数据-取费表'!B2</f>
        <v>45712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1" t="s">
        <v>1680</v>
      </c>
      <c r="Q7" s="3403"/>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6"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122</v>
      </c>
      <c r="G10" s="371"/>
      <c r="H10" s="119">
        <f>ROUND(100/'数据-取费表'!G16,0)</f>
        <v>122</v>
      </c>
      <c r="I10" s="371"/>
      <c r="J10" s="119">
        <f>ROUND(100/'数据-取费表'!G16,0)</f>
        <v>122</v>
      </c>
      <c r="K10" s="592"/>
      <c r="L10" s="2488"/>
      <c r="M10" s="2489"/>
      <c r="N10" s="2489"/>
      <c r="O10" s="2540"/>
      <c r="P10" s="3366"/>
      <c r="Q10" s="530" t="str">
        <f t="shared" si="6"/>
        <v>土地使用年限（年）</v>
      </c>
      <c r="R10" s="664" t="s">
        <v>14</v>
      </c>
      <c r="S10" s="665">
        <f t="shared" si="0"/>
        <v>122</v>
      </c>
      <c r="T10" s="664" t="s">
        <v>14</v>
      </c>
      <c r="U10" s="665">
        <f t="shared" si="1"/>
        <v>122</v>
      </c>
      <c r="V10" s="664" t="s">
        <v>14</v>
      </c>
      <c r="W10" s="665">
        <f t="shared" si="2"/>
        <v>122</v>
      </c>
      <c r="X10" s="666"/>
      <c r="Y10" s="3241"/>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6"/>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6"/>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6"/>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69"/>
      <c r="Q16" s="1263"/>
      <c r="R16" s="667"/>
      <c r="S16" s="668"/>
      <c r="T16" s="667"/>
      <c r="U16" s="668"/>
      <c r="V16" s="667"/>
      <c r="W16" s="668"/>
      <c r="X16" s="1265"/>
      <c r="Y16" s="336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69"/>
      <c r="Q18" s="1263"/>
      <c r="R18" s="667"/>
      <c r="S18" s="668"/>
      <c r="T18" s="667"/>
      <c r="U18" s="668"/>
      <c r="V18" s="667"/>
      <c r="W18" s="668"/>
      <c r="X18" s="1265"/>
      <c r="Y18" s="336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69"/>
      <c r="Q20" s="1263"/>
      <c r="R20" s="667"/>
      <c r="S20" s="668"/>
      <c r="T20" s="667"/>
      <c r="U20" s="668"/>
      <c r="V20" s="667"/>
      <c r="W20" s="668"/>
      <c r="X20" s="1265"/>
      <c r="Y20" s="336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69"/>
      <c r="Q22" s="1263"/>
      <c r="R22" s="667"/>
      <c r="S22" s="668"/>
      <c r="T22" s="667"/>
      <c r="U22" s="668"/>
      <c r="V22" s="667"/>
      <c r="W22" s="668"/>
      <c r="X22" s="1265"/>
      <c r="Y22" s="336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3"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66" t="str">
        <f>A41</f>
        <v>成交单价</v>
      </c>
      <c r="Q41" s="3366"/>
      <c r="R41" s="3367">
        <f>E41</f>
        <v>0</v>
      </c>
      <c r="S41" s="3367"/>
      <c r="T41" s="3367">
        <f>G41</f>
        <v>0</v>
      </c>
      <c r="U41" s="3367"/>
      <c r="V41" s="3367">
        <f>I41</f>
        <v>0</v>
      </c>
      <c r="W41" s="3367"/>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66" t="str">
        <f>A42</f>
        <v>比较价值（元/平方米）</v>
      </c>
      <c r="Q42" s="3366"/>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63" t="str">
        <f>A43</f>
        <v>估价对象XX用房的比较价值（楼面单价，元/平方米）</v>
      </c>
      <c r="Q43" s="3364"/>
      <c r="R43" s="3426" t="e">
        <f>ROUND(IF(D42="简单平均",AVERAGE(R42:W42),R42*F42+T42*H42+V42*J42),0)</f>
        <v>#DIV/0!</v>
      </c>
      <c r="S43" s="3426"/>
      <c r="T43" s="3426"/>
      <c r="U43" s="3426"/>
      <c r="V43" s="3426"/>
      <c r="W43" s="342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1" t="s">
        <v>1887</v>
      </c>
      <c r="H50" s="342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271.22000000000003</v>
      </c>
      <c r="F51" s="611" t="e">
        <f t="shared" ref="F51:F60" si="15">ROUND(B51*E51/10000,0)</f>
        <v>#DIV/0!</v>
      </c>
      <c r="G51" s="3377"/>
      <c r="H51" s="336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239</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239</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BCCE3-BA01-430E-9C31-3F5920C0E7C7}">
  <sheetPr>
    <tabColor rgb="FF7030A0"/>
  </sheetPr>
  <dimension ref="A1:R74"/>
  <sheetViews>
    <sheetView workbookViewId="0">
      <selection activeCell="B11" sqref="B11"/>
    </sheetView>
  </sheetViews>
  <sheetFormatPr defaultRowHeight="14.4"/>
  <sheetData>
    <row r="1" spans="1:18">
      <c r="A1" s="1405" t="s">
        <v>3497</v>
      </c>
      <c r="B1" s="1405"/>
    </row>
    <row r="2" spans="1:18">
      <c r="A2" s="1405" t="s">
        <v>3390</v>
      </c>
      <c r="B2">
        <v>226</v>
      </c>
      <c r="D2" s="1405" t="s">
        <v>3498</v>
      </c>
    </row>
    <row r="3" spans="1:18">
      <c r="A3" s="1405" t="s">
        <v>3499</v>
      </c>
      <c r="B3">
        <v>800</v>
      </c>
      <c r="C3" s="1405" t="s">
        <v>3500</v>
      </c>
    </row>
    <row r="4" spans="1:18">
      <c r="A4" s="1405" t="s">
        <v>3391</v>
      </c>
      <c r="B4">
        <f>B3/B2*10000</f>
        <v>35398.230088495577</v>
      </c>
    </row>
    <row r="5" spans="1:18">
      <c r="A5" s="1405" t="s">
        <v>3501</v>
      </c>
      <c r="B5" s="1405" t="s">
        <v>3502</v>
      </c>
    </row>
    <row r="6" spans="1:18">
      <c r="A6" s="1405" t="s">
        <v>3503</v>
      </c>
    </row>
    <row r="7" spans="1:18">
      <c r="A7" s="1405" t="s">
        <v>3504</v>
      </c>
    </row>
    <row r="8" spans="1:18">
      <c r="A8" s="1405" t="s">
        <v>3505</v>
      </c>
      <c r="O8" s="1405" t="s">
        <v>3506</v>
      </c>
      <c r="P8" s="1405" t="s">
        <v>3507</v>
      </c>
    </row>
    <row r="9" spans="1:18">
      <c r="A9" s="1405" t="s">
        <v>3508</v>
      </c>
    </row>
    <row r="10" spans="1:18">
      <c r="A10" s="1405" t="s">
        <v>3509</v>
      </c>
    </row>
    <row r="11" spans="1:18">
      <c r="B11">
        <f>300000/B2/365</f>
        <v>3.6368044611468058</v>
      </c>
    </row>
    <row r="14" spans="1:18">
      <c r="P14" s="1405" t="s">
        <v>3510</v>
      </c>
    </row>
    <row r="15" spans="1:18">
      <c r="P15" s="1405" t="s">
        <v>3511</v>
      </c>
      <c r="R15" s="1405"/>
    </row>
    <row r="16" spans="1:18">
      <c r="P16" s="1405" t="s">
        <v>3390</v>
      </c>
      <c r="Q16">
        <v>200</v>
      </c>
    </row>
    <row r="17" spans="16:18">
      <c r="P17" s="1405" t="s">
        <v>3499</v>
      </c>
      <c r="Q17">
        <v>605</v>
      </c>
    </row>
    <row r="18" spans="16:18">
      <c r="P18" s="1405" t="s">
        <v>3391</v>
      </c>
      <c r="Q18">
        <v>30250</v>
      </c>
    </row>
    <row r="19" spans="16:18">
      <c r="P19" s="1405" t="s">
        <v>3501</v>
      </c>
      <c r="Q19" s="3503" t="s">
        <v>3512</v>
      </c>
      <c r="R19" s="1405" t="s">
        <v>3513</v>
      </c>
    </row>
    <row r="20" spans="16:18">
      <c r="P20" s="1405" t="s">
        <v>3514</v>
      </c>
    </row>
    <row r="21" spans="16:18">
      <c r="P21" s="1405" t="s">
        <v>3515</v>
      </c>
    </row>
    <row r="23" spans="16:18">
      <c r="P23" s="1405"/>
    </row>
    <row r="24" spans="16:18">
      <c r="P24" s="1405" t="s">
        <v>3509</v>
      </c>
    </row>
    <row r="52" spans="14:16">
      <c r="N52" s="1405" t="s">
        <v>3516</v>
      </c>
    </row>
    <row r="53" spans="14:16">
      <c r="N53" s="1405" t="s">
        <v>3517</v>
      </c>
    </row>
    <row r="54" spans="14:16">
      <c r="N54" s="1405" t="s">
        <v>3390</v>
      </c>
      <c r="O54">
        <v>312</v>
      </c>
      <c r="P54" s="1405"/>
    </row>
    <row r="55" spans="14:16">
      <c r="N55" s="1405" t="s">
        <v>3391</v>
      </c>
      <c r="O55">
        <v>29000</v>
      </c>
    </row>
    <row r="56" spans="14:16">
      <c r="N56" s="1405" t="s">
        <v>3518</v>
      </c>
    </row>
    <row r="57" spans="14:16">
      <c r="N57" s="1405" t="s">
        <v>3519</v>
      </c>
    </row>
    <row r="58" spans="14:16">
      <c r="N58" s="1405" t="s">
        <v>3520</v>
      </c>
      <c r="O58">
        <v>62</v>
      </c>
      <c r="P58" s="1405" t="s">
        <v>3521</v>
      </c>
    </row>
    <row r="59" spans="14:16">
      <c r="N59" s="1405" t="s">
        <v>3501</v>
      </c>
      <c r="O59" s="1405" t="s">
        <v>3426</v>
      </c>
    </row>
    <row r="60" spans="14:16">
      <c r="N60" s="1405" t="s">
        <v>3522</v>
      </c>
      <c r="O60" s="1405" t="s">
        <v>3523</v>
      </c>
    </row>
    <row r="61" spans="14:16">
      <c r="O61">
        <f>O58*10000/O54/365</f>
        <v>5.4443273621355814</v>
      </c>
    </row>
    <row r="65" spans="14:16">
      <c r="N65" s="1405" t="s">
        <v>3524</v>
      </c>
    </row>
    <row r="66" spans="14:16">
      <c r="N66" s="1405" t="s">
        <v>3525</v>
      </c>
      <c r="P66" s="1405"/>
    </row>
    <row r="67" spans="14:16">
      <c r="N67" s="1405" t="s">
        <v>3390</v>
      </c>
      <c r="O67">
        <v>185</v>
      </c>
    </row>
    <row r="68" spans="14:16">
      <c r="N68" s="1405" t="s">
        <v>3499</v>
      </c>
      <c r="O68">
        <v>528</v>
      </c>
    </row>
    <row r="69" spans="14:16">
      <c r="N69" s="1405" t="s">
        <v>3391</v>
      </c>
      <c r="O69">
        <f>ROUND(O68/O67*10000,0)</f>
        <v>28541</v>
      </c>
    </row>
    <row r="70" spans="14:16">
      <c r="N70" s="1405" t="s">
        <v>3526</v>
      </c>
    </row>
    <row r="71" spans="14:16">
      <c r="N71" s="1405" t="s">
        <v>3518</v>
      </c>
    </row>
    <row r="72" spans="14:16">
      <c r="N72" s="1405" t="s">
        <v>3527</v>
      </c>
    </row>
    <row r="73" spans="14:16">
      <c r="N73" s="1405" t="s">
        <v>3520</v>
      </c>
      <c r="O73">
        <v>24</v>
      </c>
    </row>
    <row r="74" spans="14:16">
      <c r="O74">
        <f>O73*10000/O67/365</f>
        <v>3.5542391706775267</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49EE4-BEC1-4A47-9870-929E76013D04}">
  <sheetPr>
    <tabColor rgb="FF7030A0"/>
  </sheetPr>
  <dimension ref="A1:I17"/>
  <sheetViews>
    <sheetView workbookViewId="0">
      <selection activeCell="A2" sqref="A2"/>
    </sheetView>
  </sheetViews>
  <sheetFormatPr defaultRowHeight="14.4"/>
  <cols>
    <col min="1" max="1" width="9.5546875" customWidth="1"/>
  </cols>
  <sheetData>
    <row r="1" spans="1:9">
      <c r="A1" s="1405" t="s">
        <v>3552</v>
      </c>
      <c r="B1" s="1405" t="s">
        <v>3422</v>
      </c>
      <c r="C1">
        <v>800000</v>
      </c>
    </row>
    <row r="2" spans="1:9">
      <c r="B2" s="1405" t="s">
        <v>3424</v>
      </c>
      <c r="C2">
        <f>'数据-汇总表'!E19</f>
        <v>271.22000000000003</v>
      </c>
    </row>
    <row r="3" spans="1:9">
      <c r="B3" s="1405" t="s">
        <v>3444</v>
      </c>
      <c r="C3">
        <f>ROUND(C1/C2/365,2)</f>
        <v>8.08</v>
      </c>
    </row>
    <row r="4" spans="1:9">
      <c r="A4" s="1405" t="s">
        <v>3551</v>
      </c>
    </row>
    <row r="5" spans="1:9">
      <c r="A5" s="1405" t="s">
        <v>3549</v>
      </c>
      <c r="B5">
        <f>C2/2</f>
        <v>135.61000000000001</v>
      </c>
    </row>
    <row r="6" spans="1:9">
      <c r="A6" s="1405" t="s">
        <v>3550</v>
      </c>
      <c r="B6">
        <f>B5</f>
        <v>135.61000000000001</v>
      </c>
    </row>
    <row r="7" spans="1:9">
      <c r="A7" s="1405" t="s">
        <v>2592</v>
      </c>
      <c r="B7">
        <f>B5+B6</f>
        <v>271.22000000000003</v>
      </c>
    </row>
    <row r="10" spans="1:9">
      <c r="F10" s="1405" t="s">
        <v>3390</v>
      </c>
      <c r="G10" s="1405" t="s">
        <v>3445</v>
      </c>
      <c r="H10" s="1405" t="s">
        <v>3446</v>
      </c>
    </row>
    <row r="11" spans="1:9">
      <c r="E11" s="1405" t="s">
        <v>3447</v>
      </c>
      <c r="F11">
        <v>550</v>
      </c>
      <c r="G11">
        <v>3.6</v>
      </c>
      <c r="H11" s="1405" t="s">
        <v>3448</v>
      </c>
      <c r="I11" s="1405" t="s">
        <v>3449</v>
      </c>
    </row>
    <row r="17" spans="7:7">
      <c r="G17" s="1405"/>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A3C37-0D04-4A55-B16A-78FBB6DAE154}">
  <sheetPr>
    <tabColor rgb="FF92D050"/>
    <pageSetUpPr fitToPage="1"/>
  </sheetPr>
  <dimension ref="A1:AC131"/>
  <sheetViews>
    <sheetView view="pageBreakPreview" zoomScale="85" zoomScaleNormal="70" zoomScaleSheetLayoutView="85" workbookViewId="0">
      <selection activeCell="E47" sqref="E47"/>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3456</v>
      </c>
      <c r="F1" s="1735" t="s">
        <v>3457</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271.22000000000003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81" t="s">
        <v>1667</v>
      </c>
      <c r="D4" s="3382"/>
      <c r="E4" s="3383" t="s">
        <v>1668</v>
      </c>
      <c r="F4" s="3384"/>
      <c r="G4" s="3381" t="s">
        <v>1669</v>
      </c>
      <c r="H4" s="3382"/>
      <c r="I4" s="3381" t="s">
        <v>1670</v>
      </c>
      <c r="J4" s="3382"/>
      <c r="K4" s="537" t="s">
        <v>1671</v>
      </c>
      <c r="L4" s="2485"/>
      <c r="M4" s="2486"/>
      <c r="N4" s="2486"/>
      <c r="O4" s="2486"/>
      <c r="P4" s="3385" t="s">
        <v>1672</v>
      </c>
      <c r="Q4" s="3386"/>
      <c r="R4" s="3391" t="s">
        <v>1668</v>
      </c>
      <c r="S4" s="3392"/>
      <c r="T4" s="3391" t="s">
        <v>1669</v>
      </c>
      <c r="U4" s="3392"/>
      <c r="V4" s="3367" t="s">
        <v>1670</v>
      </c>
      <c r="W4" s="3367"/>
      <c r="X4" s="1265"/>
      <c r="Y4" s="3391" t="s">
        <v>1672</v>
      </c>
      <c r="Z4" s="3392"/>
      <c r="AA4" s="3378" t="s">
        <v>1668</v>
      </c>
      <c r="AB4" s="3367" t="s">
        <v>1669</v>
      </c>
      <c r="AC4" s="3378" t="s">
        <v>1670</v>
      </c>
    </row>
    <row r="5" spans="1:29" ht="13.8" customHeight="1">
      <c r="A5" s="348"/>
      <c r="B5" s="349"/>
      <c r="C5" s="3399" t="s">
        <v>1673</v>
      </c>
      <c r="D5" s="3400"/>
      <c r="E5" s="3509"/>
      <c r="F5" s="3407"/>
      <c r="G5" s="3504"/>
      <c r="H5" s="3505"/>
      <c r="I5" s="3506"/>
      <c r="J5" s="3507"/>
      <c r="K5" s="537"/>
      <c r="L5" s="2485"/>
      <c r="M5" s="2486"/>
      <c r="N5" s="2486"/>
      <c r="O5" s="2486"/>
      <c r="P5" s="3387"/>
      <c r="Q5" s="3388"/>
      <c r="R5" s="3393"/>
      <c r="S5" s="3394"/>
      <c r="T5" s="3393"/>
      <c r="U5" s="3394"/>
      <c r="V5" s="3367"/>
      <c r="W5" s="3367"/>
      <c r="X5" s="1265"/>
      <c r="Y5" s="3393"/>
      <c r="Z5" s="3394"/>
      <c r="AA5" s="3379"/>
      <c r="AB5" s="3367"/>
      <c r="AC5" s="3379"/>
    </row>
    <row r="6" spans="1:29" ht="15" thickBot="1">
      <c r="A6" s="350"/>
      <c r="B6" s="351"/>
      <c r="C6" s="3397" t="s">
        <v>1677</v>
      </c>
      <c r="D6" s="3398"/>
      <c r="E6" s="3404" t="s">
        <v>1677</v>
      </c>
      <c r="F6" s="3405"/>
      <c r="G6" s="3397" t="s">
        <v>1677</v>
      </c>
      <c r="H6" s="3398"/>
      <c r="I6" s="3397" t="s">
        <v>1677</v>
      </c>
      <c r="J6" s="3398"/>
      <c r="K6" s="537" t="s">
        <v>1678</v>
      </c>
      <c r="L6" s="2485"/>
      <c r="M6" s="2486"/>
      <c r="N6" s="2486"/>
      <c r="O6" s="2486"/>
      <c r="P6" s="3389"/>
      <c r="Q6" s="3390"/>
      <c r="R6" s="3393"/>
      <c r="S6" s="3394"/>
      <c r="T6" s="3395"/>
      <c r="U6" s="3396"/>
      <c r="V6" s="3367"/>
      <c r="W6" s="3367"/>
      <c r="X6" s="1265"/>
      <c r="Y6" s="3395"/>
      <c r="Z6" s="3396"/>
      <c r="AA6" s="3380"/>
      <c r="AB6" s="3367"/>
      <c r="AC6" s="3380"/>
    </row>
    <row r="7" spans="1:29" s="102" customFormat="1" ht="15" thickBot="1">
      <c r="A7" s="352" t="s">
        <v>1679</v>
      </c>
      <c r="B7" s="353"/>
      <c r="C7" s="354">
        <f>'数据-取费表'!B2</f>
        <v>45712</v>
      </c>
      <c r="D7" s="355">
        <v>100</v>
      </c>
      <c r="E7" s="356">
        <f>C7</f>
        <v>45712</v>
      </c>
      <c r="F7" s="357">
        <f>SUMIF(58:58,YEAR(E7)&amp;"-"&amp;MONTH(E7),59:59)</f>
        <v>100</v>
      </c>
      <c r="G7" s="356">
        <f>C7</f>
        <v>45712</v>
      </c>
      <c r="H7" s="355">
        <f>SUMIF(58:58,YEAR(G7)&amp;"-"&amp;MONTH(G7),59:59)</f>
        <v>100</v>
      </c>
      <c r="I7" s="356">
        <f>C7</f>
        <v>45712</v>
      </c>
      <c r="J7" s="355">
        <f>SUMIF(58:58,YEAR(I7)&amp;"-"&amp;MONTH(I7),59:59)</f>
        <v>100</v>
      </c>
      <c r="K7" s="38"/>
      <c r="L7" s="2487"/>
      <c r="M7" s="2439"/>
      <c r="N7" s="2439"/>
      <c r="O7" s="2439"/>
      <c r="P7" s="3401" t="s">
        <v>1680</v>
      </c>
      <c r="Q7" s="3403"/>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3459</v>
      </c>
      <c r="D8" s="355">
        <v>100</v>
      </c>
      <c r="E8" s="358" t="s">
        <v>3465</v>
      </c>
      <c r="F8" s="357">
        <f>SUMIF(61:61,E8,62:62)-SUMIF(61:61,C8,62:62)+100</f>
        <v>102</v>
      </c>
      <c r="G8" s="358" t="s">
        <v>3465</v>
      </c>
      <c r="H8" s="355">
        <f>SUMIF(61:61,G8,62:62)-SUMIF(61:61,C8,62:62)+100</f>
        <v>102</v>
      </c>
      <c r="I8" s="358" t="s">
        <v>3465</v>
      </c>
      <c r="J8" s="355">
        <f>SUMIF(61:61,I8,62:62)-SUMIF(61:61,C8,62:62)+100</f>
        <v>102</v>
      </c>
      <c r="K8" s="38"/>
      <c r="L8" s="2487"/>
      <c r="M8" s="2439"/>
      <c r="N8" s="2439"/>
      <c r="O8" s="2439"/>
      <c r="P8" s="3401" t="s">
        <v>1683</v>
      </c>
      <c r="Q8" s="3402"/>
      <c r="R8" s="664" t="s">
        <v>14</v>
      </c>
      <c r="S8" s="665">
        <f t="shared" si="0"/>
        <v>102</v>
      </c>
      <c r="T8" s="664" t="s">
        <v>14</v>
      </c>
      <c r="U8" s="665">
        <f t="shared" si="1"/>
        <v>102</v>
      </c>
      <c r="V8" s="664" t="s">
        <v>14</v>
      </c>
      <c r="W8" s="665">
        <f t="shared" si="2"/>
        <v>102</v>
      </c>
      <c r="X8" s="666"/>
      <c r="Y8" s="3401" t="s">
        <v>1683</v>
      </c>
      <c r="Z8" s="3402"/>
      <c r="AA8" s="50">
        <f t="shared" ref="AA8:AA46" si="3">D8/F8</f>
        <v>0.98039215686274506</v>
      </c>
      <c r="AB8" s="50">
        <f t="shared" ref="AB8:AB46" si="4">D8/H8</f>
        <v>0.98039215686274506</v>
      </c>
      <c r="AC8" s="50">
        <f t="shared" ref="AC8:AC46" si="5">D8/J8</f>
        <v>0.98039215686274506</v>
      </c>
    </row>
    <row r="9" spans="1:29" s="102" customFormat="1" ht="15" thickBot="1">
      <c r="A9" s="359" t="s">
        <v>1684</v>
      </c>
      <c r="B9" s="60" t="s">
        <v>1685</v>
      </c>
      <c r="C9" s="3494" t="s">
        <v>3460</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7"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9.4" thickTop="1">
      <c r="A10" s="363"/>
      <c r="B10" s="364" t="s">
        <v>1688</v>
      </c>
      <c r="C10" s="3496"/>
      <c r="D10" s="119">
        <v>100</v>
      </c>
      <c r="E10" s="3132"/>
      <c r="F10" s="364">
        <f>SUMIF(65:65,E10,66:66)-SUMIF(65:65,C10,66:66)+100</f>
        <v>100</v>
      </c>
      <c r="G10" s="3132"/>
      <c r="H10" s="119">
        <f>SUMIF(65:65,G10,66:66)-SUMIF(65:65,C10,66:66)+100</f>
        <v>100</v>
      </c>
      <c r="I10" s="3132"/>
      <c r="J10" s="119">
        <f>SUMIF(65:65,I10,66:66)-SUMIF(65:65,C10,66:66)+100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5</v>
      </c>
      <c r="L15" s="2491"/>
      <c r="M15" s="2486"/>
      <c r="N15" s="2486"/>
      <c r="O15" s="2486"/>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1755"/>
      <c r="D16" s="387"/>
      <c r="E16" s="1755"/>
      <c r="F16" s="388"/>
      <c r="G16" s="1755"/>
      <c r="H16" s="389"/>
      <c r="I16" s="1755"/>
      <c r="J16" s="387"/>
      <c r="K16" s="541"/>
      <c r="L16" s="2491"/>
      <c r="M16" s="2486"/>
      <c r="N16" s="2486"/>
      <c r="O16" s="2486"/>
      <c r="P16" s="3376"/>
      <c r="Q16" s="1263"/>
      <c r="R16" s="667"/>
      <c r="S16" s="668"/>
      <c r="T16" s="667"/>
      <c r="U16" s="668"/>
      <c r="V16" s="667"/>
      <c r="W16" s="668"/>
      <c r="X16" s="1265"/>
      <c r="Y16" s="336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6"/>
      <c r="M17" s="3493" t="s">
        <v>3450</v>
      </c>
      <c r="N17" s="3493" t="s">
        <v>3451</v>
      </c>
      <c r="O17" s="2486"/>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5"/>
      <c r="D18" s="389"/>
      <c r="E18" s="1755"/>
      <c r="F18" s="392"/>
      <c r="G18" s="1755"/>
      <c r="H18" s="387"/>
      <c r="I18" s="1755"/>
      <c r="J18" s="387"/>
      <c r="K18" s="541"/>
      <c r="L18" s="2486" t="s">
        <v>3452</v>
      </c>
      <c r="M18" s="2486">
        <v>100</v>
      </c>
      <c r="N18" s="2486">
        <f>ROUND(M18*N20/M20,0)</f>
        <v>111</v>
      </c>
      <c r="O18" s="2486"/>
      <c r="P18" s="3376"/>
      <c r="Q18" s="1263"/>
      <c r="R18" s="667"/>
      <c r="S18" s="668"/>
      <c r="T18" s="667"/>
      <c r="U18" s="668"/>
      <c r="V18" s="667"/>
      <c r="W18" s="668"/>
      <c r="X18" s="1265"/>
      <c r="Y18" s="336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6" t="s">
        <v>3453</v>
      </c>
      <c r="M19" s="2486">
        <v>80</v>
      </c>
      <c r="N19" s="2486">
        <f>ROUND(M19*N20/M20,0)</f>
        <v>89</v>
      </c>
      <c r="O19" s="2486"/>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1755"/>
      <c r="D20" s="387"/>
      <c r="E20" s="1755"/>
      <c r="F20" s="388"/>
      <c r="G20" s="1755"/>
      <c r="H20" s="387"/>
      <c r="I20" s="1755"/>
      <c r="J20" s="387"/>
      <c r="K20" s="541"/>
      <c r="L20" s="2486" t="s">
        <v>3454</v>
      </c>
      <c r="M20" s="2486">
        <f>ROUND((M18+M19)/2,2)</f>
        <v>90</v>
      </c>
      <c r="N20" s="2486">
        <v>100</v>
      </c>
      <c r="O20" s="2486"/>
      <c r="P20" s="3376"/>
      <c r="Q20" s="1263"/>
      <c r="R20" s="667"/>
      <c r="S20" s="668"/>
      <c r="T20" s="667"/>
      <c r="U20" s="668"/>
      <c r="V20" s="667"/>
      <c r="W20" s="668"/>
      <c r="X20" s="1265"/>
      <c r="Y20" s="3369"/>
      <c r="Z20" s="1264"/>
      <c r="AA20" s="1264">
        <v>1</v>
      </c>
      <c r="AB20" s="1264">
        <v>1</v>
      </c>
      <c r="AC20" s="1264">
        <v>1</v>
      </c>
    </row>
    <row r="21" spans="1:29" ht="27.6">
      <c r="A21" s="367"/>
      <c r="B21" s="586" t="s">
        <v>1779</v>
      </c>
      <c r="C21" s="1754" t="str">
        <f>估价对象房地状况!C8</f>
        <v>估价对象所在区域基础设施水平</v>
      </c>
      <c r="D21" s="394">
        <v>100</v>
      </c>
      <c r="E21" s="1755"/>
      <c r="F21" s="397">
        <f>SUMIF(82:82,E22,83:83)-SUMIF(82:82,C22,83:83)+100</f>
        <v>100</v>
      </c>
      <c r="G21" s="398"/>
      <c r="H21" s="389">
        <f>SUMIF(82:82,G22,83:83)-SUMIF(82:82,C22,83:83)+100</f>
        <v>100</v>
      </c>
      <c r="I21" s="396"/>
      <c r="J21" s="389">
        <f>SUMIF(82:82,I22,83:83)-SUMIF(82:82,C22,83:83)+100</f>
        <v>100</v>
      </c>
      <c r="K21" s="540">
        <v>1</v>
      </c>
      <c r="L21" s="2486" t="s">
        <v>3455</v>
      </c>
      <c r="M21" s="2486">
        <f>M30</f>
        <v>87</v>
      </c>
      <c r="N21" s="2486">
        <f>ROUND(M21*N20/M20,0)</f>
        <v>97</v>
      </c>
      <c r="O21" s="2486"/>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t="s">
        <v>3541</v>
      </c>
      <c r="M22" s="2492">
        <v>60</v>
      </c>
      <c r="N22" s="2486">
        <f>ROUND(M22*N21/M21,0)</f>
        <v>67</v>
      </c>
      <c r="O22" s="2486"/>
      <c r="P22" s="3376"/>
      <c r="Q22" s="1263"/>
      <c r="R22" s="667"/>
      <c r="S22" s="668"/>
      <c r="T22" s="667"/>
      <c r="U22" s="668"/>
      <c r="V22" s="667"/>
      <c r="W22" s="668"/>
      <c r="X22" s="1265"/>
      <c r="Y22" s="336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431" t="s">
        <v>3542</v>
      </c>
      <c r="M23" s="347">
        <f>ROUND((M18+M19+M22)/3,0)</f>
        <v>80</v>
      </c>
      <c r="N23" s="2486">
        <f>ROUND(M23*N22/M22,0)</f>
        <v>89</v>
      </c>
      <c r="O23" s="2486"/>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386"/>
      <c r="F24" s="388"/>
      <c r="G24" s="386"/>
      <c r="H24" s="387"/>
      <c r="I24" s="386"/>
      <c r="J24" s="387"/>
      <c r="K24" s="541"/>
      <c r="L24" s="2486"/>
      <c r="M24" s="3493" t="s">
        <v>3530</v>
      </c>
      <c r="N24" s="3493" t="s">
        <v>3531</v>
      </c>
      <c r="O24" s="2486"/>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86" t="s">
        <v>3454</v>
      </c>
      <c r="M25" s="2486">
        <v>200</v>
      </c>
      <c r="N25" s="2486">
        <v>1</v>
      </c>
      <c r="O25" s="2486"/>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6" t="s">
        <v>3452</v>
      </c>
      <c r="M26" s="2486">
        <v>70</v>
      </c>
      <c r="N26" s="2486">
        <f>M26/M25</f>
        <v>0.35</v>
      </c>
      <c r="O26" s="2486"/>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2</v>
      </c>
      <c r="L27" s="2439" t="s">
        <v>3532</v>
      </c>
      <c r="M27" s="2439">
        <f>M25-M26</f>
        <v>130</v>
      </c>
      <c r="N27" s="2439">
        <f>M27/M25</f>
        <v>0.65</v>
      </c>
      <c r="O27" s="2439"/>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t="s">
        <v>3529</v>
      </c>
      <c r="D28" s="374">
        <v>100</v>
      </c>
      <c r="E28" s="542" t="s">
        <v>3425</v>
      </c>
      <c r="F28" s="400">
        <f>SUMIF(92:92,E28,93:93)-SUMIF(92:92,C28,93:93)+100</f>
        <v>111</v>
      </c>
      <c r="G28" s="542" t="s">
        <v>3425</v>
      </c>
      <c r="H28" s="374">
        <f>SUMIF(92:92,G28,93:93)-SUMIF(92:92,C28,93:93)+100</f>
        <v>111</v>
      </c>
      <c r="I28" s="542" t="s">
        <v>3425</v>
      </c>
      <c r="J28" s="374">
        <f>SUMIF(92:92,I28,93:93)-SUMIF(92:92,C28,93:93)+100</f>
        <v>111</v>
      </c>
      <c r="K28" s="539"/>
      <c r="L28" s="2486"/>
      <c r="M28" s="2486"/>
      <c r="N28" s="2486"/>
      <c r="O28" s="2486"/>
      <c r="P28" s="3376"/>
      <c r="Q28" s="1263" t="str">
        <f t="shared" si="11"/>
        <v>楼层</v>
      </c>
      <c r="R28" s="667" t="s">
        <v>14</v>
      </c>
      <c r="S28" s="668">
        <f t="shared" ref="S28:S46" si="12">F28</f>
        <v>111</v>
      </c>
      <c r="T28" s="667" t="s">
        <v>14</v>
      </c>
      <c r="U28" s="668">
        <f t="shared" ref="U28:U46" si="13">H28</f>
        <v>111</v>
      </c>
      <c r="V28" s="667" t="s">
        <v>14</v>
      </c>
      <c r="W28" s="668">
        <f t="shared" ref="W28:W46" si="14">J28</f>
        <v>111</v>
      </c>
      <c r="X28" s="1265"/>
      <c r="Y28" s="3369"/>
      <c r="Z28" s="1264" t="str">
        <f t="shared" ref="Z28:Z46" si="15">Q28</f>
        <v>楼层</v>
      </c>
      <c r="AA28" s="1264">
        <f t="shared" si="3"/>
        <v>0.90090090090090091</v>
      </c>
      <c r="AB28" s="1264">
        <f t="shared" si="4"/>
        <v>0.90090090090090091</v>
      </c>
      <c r="AC28" s="1264">
        <f t="shared" si="5"/>
        <v>0.90090090090090091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6"/>
      <c r="N29" s="2486"/>
      <c r="O29" s="2486"/>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6">
        <f>N26*M18+N27*M19</f>
        <v>87</v>
      </c>
      <c r="N30" s="2486"/>
      <c r="O30" s="2486"/>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0"/>
      <c r="M33" s="2492"/>
      <c r="N33" s="2492"/>
      <c r="O33" s="2492"/>
      <c r="P33" s="3371"/>
      <c r="Q33" s="531" t="str">
        <f t="shared" si="11"/>
        <v>项目建筑规模</v>
      </c>
      <c r="R33" s="669" t="s">
        <v>14</v>
      </c>
      <c r="S33" s="670">
        <f t="shared" si="12"/>
        <v>100</v>
      </c>
      <c r="T33" s="669" t="s">
        <v>14</v>
      </c>
      <c r="U33" s="670">
        <f t="shared" si="13"/>
        <v>100</v>
      </c>
      <c r="V33" s="669" t="s">
        <v>14</v>
      </c>
      <c r="W33" s="670">
        <f t="shared" si="14"/>
        <v>100</v>
      </c>
      <c r="X33" s="671"/>
      <c r="Y33" s="3373"/>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1"/>
      <c r="M34" s="2486"/>
      <c r="N34" s="2486"/>
      <c r="O34" s="2486"/>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v>0.7</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371"/>
      <c r="Q36" s="1263" t="str">
        <f t="shared" si="11"/>
        <v>成新度</v>
      </c>
      <c r="R36" s="667" t="s">
        <v>14</v>
      </c>
      <c r="S36" s="668">
        <f t="shared" si="12"/>
        <v>100</v>
      </c>
      <c r="T36" s="667" t="s">
        <v>14</v>
      </c>
      <c r="U36" s="668">
        <f t="shared" si="13"/>
        <v>100</v>
      </c>
      <c r="V36" s="667" t="s">
        <v>14</v>
      </c>
      <c r="W36" s="668">
        <f t="shared" si="14"/>
        <v>100</v>
      </c>
      <c r="X36" s="1265"/>
      <c r="Y36" s="337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3508"/>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1"/>
      <c r="M38" s="2486"/>
      <c r="N38" s="2486"/>
      <c r="O38" s="2486"/>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3508"/>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1"/>
      <c r="M39" s="2486"/>
      <c r="N39" s="2486"/>
      <c r="O39" s="2486"/>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3508"/>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1"/>
      <c r="M43" s="2486"/>
      <c r="N43" s="2486"/>
      <c r="O43" s="2486"/>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1709</v>
      </c>
      <c r="B48" s="424"/>
      <c r="C48" s="1082">
        <f>R49</f>
        <v>0</v>
      </c>
      <c r="D48" s="2140" t="s">
        <v>2138</v>
      </c>
      <c r="E48" s="1083">
        <f>R48</f>
        <v>0</v>
      </c>
      <c r="F48" s="2141"/>
      <c r="G48" s="1082">
        <f>T48</f>
        <v>0</v>
      </c>
      <c r="H48" s="2141"/>
      <c r="I48" s="1083">
        <f>V48</f>
        <v>0</v>
      </c>
      <c r="J48" s="2141"/>
      <c r="K48" s="2143">
        <f>F48+H48+J48</f>
        <v>0</v>
      </c>
      <c r="L48" s="2493"/>
      <c r="M48" s="2486"/>
      <c r="N48" s="2486"/>
      <c r="O48" s="2486"/>
      <c r="P48" s="3366" t="str">
        <f>A48</f>
        <v>比较价值（元/平方米）</v>
      </c>
      <c r="Q48" s="3366"/>
      <c r="R48" s="3367">
        <f>IF(F1="售价",ROUND(PRODUCT(R47,AA7:AA46),0),ROUND(PRODUCT(R47,AA7:AA46),1))</f>
        <v>0</v>
      </c>
      <c r="S48" s="3367"/>
      <c r="T48" s="3367">
        <f>IF(F1="售价",ROUND(PRODUCT(T47,AB7:AB46),0),ROUND(PRODUCT(T47,AB7:AB46),1))</f>
        <v>0</v>
      </c>
      <c r="U48" s="3367"/>
      <c r="V48" s="3367">
        <f>IF(F1="售价",ROUND(PRODUCT(V47,AC7:AC46),0),ROUND(PRODUCT(V47,AC7:AC46),1))</f>
        <v>0</v>
      </c>
      <c r="W48" s="3367"/>
      <c r="X48" s="385"/>
      <c r="Y48" s="385"/>
      <c r="Z48" s="385"/>
      <c r="AA48" s="385"/>
      <c r="AB48" s="385"/>
      <c r="AC48" s="385"/>
    </row>
    <row r="49" spans="1:29" ht="15" thickBot="1">
      <c r="A49" s="427" t="s">
        <v>1710</v>
      </c>
      <c r="B49" s="428"/>
      <c r="C49" s="351">
        <f>R49</f>
        <v>0</v>
      </c>
      <c r="D49" s="351"/>
      <c r="E49" s="351"/>
      <c r="F49" s="351"/>
      <c r="G49" s="351"/>
      <c r="H49" s="351"/>
      <c r="I49" s="351"/>
      <c r="J49" s="351"/>
      <c r="K49" s="675"/>
      <c r="L49" s="2493"/>
      <c r="M49" s="2486"/>
      <c r="N49" s="2486"/>
      <c r="O49" s="2486"/>
      <c r="P49" s="3363" t="str">
        <f>A49</f>
        <v>估价对象XX用房的比较价值（楼面单价，元/平方米）</v>
      </c>
      <c r="Q49" s="3364"/>
      <c r="R49" s="3365">
        <f>IF(F1="售价",ROUND(IF(D48="简单平均",AVERAGE(R48:V48),R48*F48+T48*H48+V48*J48),0),ROUND(IF(D48="简单平均",AVERAGE(R48:V48),R48*F48+T48*H48+V48*J48),1))</f>
        <v>0</v>
      </c>
      <c r="S49" s="3365"/>
      <c r="T49" s="3365"/>
      <c r="U49" s="3365"/>
      <c r="V49" s="3365"/>
      <c r="W49" s="336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498" t="s">
        <v>3466</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3495" t="s">
        <v>3461</v>
      </c>
      <c r="D65" s="3496" t="s">
        <v>3462</v>
      </c>
      <c r="E65" s="3496" t="s">
        <v>3463</v>
      </c>
      <c r="F65" s="513" t="s">
        <v>3464</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3497">
        <f t="shared" ref="C66:D66" si="17">D66-2</f>
        <v>94</v>
      </c>
      <c r="D66" s="3497">
        <f t="shared" si="17"/>
        <v>96</v>
      </c>
      <c r="E66" s="3497">
        <f>F66-2</f>
        <v>98</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499" t="s">
        <v>3467</v>
      </c>
      <c r="D86" s="3499" t="s">
        <v>3468</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499" t="s">
        <v>3469</v>
      </c>
      <c r="D88" s="3499" t="s">
        <v>3470</v>
      </c>
      <c r="E88" s="3499" t="s">
        <v>3471</v>
      </c>
      <c r="F88" s="3500" t="s">
        <v>3472</v>
      </c>
      <c r="G88" s="3499" t="s">
        <v>3473</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C89-2</f>
        <v>98</v>
      </c>
      <c r="E89" s="467">
        <f t="shared" ref="E89:G89" si="22">D89-2</f>
        <v>96</v>
      </c>
      <c r="F89" s="467">
        <f t="shared" si="22"/>
        <v>94</v>
      </c>
      <c r="G89" s="467">
        <f t="shared" si="22"/>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499" t="s">
        <v>3474</v>
      </c>
      <c r="D90" s="3499" t="s">
        <v>3475</v>
      </c>
      <c r="E90" s="3499" t="s">
        <v>3471</v>
      </c>
      <c r="F90" s="3499" t="s">
        <v>3476</v>
      </c>
      <c r="G90" s="3499" t="s">
        <v>3477</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2"/>
      <c r="O91" s="2522"/>
      <c r="P91" s="2513"/>
      <c r="Q91" s="2514"/>
      <c r="R91" s="2492"/>
      <c r="S91" s="2492"/>
      <c r="T91" s="2492"/>
      <c r="U91" s="2492"/>
      <c r="V91" s="2492"/>
      <c r="W91" s="2492"/>
      <c r="X91" s="2492"/>
      <c r="Y91" s="2492"/>
      <c r="Z91" s="2492"/>
      <c r="AA91" s="2492"/>
      <c r="AB91" s="2492"/>
      <c r="AC91" s="2492"/>
    </row>
    <row r="92" spans="1:29" ht="28.2" thickTop="1">
      <c r="A92" s="367"/>
      <c r="B92" s="469" t="str">
        <f>B28</f>
        <v>楼层</v>
      </c>
      <c r="C92" s="485" t="s">
        <v>3478</v>
      </c>
      <c r="D92" s="485" t="s">
        <v>3479</v>
      </c>
      <c r="E92" s="485" t="str">
        <f>L21</f>
        <v>1-2层（1层面积小）</v>
      </c>
      <c r="F92" s="485" t="s">
        <v>3543</v>
      </c>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N20</f>
        <v>100</v>
      </c>
      <c r="D93" s="467">
        <f>N18</f>
        <v>111</v>
      </c>
      <c r="E93" s="467">
        <f>N21</f>
        <v>97</v>
      </c>
      <c r="F93" s="467">
        <f>N23</f>
        <v>89</v>
      </c>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501" t="s">
        <v>3480</v>
      </c>
      <c r="D100" s="3501" t="s">
        <v>3481</v>
      </c>
      <c r="E100" s="3501" t="s">
        <v>3482</v>
      </c>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4">C101-$K32</f>
        <v>100</v>
      </c>
      <c r="E101" s="475">
        <f t="shared" si="24"/>
        <v>100</v>
      </c>
      <c r="F101" s="475">
        <f t="shared" si="24"/>
        <v>100</v>
      </c>
      <c r="G101" s="475">
        <f t="shared" si="24"/>
        <v>100</v>
      </c>
      <c r="H101" s="475">
        <f t="shared" si="24"/>
        <v>100</v>
      </c>
      <c r="I101" s="475">
        <f t="shared" si="24"/>
        <v>100</v>
      </c>
      <c r="J101" s="475">
        <f t="shared" si="24"/>
        <v>100</v>
      </c>
      <c r="K101" s="475">
        <f t="shared" si="24"/>
        <v>100</v>
      </c>
      <c r="L101" s="475">
        <f t="shared" si="24"/>
        <v>100</v>
      </c>
      <c r="M101" s="476">
        <f t="shared" si="24"/>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0(含)-200</v>
      </c>
      <c r="D102" s="509" t="str">
        <f t="shared" ref="D102:L102" si="25">D103&amp;"(含)"&amp;"-"&amp;E103</f>
        <v>200(含)-400</v>
      </c>
      <c r="E102" s="509" t="str">
        <f t="shared" si="25"/>
        <v>400(含)-600</v>
      </c>
      <c r="F102" s="509" t="str">
        <f t="shared" si="25"/>
        <v>600(含)-</v>
      </c>
      <c r="G102" s="509" t="str">
        <f t="shared" si="25"/>
        <v>(含)-</v>
      </c>
      <c r="H102" s="509" t="str">
        <f t="shared" si="25"/>
        <v>(含)-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v>400</v>
      </c>
      <c r="F103" s="6">
        <v>600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F104" si="26">D104-1</f>
        <v>98</v>
      </c>
      <c r="F104" s="467">
        <f t="shared" si="26"/>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499" t="s">
        <v>3483</v>
      </c>
      <c r="D105" s="3499" t="s">
        <v>3484</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499"/>
      <c r="D107" s="3499"/>
      <c r="E107" s="3499"/>
      <c r="F107" s="3499"/>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499" t="s">
        <v>3485</v>
      </c>
      <c r="D112" s="3499" t="s">
        <v>3486</v>
      </c>
      <c r="E112" s="3499" t="s">
        <v>3487</v>
      </c>
      <c r="F112" s="3499" t="s">
        <v>3488</v>
      </c>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499" t="s">
        <v>3489</v>
      </c>
      <c r="D114" s="3499" t="s">
        <v>3490</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499" t="s">
        <v>3491</v>
      </c>
      <c r="D116" s="3499" t="s">
        <v>3492</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499" t="s">
        <v>3493</v>
      </c>
      <c r="D122" s="3499" t="s">
        <v>3494</v>
      </c>
      <c r="E122" s="3499" t="s">
        <v>3495</v>
      </c>
      <c r="F122" s="3502" t="s">
        <v>3496</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E1" xr:uid="{F772B3BD-AB6F-4D5B-AA0D-82A5072D9939}">
      <formula1>"项目模式,单套模式"</formula1>
    </dataValidation>
    <dataValidation type="list" allowBlank="1" showInputMessage="1" showErrorMessage="1" sqref="D48" xr:uid="{537F348D-FFC3-4754-8F10-BE290275BD74}">
      <formula1>"简单平均,加权平均"</formula1>
    </dataValidation>
    <dataValidation type="list" allowBlank="1" showInputMessage="1" showErrorMessage="1" sqref="F2" xr:uid="{D18036AB-B843-4FC1-874B-844C6B78F47D}">
      <formula1>估价方法</formula1>
    </dataValidation>
    <dataValidation type="list" allowBlank="1" showInputMessage="1" showErrorMessage="1" sqref="C2" xr:uid="{946BAA61-6BCC-4881-8A8E-88C461894888}">
      <formula1>"需扣减承租人权益,——"</formula1>
    </dataValidation>
    <dataValidation type="list" allowBlank="1" showInputMessage="1" showErrorMessage="1" sqref="F1" xr:uid="{E166E6E1-45A5-4FA2-A34A-27BE9F919F11}">
      <formula1>"售价,租金"</formula1>
    </dataValidation>
    <dataValidation type="list" allowBlank="1" showInputMessage="1" showErrorMessage="1" sqref="C22 E22 G22 I22" xr:uid="{671325C5-F5D5-4249-912E-65BAC50877B3}">
      <formula1>基础设施水平</formula1>
    </dataValidation>
    <dataValidation type="list" allowBlank="1" showInputMessage="1" showErrorMessage="1" sqref="C16 E16 G16 I16" xr:uid="{300DEA72-CCAB-4F06-A89F-A00F0A050CD7}">
      <formula1>商业繁华度</formula1>
    </dataValidation>
    <dataValidation type="list" allowBlank="1" showInputMessage="1" showErrorMessage="1" sqref="C8 E8 G8 I8" xr:uid="{7FDE7D47-783C-4FCB-B38A-D6131A4206C4}">
      <formula1>商业交易情况</formula1>
    </dataValidation>
    <dataValidation type="list" allowBlank="1" showInputMessage="1" showErrorMessage="1" sqref="C39 E39 G39 I39" xr:uid="{E732BFA9-F7C6-45FB-A0B3-1244198F9EA5}">
      <formula1>商业层高</formula1>
    </dataValidation>
    <dataValidation type="list" allowBlank="1" showInputMessage="1" showErrorMessage="1" sqref="C38 E38 G38 I38" xr:uid="{0F7CC216-389B-48E1-B863-459C6A19A5FF}">
      <formula1>商业业态</formula1>
    </dataValidation>
    <dataValidation type="list" allowBlank="1" showInputMessage="1" showErrorMessage="1" sqref="E9 G9 I9" xr:uid="{DADBC4EE-9578-4A2F-8AA4-5435063C92B9}">
      <formula1>商业用途</formula1>
    </dataValidation>
    <dataValidation type="list" allowBlank="1" showInputMessage="1" showErrorMessage="1" sqref="C42 E42 G42 I42" xr:uid="{65173C38-9C36-4791-B78B-68A495110A9C}">
      <formula1>商业内部装修</formula1>
    </dataValidation>
    <dataValidation type="list" allowBlank="1" showInputMessage="1" showErrorMessage="1" sqref="C41 E41 G41 I41" xr:uid="{8B286C8A-8305-49D2-B613-38943EDFFA75}">
      <formula1>商业进深比</formula1>
    </dataValidation>
    <dataValidation type="list" allowBlank="1" showInputMessage="1" showErrorMessage="1" sqref="C37 E37 G37 I37" xr:uid="{DF1C0F02-0A7D-48FF-AC89-C74BC85F5709}">
      <formula1>商业基础设施水平</formula1>
    </dataValidation>
    <dataValidation type="list" allowBlank="1" showInputMessage="1" showErrorMessage="1" sqref="C35 E35 G35 I35" xr:uid="{AB9A464F-3ED9-4A08-9DC7-063774FD369E}">
      <formula1>商业公共部分装修</formula1>
    </dataValidation>
    <dataValidation type="list" allowBlank="1" showInputMessage="1" showErrorMessage="1" sqref="C34 E34 G34 I34" xr:uid="{ECAD1B57-E1AB-4137-A301-BACF7F55225E}">
      <formula1>商业建筑结构</formula1>
    </dataValidation>
    <dataValidation type="list" allowBlank="1" showInputMessage="1" showErrorMessage="1" sqref="C32 E32 G32 I32" xr:uid="{E2808A18-6EE5-4703-A2A6-744B7F680DBF}">
      <formula1>商业类型</formula1>
    </dataValidation>
    <dataValidation type="list" allowBlank="1" showInputMessage="1" showErrorMessage="1" sqref="C28 E28 G28 I28" xr:uid="{9FCC7331-E76A-45D3-BB1C-2F7C09D6B928}">
      <formula1>商业楼层</formula1>
    </dataValidation>
    <dataValidation type="list" allowBlank="1" showInputMessage="1" showErrorMessage="1" sqref="C27 E27 G27 I27" xr:uid="{C5AF6BBA-20D2-4EA7-8BA2-882C871857E5}">
      <formula1>商业人流量</formula1>
    </dataValidation>
    <dataValidation type="list" allowBlank="1" showInputMessage="1" showErrorMessage="1" sqref="C25 E25 G25 I25" xr:uid="{5DC5433F-4421-49CF-8E57-8A2377E4AE00}">
      <formula1>商业临街状况</formula1>
    </dataValidation>
    <dataValidation type="list" allowBlank="1" showInputMessage="1" showErrorMessage="1" sqref="E24 G24 I24 C24" xr:uid="{F610B0F3-8CDB-4219-BBD1-3E5F6673602E}">
      <formula1>环境</formula1>
    </dataValidation>
    <dataValidation type="list" allowBlank="1" showInputMessage="1" showErrorMessage="1" sqref="E18 G18 I18 C18" xr:uid="{E280BAC8-E46D-4528-9658-3EFCD5E46AF2}">
      <formula1>交通便捷度</formula1>
    </dataValidation>
    <dataValidation type="list" allowBlank="1" showInputMessage="1" showErrorMessage="1" sqref="E20 I20 G20 C20" xr:uid="{70D59088-5BB0-45BD-B96A-B4F7CFA0B536}">
      <formula1>公共配套设施</formula1>
    </dataValidation>
    <dataValidation type="list" allowBlank="1" showInputMessage="1" showErrorMessage="1" sqref="C43 E43 G43 I43" xr:uid="{FD574F43-EB28-4AE3-8CF1-4DEE2D388B8B}">
      <formula1>内部装修维护情况</formula1>
    </dataValidation>
    <dataValidation type="list" allowBlank="1" showInputMessage="1" showErrorMessage="1" sqref="D1" xr:uid="{956C4CEC-E58F-493E-8220-48F46F3E4B36}">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430.2022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15862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2511819</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2384837</v>
      </c>
      <c r="D6" s="209"/>
      <c r="E6" s="210"/>
      <c r="F6" s="210"/>
      <c r="G6" s="211"/>
    </row>
    <row r="7" spans="1:8" s="206" customFormat="1" ht="13.5" customHeight="1">
      <c r="A7" s="732" t="s">
        <v>1474</v>
      </c>
      <c r="B7" s="207" t="s">
        <v>1475</v>
      </c>
      <c r="C7" s="212">
        <f>ROUND(C6*F7,0)</f>
        <v>72738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54244</v>
      </c>
      <c r="D8" s="214"/>
      <c r="E8" s="212"/>
      <c r="F8" s="213"/>
      <c r="G8" s="1714" t="s">
        <v>3419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54244</v>
      </c>
      <c r="D10" s="795">
        <f ca="1">IF(B1="",'数据-汇总表'!E6,IF(INDIRECT("'数据-取费表'!c"&amp;$G$1)="住宅",INDIRECT("'数据-取费表'!s"&amp;$G$1),INDIRECT("'数据-取费表'!k"&amp;$G$1)+INDIRECT("'数据-取费表'!s"&amp;$G$1)))</f>
        <v>271.22000000000003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271.22000000000003</v>
      </c>
      <c r="E19" s="203">
        <f>'数据-取费表'!B31</f>
        <v>200</v>
      </c>
      <c r="F19" s="223"/>
      <c r="G19" s="1714" t="s">
        <v>3420</v>
      </c>
    </row>
    <row r="20" spans="1:7" s="206" customFormat="1" ht="13.5" customHeight="1">
      <c r="A20" s="247" t="s">
        <v>1574</v>
      </c>
      <c r="B20" s="202" t="s">
        <v>1575</v>
      </c>
      <c r="C20" s="224">
        <f ca="1">ROUND((C5+C19)*F20,0)</f>
        <v>50236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159704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158147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1557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384308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384308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3361544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924860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813660</v>
      </c>
      <c r="D34" s="209"/>
      <c r="E34" s="212"/>
      <c r="F34" s="249"/>
      <c r="G34" s="211"/>
    </row>
    <row r="35" spans="1:7" ht="13.5" customHeight="1">
      <c r="A35" s="734" t="s">
        <v>351</v>
      </c>
      <c r="B35" s="207" t="s">
        <v>1527</v>
      </c>
      <c r="C35" s="212">
        <f ca="1">ROUND(C34*F35,0)</f>
        <v>40683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54244</v>
      </c>
      <c r="D37" s="209">
        <f ca="1">D19</f>
        <v>271.22000000000003</v>
      </c>
      <c r="E37" s="241">
        <f>'数据-取费表'!B35</f>
        <v>200</v>
      </c>
      <c r="F37" s="251"/>
      <c r="G37" s="253"/>
    </row>
    <row r="38" spans="1:7" ht="13.5" customHeight="1">
      <c r="A38" s="734" t="s">
        <v>354</v>
      </c>
      <c r="B38" s="207" t="s">
        <v>1533</v>
      </c>
      <c r="C38" s="212">
        <f ca="1">ROUND(C34*F38,0)</f>
        <v>16273</v>
      </c>
      <c r="D38" s="212"/>
      <c r="E38" s="212"/>
      <c r="F38" s="251">
        <f>'数据-取费表'!B36</f>
        <v>0.02</v>
      </c>
      <c r="G38" s="211" t="s">
        <v>1528</v>
      </c>
    </row>
    <row r="39" spans="1:7" s="206" customFormat="1" ht="13.5" customHeight="1">
      <c r="A39" s="247" t="s">
        <v>1534</v>
      </c>
      <c r="B39" s="202" t="s">
        <v>1535</v>
      </c>
      <c r="C39" s="224">
        <f ca="1">ROUND(C33*F20,0)</f>
        <v>18497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29244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28671</v>
      </c>
      <c r="D42" s="230"/>
      <c r="E42" s="230"/>
      <c r="F42" s="231"/>
      <c r="G42" s="3334" t="s">
        <v>1591</v>
      </c>
    </row>
    <row r="43" spans="1:7" ht="13.5" customHeight="1">
      <c r="A43" s="734" t="s">
        <v>347</v>
      </c>
      <c r="B43" s="207" t="s">
        <v>1545</v>
      </c>
      <c r="C43" s="230">
        <f ca="1">ROUND(IF('数据-取费表'!B22&lt;=1,C39*F22*'数据-取费表'!B20/2,C39*(POWER((1+F22),'数据-取费表'!B20/2)-1)),0)</f>
        <v>573</v>
      </c>
      <c r="D43" s="230"/>
      <c r="E43" s="230"/>
      <c r="F43" s="231"/>
      <c r="G43" s="3335"/>
    </row>
    <row r="44" spans="1:7" ht="13.5" customHeight="1">
      <c r="A44" s="734" t="s">
        <v>348</v>
      </c>
      <c r="B44" s="207" t="s">
        <v>1546</v>
      </c>
      <c r="C44" s="230">
        <f ca="1">ROUND(IF('数据-取费表'!B22&lt;=1,C40*F22*'数据-取费表'!B20/2,C40*(POWER((1+F22),'数据-取费表'!B20/2)-1)),4)</f>
        <v>5.9999999999999995E-4</v>
      </c>
      <c r="D44" s="230"/>
      <c r="E44" s="230"/>
      <c r="F44" s="231"/>
      <c r="G44" s="3336"/>
    </row>
    <row r="45" spans="1:7" s="206" customFormat="1" ht="13.5" customHeight="1">
      <c r="A45" s="247" t="s">
        <v>1547</v>
      </c>
      <c r="B45" s="236" t="s">
        <v>1513</v>
      </c>
      <c r="C45" s="237">
        <f ca="1">C46</f>
        <v>141504</v>
      </c>
      <c r="D45" s="227">
        <f ca="1">C47</f>
        <v>3.0000000000000001E-3</v>
      </c>
      <c r="E45" s="228" t="s">
        <v>1539</v>
      </c>
      <c r="F45" s="238">
        <f ca="1">F27</f>
        <v>0.15</v>
      </c>
      <c r="G45" s="239" t="s">
        <v>1548</v>
      </c>
    </row>
    <row r="46" spans="1:7" s="206" customFormat="1" ht="13.5" customHeight="1">
      <c r="A46" s="734" t="s">
        <v>346</v>
      </c>
      <c r="B46" s="240" t="s">
        <v>1549</v>
      </c>
      <c r="C46" s="241">
        <f ca="1">ROUND((C33+C39)*F27,0)</f>
        <v>141504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1205741</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940478</v>
      </c>
      <c r="D51" s="224"/>
      <c r="E51" s="224"/>
      <c r="F51" s="256"/>
      <c r="G51" s="226" t="s">
        <v>1560</v>
      </c>
    </row>
    <row r="52" spans="1:7" s="200" customFormat="1" ht="16.8" thickBot="1">
      <c r="A52" s="257" t="s">
        <v>1561</v>
      </c>
      <c r="B52" s="258"/>
      <c r="C52" s="259">
        <f ca="1">C31+C51</f>
        <v>4302022</v>
      </c>
      <c r="D52" s="258"/>
      <c r="E52" s="258"/>
      <c r="F52" s="258"/>
      <c r="G52" s="260"/>
    </row>
    <row r="55" spans="1:7" ht="15">
      <c r="B55" s="262" t="s">
        <v>1562</v>
      </c>
      <c r="C55" s="263"/>
    </row>
    <row r="56" spans="1:7">
      <c r="B56" s="265" t="s">
        <v>802</v>
      </c>
      <c r="C56" s="267">
        <f ca="1">1-C57</f>
        <v>0.78100000000000003</v>
      </c>
    </row>
    <row r="57" spans="1:7">
      <c r="B57" s="265" t="s">
        <v>803</v>
      </c>
      <c r="C57" s="266">
        <f ca="1">ROUND(C51/C52,3)</f>
        <v>0.219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2" zoomScaleNormal="80" zoomScaleSheetLayoutView="10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239</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9931</v>
      </c>
      <c r="U2" s="1130">
        <f>信息!B5</f>
        <v>135.61000000000001</v>
      </c>
      <c r="V2" s="3062">
        <f>ROUND(T2*U2/10000,0)</f>
        <v>135</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7655</v>
      </c>
      <c r="U3" s="1130">
        <f>信息!B6</f>
        <v>135.61000000000001</v>
      </c>
      <c r="V3" s="3062">
        <f t="shared" ref="V3:V16" si="1">ROUND(T3*U3/10000,0)</f>
        <v>104</v>
      </c>
      <c r="W3" s="1133"/>
      <c r="X3" s="1133"/>
      <c r="Y3" s="1133"/>
      <c r="Z3" s="1133"/>
      <c r="AA3" s="1133"/>
      <c r="AB3" s="1133"/>
      <c r="AC3" s="1134"/>
      <c r="AD3" s="1135"/>
      <c r="AE3" s="1135"/>
      <c r="AF3" s="1135"/>
      <c r="AG3" s="1135"/>
      <c r="AH3" s="1135"/>
      <c r="AI3" s="1135"/>
      <c r="AJ3" s="1136"/>
    </row>
    <row r="4" spans="1:36" ht="15.6">
      <c r="A4" s="3445"/>
      <c r="B4" s="3446"/>
      <c r="C4" s="3446"/>
      <c r="D4" s="3447"/>
      <c r="E4" s="3447"/>
      <c r="F4" s="3447"/>
      <c r="G4" s="3447"/>
      <c r="H4" s="3447"/>
      <c r="I4" s="3447"/>
      <c r="J4" s="344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6244</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7240</v>
      </c>
      <c r="D5" s="1252">
        <f>ROUND(C6*C17+C20,0)</f>
        <v>7240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5301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7240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4830</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7240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44"/>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4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49" t="s">
        <v>3254</v>
      </c>
      <c r="B20" s="159" t="s">
        <v>1994</v>
      </c>
      <c r="C20" s="3030">
        <f>ROUND(IF(F21="与级别开发程度一致",0,(G21-E21)/C21),0)</f>
        <v>0</v>
      </c>
      <c r="D20" s="3045" t="s">
        <v>1998</v>
      </c>
      <c r="E20" s="3046"/>
      <c r="F20" s="3455" t="s">
        <v>1995</v>
      </c>
      <c r="G20" s="3456"/>
      <c r="H20" s="3031" t="s">
        <v>3434</v>
      </c>
      <c r="I20" s="3031" t="s">
        <v>3435</v>
      </c>
      <c r="J20" s="3032" t="s">
        <v>3436</v>
      </c>
      <c r="K20" s="1889" t="s">
        <v>3437</v>
      </c>
      <c r="L20" s="1889" t="s">
        <v>3438</v>
      </c>
      <c r="M20" s="1889" t="s">
        <v>3439</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50"/>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489" t="s">
        <v>3428</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0</v>
      </c>
      <c r="O21" s="2004">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45712</v>
      </c>
      <c r="H23" s="3047" t="s">
        <v>3255</v>
      </c>
      <c r="I23" s="3048" t="str">
        <f>IF(H23="季度增幅（自定义）",SUMIF(N25:N28,E2,O25:O28),"")</f>
        <v/>
      </c>
      <c r="J23" s="3140" t="s">
        <v>3429</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0.83599999999999997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25</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3430</v>
      </c>
      <c r="C25" s="461">
        <f>IF(B25="容积率修正",IF(G3&lt;10,D26,J26),C27)</f>
        <v>1.5418000000000001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1.0330999999999999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239</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9931</v>
      </c>
      <c r="D33" s="1940"/>
      <c r="E33" s="727">
        <f>ROUND(C33*D33/10000,0)</f>
        <v>0</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3"/>
      <c r="B37" s="1955" t="s">
        <v>2036</v>
      </c>
      <c r="C37" s="167">
        <f>ROUND(D5*C22*C23*C24*C28*F37,0)</f>
        <v>3221</v>
      </c>
      <c r="D37" s="1940"/>
      <c r="E37" s="163">
        <f>ROUND(C37*D37/10000,0)</f>
        <v>0</v>
      </c>
      <c r="F37" s="163">
        <f>SUMIF(修正!A57:A68,G2,修正!B57:B68)</f>
        <v>0.5</v>
      </c>
      <c r="G37" s="163">
        <f>ROUND(IF(E2="工业",C37*$M$42,C37*$M$41),0)</f>
        <v>805</v>
      </c>
      <c r="H37" s="163">
        <f>D37</f>
        <v>0</v>
      </c>
      <c r="I37" s="163">
        <f>ROUND(G37*H37/10000,0)</f>
        <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f>ROUND(D5*C22*C23*C24*C28*F38,0)</f>
        <v>1288</v>
      </c>
      <c r="D38" s="1940"/>
      <c r="E38" s="163">
        <f t="shared" ref="E38:E42" si="4">ROUND(C38*D38/10000,0)</f>
        <v>0</v>
      </c>
      <c r="F38" s="163">
        <f>SUMIF(修正!A57:A68,G2,修正!C57:C68)</f>
        <v>0.2</v>
      </c>
      <c r="G38" s="163">
        <f>ROUND(IF(E2="工业",C38*$M$42,C38*$M$41),0)</f>
        <v>322</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4"/>
      <c r="B39" s="1884" t="s">
        <v>3258</v>
      </c>
      <c r="C39" s="167">
        <f>ROUND(D5*C22*C23*C24*C28*F39,0)</f>
        <v>1288</v>
      </c>
      <c r="D39" s="1940"/>
      <c r="E39" s="163">
        <f t="shared" si="4"/>
        <v>0</v>
      </c>
      <c r="F39" s="163">
        <f>SUMIF(修正!A57:A68,G2,修正!D57:D68)</f>
        <v>0.2</v>
      </c>
      <c r="G39" s="163">
        <f>ROUND(IF(E2="工业",C39*$M$42,C39*$M$41),0)</f>
        <v>322</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1288</v>
      </c>
      <c r="D40" s="1940"/>
      <c r="E40" s="163">
        <f t="shared" si="4"/>
        <v>0</v>
      </c>
      <c r="F40" s="167">
        <f>SUMIF(修正!A57:A68,G2,修正!E57:E68)</f>
        <v>0.2</v>
      </c>
      <c r="G40" s="163">
        <f>ROUND(IF(E2="工业",C40*$M$42,C40*$M$41),0)</f>
        <v>322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1.0330999999999999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3431</v>
      </c>
      <c r="D50" s="1002">
        <f t="shared" ref="D50:D58" si="7">SUMIF($J$49:$N$49,C50,J50:N50)</f>
        <v>0</v>
      </c>
      <c r="E50" s="702">
        <f>ROUND(SUM(D50:D58),4)</f>
        <v>3.3099999999999997E-2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3432</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t="s">
        <v>3432</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3432</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3490" t="s">
        <v>3433</v>
      </c>
      <c r="D54" s="1002">
        <f t="shared" si="7"/>
        <v>-5.7000000000000002E-3</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3432</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3432</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3431</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3432</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49" t="s">
        <v>3288</v>
      </c>
      <c r="K92" s="2149" t="s">
        <v>3289</v>
      </c>
      <c r="L92" s="2149" t="s">
        <v>3290</v>
      </c>
      <c r="M92" s="2149" t="s">
        <v>3291</v>
      </c>
      <c r="N92" s="2149"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1" t="s">
        <v>3293</v>
      </c>
      <c r="B103" s="3451"/>
      <c r="C103" s="3451"/>
      <c r="D103" s="3451"/>
      <c r="E103" s="3451"/>
      <c r="F103" s="3451"/>
      <c r="G103" s="3451"/>
      <c r="H103" s="3451"/>
      <c r="I103" s="3451"/>
      <c r="J103" s="3451"/>
      <c r="K103" s="1667"/>
      <c r="L103" s="1667"/>
      <c r="M103" s="1667"/>
      <c r="N103" s="1667"/>
    </row>
    <row r="104" spans="1:14">
      <c r="A104" s="3452" t="s">
        <v>3294</v>
      </c>
      <c r="B104" s="3452" t="s">
        <v>3295</v>
      </c>
      <c r="C104" s="3089" t="s">
        <v>3296</v>
      </c>
      <c r="D104" s="3090"/>
      <c r="E104" s="3090"/>
      <c r="F104" s="3090"/>
      <c r="G104" s="3090"/>
      <c r="H104" s="3090"/>
      <c r="I104" s="3090"/>
      <c r="J104" s="3091"/>
      <c r="K104" s="3092"/>
      <c r="L104" s="3092"/>
      <c r="M104" s="3092"/>
      <c r="N104" s="3092"/>
    </row>
    <row r="105" spans="1:14">
      <c r="A105" s="3452"/>
      <c r="B105" s="3452"/>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38"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9"/>
      <c r="B111" s="3093" t="s">
        <v>3267</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40"/>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441" t="s">
        <v>3310</v>
      </c>
      <c r="B113" s="3441"/>
      <c r="C113" s="3441"/>
      <c r="D113" s="3441"/>
      <c r="E113" s="3441"/>
      <c r="F113" s="3441"/>
      <c r="G113" s="3441"/>
      <c r="H113" s="3441"/>
      <c r="I113" s="3441"/>
      <c r="J113" s="344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0</v>
      </c>
      <c r="C116" s="3098" t="s">
        <v>3312</v>
      </c>
      <c r="D116" s="3099">
        <f>SUMPRODUCT((A118:A122=F116)*(B117:M117=H116)*B118:M122)</f>
        <v>0.84860000000000002</v>
      </c>
      <c r="E116" s="162" t="s">
        <v>3313</v>
      </c>
      <c r="F116" s="3100" t="str">
        <f>E2</f>
        <v>商业</v>
      </c>
      <c r="G116" s="162" t="s">
        <v>3314</v>
      </c>
      <c r="H116" s="3100" t="str">
        <f>G2</f>
        <v>八级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7.399999999999999">
      <c r="A3" s="3158" t="str">
        <f>IF(项目基本情况!B9="房地产市场价值","估价结果一览表（市场价值不需“结果表-1”）","估价结果一览表")</f>
        <v>估价结果一览表</v>
      </c>
      <c r="B3" s="3158"/>
      <c r="C3" s="3158"/>
      <c r="D3" s="3158"/>
      <c r="E3" s="3158"/>
    </row>
    <row r="4" spans="1:5" ht="18" thickBot="1">
      <c r="A4" s="1391"/>
      <c r="B4" s="3156" t="s">
        <v>917</v>
      </c>
      <c r="C4" s="3156"/>
      <c r="D4" s="3156"/>
      <c r="E4" s="1391"/>
    </row>
    <row r="5" spans="1:5" ht="16.2" thickTop="1">
      <c r="B5" s="3154" t="s">
        <v>909</v>
      </c>
      <c r="C5" s="1392" t="s">
        <v>910</v>
      </c>
      <c r="D5" s="797">
        <f ca="1">结果表!H101</f>
        <v>560</v>
      </c>
    </row>
    <row r="6" spans="1:5" ht="15.6">
      <c r="B6" s="3154"/>
      <c r="C6" s="1392" t="s">
        <v>911</v>
      </c>
      <c r="D6" s="797" t="str">
        <f ca="1">NUMBERSTRING(INT(D5*10000),2)&amp;"元整"</f>
        <v>伍佰陆拾万元整</v>
      </c>
    </row>
    <row r="7" spans="1:5" ht="15.6">
      <c r="B7" s="3159"/>
      <c r="C7" s="1393" t="s">
        <v>912</v>
      </c>
      <c r="D7" s="798">
        <f ca="1">结果表!H102</f>
        <v>20643</v>
      </c>
    </row>
    <row r="8" spans="1:5" ht="15.6">
      <c r="B8" s="3160" t="str">
        <f>结果表!E103</f>
        <v>2.估价师知悉的法定优先受偿款</v>
      </c>
      <c r="C8" s="1394" t="s">
        <v>913</v>
      </c>
      <c r="D8" s="798">
        <f>结果表!H103</f>
        <v>0</v>
      </c>
    </row>
    <row r="9" spans="1:5" ht="15.6">
      <c r="B9" s="316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3" t="str">
        <f>结果表!E107</f>
        <v>3.房地产抵押价值</v>
      </c>
      <c r="C13" s="1397" t="s">
        <v>910</v>
      </c>
      <c r="D13" s="800">
        <f ca="1">结果表!H107</f>
        <v>560</v>
      </c>
    </row>
    <row r="14" spans="1:5" ht="15.6">
      <c r="B14" s="3154"/>
      <c r="C14" s="1392" t="s">
        <v>911</v>
      </c>
      <c r="D14" s="797" t="str">
        <f ca="1">NUMBERSTRING(INT(D13*10000),2)&amp;"元整"</f>
        <v>伍佰陆拾万元整</v>
      </c>
    </row>
    <row r="15" spans="1:5" ht="15.6">
      <c r="B15" s="3159"/>
      <c r="C15" s="1393" t="s">
        <v>921</v>
      </c>
      <c r="D15" s="806">
        <f ca="1">结果表!H108</f>
        <v>20643</v>
      </c>
    </row>
    <row r="16" spans="1:5" ht="15.6">
      <c r="B16" s="3160" t="str">
        <f>结果表!E109</f>
        <v>——</v>
      </c>
      <c r="C16" s="1397" t="s">
        <v>922</v>
      </c>
      <c r="D16" s="1398" t="str">
        <f>结果表!H109</f>
        <v>——</v>
      </c>
    </row>
    <row r="17" spans="1:5" ht="15.6">
      <c r="B17" s="3161"/>
      <c r="C17" s="1392" t="s">
        <v>923</v>
      </c>
      <c r="D17" s="797" t="e">
        <f>NUMBERSTRING(INT(D16*10000),2)&amp;"元整"</f>
        <v>#VALUE!</v>
      </c>
    </row>
    <row r="18" spans="1:5" ht="15.6">
      <c r="B18" s="3162"/>
      <c r="C18" s="1393" t="s">
        <v>912</v>
      </c>
      <c r="D18" s="806" t="str">
        <f>结果表!H110</f>
        <v>——</v>
      </c>
    </row>
    <row r="19" spans="1:5" ht="15.6">
      <c r="B19" s="3153" t="str">
        <f>结果表!E111</f>
        <v>——</v>
      </c>
      <c r="C19" s="1397" t="s">
        <v>910</v>
      </c>
      <c r="D19" s="798" t="str">
        <f>结果表!H111</f>
        <v>——</v>
      </c>
    </row>
    <row r="20" spans="1:5" ht="15.6">
      <c r="B20" s="3154"/>
      <c r="C20" s="1392" t="s">
        <v>923</v>
      </c>
      <c r="D20" s="797" t="e">
        <f>NUMBERSTRING(INT(D19*10000),2)&amp;"元整"</f>
        <v>#VALUE!</v>
      </c>
    </row>
    <row r="21" spans="1:5" ht="16.2" thickBot="1">
      <c r="B21" s="315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66" t="s">
        <v>2607</v>
      </c>
      <c r="B20" s="3461" t="s">
        <v>2628</v>
      </c>
      <c r="C20" s="2841" t="s">
        <v>2439</v>
      </c>
      <c r="D20" s="2842"/>
      <c r="E20" s="2843">
        <v>1</v>
      </c>
      <c r="F20" s="2844" t="s">
        <v>2440</v>
      </c>
      <c r="G20" s="2844"/>
    </row>
    <row r="21" spans="1:13" ht="19.5" customHeight="1">
      <c r="A21" s="3467"/>
      <c r="B21" s="3460"/>
      <c r="C21" s="2845" t="s">
        <v>2441</v>
      </c>
      <c r="D21" s="2846"/>
      <c r="E21" s="2847">
        <v>1</v>
      </c>
      <c r="F21" s="2844" t="s">
        <v>2442</v>
      </c>
      <c r="G21" s="2844"/>
    </row>
    <row r="22" spans="1:13" ht="19.5" customHeight="1">
      <c r="A22" s="3467"/>
      <c r="B22" s="3460"/>
      <c r="C22" s="2845" t="s">
        <v>2443</v>
      </c>
      <c r="D22" s="2846"/>
      <c r="E22" s="2847">
        <v>0.9</v>
      </c>
      <c r="F22" s="2844" t="s">
        <v>2444</v>
      </c>
      <c r="G22" s="2844"/>
    </row>
    <row r="23" spans="1:13" ht="19.5" customHeight="1">
      <c r="A23" s="3467"/>
      <c r="B23" s="3460"/>
      <c r="C23" s="2845" t="s">
        <v>2445</v>
      </c>
      <c r="D23" s="2846"/>
      <c r="E23" s="2847">
        <v>0.9</v>
      </c>
      <c r="F23" s="2844" t="s">
        <v>2446</v>
      </c>
      <c r="G23" s="2844"/>
    </row>
    <row r="24" spans="1:13" ht="19.5" customHeight="1">
      <c r="A24" s="3467"/>
      <c r="B24" s="3460"/>
      <c r="C24" s="2845" t="s">
        <v>2447</v>
      </c>
      <c r="D24" s="2846"/>
      <c r="E24" s="2847">
        <v>0.8</v>
      </c>
      <c r="F24" s="2844" t="s">
        <v>2448</v>
      </c>
      <c r="G24" s="2844"/>
    </row>
    <row r="25" spans="1:13" ht="19.5" customHeight="1" thickBot="1">
      <c r="A25" s="3468"/>
      <c r="B25" s="3462"/>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3" t="s">
        <v>2631</v>
      </c>
      <c r="B27" s="3461" t="s">
        <v>2612</v>
      </c>
      <c r="C27" s="2841" t="s">
        <v>2452</v>
      </c>
      <c r="D27" s="2842"/>
      <c r="E27" s="2843">
        <v>1</v>
      </c>
      <c r="F27" s="2844" t="s">
        <v>2453</v>
      </c>
      <c r="G27" s="2844"/>
    </row>
    <row r="28" spans="1:13" ht="19.5" customHeight="1">
      <c r="A28" s="3464"/>
      <c r="B28" s="3460"/>
      <c r="C28" s="2845" t="s">
        <v>2454</v>
      </c>
      <c r="D28" s="2846"/>
      <c r="E28" s="2847">
        <v>1</v>
      </c>
      <c r="F28" s="2844" t="s">
        <v>2455</v>
      </c>
      <c r="G28" s="2844"/>
    </row>
    <row r="29" spans="1:13" ht="19.5" customHeight="1">
      <c r="A29" s="3464"/>
      <c r="B29" s="3460"/>
      <c r="C29" s="2845" t="s">
        <v>2456</v>
      </c>
      <c r="D29" s="2846"/>
      <c r="E29" s="2847">
        <v>0.8</v>
      </c>
      <c r="F29" s="2844" t="s">
        <v>2457</v>
      </c>
      <c r="G29" s="2844"/>
    </row>
    <row r="30" spans="1:13" ht="19.5" customHeight="1">
      <c r="A30" s="3464"/>
      <c r="B30" s="3460"/>
      <c r="C30" s="2845" t="s">
        <v>2458</v>
      </c>
      <c r="D30" s="2846"/>
      <c r="E30" s="2847">
        <v>0.8</v>
      </c>
      <c r="F30" s="2844" t="s">
        <v>2459</v>
      </c>
      <c r="G30" s="2844"/>
    </row>
    <row r="31" spans="1:13" ht="19.5" customHeight="1">
      <c r="A31" s="3464"/>
      <c r="B31" s="3460"/>
      <c r="C31" s="2845" t="s">
        <v>2460</v>
      </c>
      <c r="D31" s="2846"/>
      <c r="E31" s="2847">
        <v>0.8</v>
      </c>
      <c r="F31" s="2844" t="s">
        <v>2461</v>
      </c>
      <c r="G31" s="2844"/>
    </row>
    <row r="32" spans="1:13" ht="19.5" customHeight="1">
      <c r="A32" s="3464"/>
      <c r="B32" s="3460"/>
      <c r="C32" s="2845" t="s">
        <v>2462</v>
      </c>
      <c r="D32" s="2846"/>
      <c r="E32" s="2847">
        <v>0.7</v>
      </c>
      <c r="F32" s="2844" t="s">
        <v>2463</v>
      </c>
      <c r="G32" s="2844"/>
    </row>
    <row r="33" spans="1:7" ht="19.5" customHeight="1">
      <c r="A33" s="3464"/>
      <c r="B33" s="3460"/>
      <c r="C33" s="2845" t="s">
        <v>2464</v>
      </c>
      <c r="D33" s="2846"/>
      <c r="E33" s="2847">
        <v>0.8</v>
      </c>
      <c r="F33" s="2844" t="s">
        <v>2465</v>
      </c>
      <c r="G33" s="2844"/>
    </row>
    <row r="34" spans="1:7" ht="19.5" customHeight="1">
      <c r="A34" s="3464"/>
      <c r="B34" s="3460"/>
      <c r="C34" s="2845" t="s">
        <v>2466</v>
      </c>
      <c r="D34" s="2846"/>
      <c r="E34" s="2847">
        <v>0.6</v>
      </c>
      <c r="F34" s="2844" t="s">
        <v>2467</v>
      </c>
      <c r="G34" s="2844"/>
    </row>
    <row r="35" spans="1:7" ht="19.5" customHeight="1">
      <c r="A35" s="3464"/>
      <c r="B35" s="3460"/>
      <c r="C35" s="2845" t="s">
        <v>2468</v>
      </c>
      <c r="D35" s="2846"/>
      <c r="E35" s="2847">
        <v>0.2</v>
      </c>
      <c r="F35" s="2844" t="s">
        <v>2469</v>
      </c>
      <c r="G35" s="2844"/>
    </row>
    <row r="36" spans="1:7" ht="19.5" customHeight="1">
      <c r="A36" s="3464"/>
      <c r="B36" s="3460"/>
      <c r="C36" s="2845" t="s">
        <v>2470</v>
      </c>
      <c r="D36" s="2846"/>
      <c r="E36" s="2847">
        <v>0.2</v>
      </c>
      <c r="F36" s="2844" t="s">
        <v>2471</v>
      </c>
      <c r="G36" s="2844"/>
    </row>
    <row r="37" spans="1:7" ht="19.5" customHeight="1">
      <c r="A37" s="3464"/>
      <c r="B37" s="3458" t="s">
        <v>2632</v>
      </c>
      <c r="C37" s="2845" t="s">
        <v>2472</v>
      </c>
      <c r="D37" s="2846"/>
      <c r="E37" s="2847">
        <v>0.6</v>
      </c>
      <c r="F37" s="2844" t="s">
        <v>2473</v>
      </c>
      <c r="G37" s="2844"/>
    </row>
    <row r="38" spans="1:7" ht="19.5" customHeight="1">
      <c r="A38" s="3464"/>
      <c r="B38" s="3460"/>
      <c r="C38" s="2845" t="s">
        <v>2474</v>
      </c>
      <c r="D38" s="2846"/>
      <c r="E38" s="2847">
        <v>0.6</v>
      </c>
      <c r="F38" s="2844" t="s">
        <v>2475</v>
      </c>
      <c r="G38" s="2844"/>
    </row>
    <row r="39" spans="1:7" ht="19.5" customHeight="1" thickBot="1">
      <c r="A39" s="3465"/>
      <c r="B39" s="3462"/>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66" t="s">
        <v>2610</v>
      </c>
      <c r="B41" s="3461" t="s">
        <v>2634</v>
      </c>
      <c r="C41" s="2841" t="s">
        <v>2479</v>
      </c>
      <c r="D41" s="2842"/>
      <c r="E41" s="2843">
        <v>1</v>
      </c>
      <c r="F41" s="2844" t="s">
        <v>2480</v>
      </c>
      <c r="G41" s="2844"/>
    </row>
    <row r="42" spans="1:7" ht="19.5" customHeight="1">
      <c r="A42" s="3467"/>
      <c r="B42" s="3460"/>
      <c r="C42" s="2845" t="s">
        <v>2481</v>
      </c>
      <c r="D42" s="2846"/>
      <c r="E42" s="2847">
        <v>1</v>
      </c>
      <c r="F42" s="2844" t="s">
        <v>2482</v>
      </c>
      <c r="G42" s="2844"/>
    </row>
    <row r="43" spans="1:7" ht="19.5" customHeight="1">
      <c r="A43" s="3467"/>
      <c r="B43" s="3459"/>
      <c r="C43" s="2845" t="s">
        <v>2483</v>
      </c>
      <c r="D43" s="2846"/>
      <c r="E43" s="2847">
        <v>1.5</v>
      </c>
      <c r="F43" s="2844" t="s">
        <v>2484</v>
      </c>
      <c r="G43" s="2844"/>
    </row>
    <row r="44" spans="1:7" ht="19.5" customHeight="1">
      <c r="A44" s="3467"/>
      <c r="B44" s="2856" t="s">
        <v>2635</v>
      </c>
      <c r="C44" s="2845" t="s">
        <v>2636</v>
      </c>
      <c r="D44" s="2846"/>
      <c r="E44" s="2847">
        <v>2</v>
      </c>
      <c r="F44" s="2844" t="s">
        <v>2485</v>
      </c>
      <c r="G44" s="2844"/>
    </row>
    <row r="45" spans="1:7" ht="19.5" customHeight="1">
      <c r="A45" s="3467"/>
      <c r="B45" s="3458" t="s">
        <v>2637</v>
      </c>
      <c r="C45" s="2845" t="s">
        <v>2486</v>
      </c>
      <c r="D45" s="2846"/>
      <c r="E45" s="2847">
        <v>1</v>
      </c>
      <c r="F45" s="2844" t="s">
        <v>2487</v>
      </c>
      <c r="G45" s="2844"/>
    </row>
    <row r="46" spans="1:7" ht="19.5" customHeight="1">
      <c r="A46" s="3467"/>
      <c r="B46" s="3460"/>
      <c r="C46" s="2845" t="s">
        <v>2488</v>
      </c>
      <c r="D46" s="2846"/>
      <c r="E46" s="2847">
        <v>1</v>
      </c>
      <c r="F46" s="2844" t="s">
        <v>2489</v>
      </c>
      <c r="G46" s="2844"/>
    </row>
    <row r="47" spans="1:7" ht="19.5" customHeight="1">
      <c r="A47" s="3467"/>
      <c r="B47" s="3460"/>
      <c r="C47" s="2845" t="s">
        <v>2490</v>
      </c>
      <c r="D47" s="2846"/>
      <c r="E47" s="2847">
        <v>1</v>
      </c>
      <c r="F47" s="2844" t="s">
        <v>2491</v>
      </c>
      <c r="G47" s="2844"/>
    </row>
    <row r="48" spans="1:7" ht="19.5" customHeight="1">
      <c r="A48" s="3467"/>
      <c r="B48" s="3460"/>
      <c r="C48" s="2845" t="s">
        <v>2492</v>
      </c>
      <c r="D48" s="2846"/>
      <c r="E48" s="2847">
        <v>1</v>
      </c>
      <c r="F48" s="2844" t="s">
        <v>2493</v>
      </c>
      <c r="G48" s="2844"/>
    </row>
    <row r="49" spans="1:7" ht="19.5" customHeight="1">
      <c r="A49" s="3467"/>
      <c r="B49" s="3460"/>
      <c r="C49" s="2845" t="s">
        <v>2494</v>
      </c>
      <c r="D49" s="2846"/>
      <c r="E49" s="2847">
        <v>1</v>
      </c>
      <c r="F49" s="2844" t="s">
        <v>2495</v>
      </c>
      <c r="G49" s="2844"/>
    </row>
    <row r="50" spans="1:7" ht="19.5" customHeight="1">
      <c r="A50" s="3467"/>
      <c r="B50" s="3460"/>
      <c r="C50" s="2845" t="s">
        <v>2496</v>
      </c>
      <c r="D50" s="2846"/>
      <c r="E50" s="2847">
        <v>1</v>
      </c>
      <c r="F50" s="2844" t="s">
        <v>2497</v>
      </c>
      <c r="G50" s="2844"/>
    </row>
    <row r="51" spans="1:7" ht="19.5" customHeight="1" thickBot="1">
      <c r="A51" s="3468"/>
      <c r="B51" s="3462"/>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58" t="s">
        <v>2651</v>
      </c>
      <c r="C73" s="2830" t="s">
        <v>2652</v>
      </c>
      <c r="D73" s="2830" t="s">
        <v>2653</v>
      </c>
      <c r="E73" s="2856">
        <v>0.2</v>
      </c>
      <c r="F73" s="2856">
        <v>25</v>
      </c>
    </row>
    <row r="74" spans="1:7" ht="24">
      <c r="A74" s="2856">
        <v>2</v>
      </c>
      <c r="B74" s="3460"/>
      <c r="C74" s="2830" t="s">
        <v>2654</v>
      </c>
      <c r="D74" s="2830" t="s">
        <v>2655</v>
      </c>
      <c r="E74" s="2856">
        <v>0.2</v>
      </c>
      <c r="F74" s="2856">
        <v>25</v>
      </c>
    </row>
    <row r="75" spans="1:7" ht="24">
      <c r="A75" s="2856">
        <v>3</v>
      </c>
      <c r="B75" s="3460"/>
      <c r="C75" s="2830" t="s">
        <v>2656</v>
      </c>
      <c r="D75" s="2830" t="s">
        <v>2657</v>
      </c>
      <c r="E75" s="2856">
        <v>0.2</v>
      </c>
      <c r="F75" s="2856">
        <v>25</v>
      </c>
    </row>
    <row r="76" spans="1:7" ht="14.4">
      <c r="A76" s="2856">
        <v>4</v>
      </c>
      <c r="B76" s="3460"/>
      <c r="C76" s="2830" t="s">
        <v>2658</v>
      </c>
      <c r="D76" s="2830" t="s">
        <v>2659</v>
      </c>
      <c r="E76" s="2856">
        <v>0.15</v>
      </c>
      <c r="F76" s="2856">
        <v>20</v>
      </c>
    </row>
    <row r="77" spans="1:7" ht="24">
      <c r="A77" s="2856">
        <v>5</v>
      </c>
      <c r="B77" s="3460"/>
      <c r="C77" s="2830" t="s">
        <v>2660</v>
      </c>
      <c r="D77" s="2830" t="s">
        <v>2661</v>
      </c>
      <c r="E77" s="2856">
        <v>0.15</v>
      </c>
      <c r="F77" s="2856">
        <v>20</v>
      </c>
    </row>
    <row r="78" spans="1:7" ht="24">
      <c r="A78" s="2856">
        <v>6</v>
      </c>
      <c r="B78" s="3460"/>
      <c r="C78" s="2830" t="s">
        <v>2662</v>
      </c>
      <c r="D78" s="2830" t="s">
        <v>2663</v>
      </c>
      <c r="E78" s="2856">
        <v>0.15</v>
      </c>
      <c r="F78" s="2856">
        <v>20</v>
      </c>
    </row>
    <row r="79" spans="1:7" ht="24">
      <c r="A79" s="2856">
        <v>7</v>
      </c>
      <c r="B79" s="3460"/>
      <c r="C79" s="2830" t="s">
        <v>2664</v>
      </c>
      <c r="D79" s="2830" t="s">
        <v>2665</v>
      </c>
      <c r="E79" s="2856">
        <v>0.15</v>
      </c>
      <c r="F79" s="2856">
        <v>20</v>
      </c>
    </row>
    <row r="80" spans="1:7" ht="24">
      <c r="A80" s="2856">
        <v>8</v>
      </c>
      <c r="B80" s="3460"/>
      <c r="C80" s="2830" t="s">
        <v>2666</v>
      </c>
      <c r="D80" s="2830" t="s">
        <v>2667</v>
      </c>
      <c r="E80" s="2856">
        <v>0.1</v>
      </c>
      <c r="F80" s="2856">
        <v>15</v>
      </c>
    </row>
    <row r="81" spans="1:6" ht="24">
      <c r="A81" s="2856">
        <v>9</v>
      </c>
      <c r="B81" s="3460"/>
      <c r="C81" s="2830" t="s">
        <v>2668</v>
      </c>
      <c r="D81" s="2830" t="s">
        <v>2669</v>
      </c>
      <c r="E81" s="2856">
        <v>0.1</v>
      </c>
      <c r="F81" s="2856">
        <v>15</v>
      </c>
    </row>
    <row r="82" spans="1:6" ht="24">
      <c r="A82" s="2856">
        <v>10</v>
      </c>
      <c r="B82" s="3460"/>
      <c r="C82" s="2830" t="s">
        <v>2670</v>
      </c>
      <c r="D82" s="2830" t="s">
        <v>2671</v>
      </c>
      <c r="E82" s="2856">
        <v>0.1</v>
      </c>
      <c r="F82" s="2856">
        <v>15</v>
      </c>
    </row>
    <row r="83" spans="1:6" ht="24">
      <c r="A83" s="2856">
        <v>11</v>
      </c>
      <c r="B83" s="3460"/>
      <c r="C83" s="2830" t="s">
        <v>2672</v>
      </c>
      <c r="D83" s="2830" t="s">
        <v>2673</v>
      </c>
      <c r="E83" s="2856">
        <v>0.1</v>
      </c>
      <c r="F83" s="2856">
        <v>15</v>
      </c>
    </row>
    <row r="84" spans="1:6" ht="24">
      <c r="A84" s="2856">
        <v>12</v>
      </c>
      <c r="B84" s="3460"/>
      <c r="C84" s="2830" t="s">
        <v>2674</v>
      </c>
      <c r="D84" s="2830" t="s">
        <v>2675</v>
      </c>
      <c r="E84" s="2856">
        <v>0.1</v>
      </c>
      <c r="F84" s="2856">
        <v>15</v>
      </c>
    </row>
    <row r="85" spans="1:6" ht="24">
      <c r="A85" s="2856">
        <v>13</v>
      </c>
      <c r="B85" s="3460"/>
      <c r="C85" s="2830" t="s">
        <v>2676</v>
      </c>
      <c r="D85" s="2830" t="s">
        <v>2677</v>
      </c>
      <c r="E85" s="2856">
        <v>0.1</v>
      </c>
      <c r="F85" s="2856">
        <v>15</v>
      </c>
    </row>
    <row r="86" spans="1:6" ht="24">
      <c r="A86" s="2856">
        <v>14</v>
      </c>
      <c r="B86" s="3460"/>
      <c r="C86" s="2830" t="s">
        <v>2678</v>
      </c>
      <c r="D86" s="2830" t="s">
        <v>2679</v>
      </c>
      <c r="E86" s="2856">
        <v>0.1</v>
      </c>
      <c r="F86" s="2856">
        <v>15</v>
      </c>
    </row>
    <row r="87" spans="1:6" ht="24">
      <c r="A87" s="2856">
        <v>15</v>
      </c>
      <c r="B87" s="3460"/>
      <c r="C87" s="2830" t="s">
        <v>2680</v>
      </c>
      <c r="D87" s="2830" t="s">
        <v>2681</v>
      </c>
      <c r="E87" s="2856">
        <v>0.1</v>
      </c>
      <c r="F87" s="2856">
        <v>15</v>
      </c>
    </row>
    <row r="88" spans="1:6" ht="24">
      <c r="A88" s="2856">
        <v>16</v>
      </c>
      <c r="B88" s="3460"/>
      <c r="C88" s="2830" t="s">
        <v>2682</v>
      </c>
      <c r="D88" s="2830" t="s">
        <v>2683</v>
      </c>
      <c r="E88" s="2856">
        <v>0.1</v>
      </c>
      <c r="F88" s="2856">
        <v>15</v>
      </c>
    </row>
    <row r="89" spans="1:6" ht="24">
      <c r="A89" s="2856">
        <v>17</v>
      </c>
      <c r="B89" s="3459"/>
      <c r="C89" s="2830" t="s">
        <v>2684</v>
      </c>
      <c r="D89" s="2830" t="s">
        <v>2685</v>
      </c>
      <c r="E89" s="2856">
        <v>0.1</v>
      </c>
      <c r="F89" s="2856">
        <v>15</v>
      </c>
    </row>
    <row r="90" spans="1:6" ht="14.4">
      <c r="A90" s="2856">
        <v>18</v>
      </c>
      <c r="B90" s="3458" t="s">
        <v>2686</v>
      </c>
      <c r="C90" s="2830" t="s">
        <v>2687</v>
      </c>
      <c r="D90" s="2830" t="s">
        <v>2688</v>
      </c>
      <c r="E90" s="2856">
        <v>0.2</v>
      </c>
      <c r="F90" s="2856">
        <v>25</v>
      </c>
    </row>
    <row r="91" spans="1:6" ht="24">
      <c r="A91" s="2856">
        <v>19</v>
      </c>
      <c r="B91" s="3460"/>
      <c r="C91" s="2830" t="s">
        <v>2689</v>
      </c>
      <c r="D91" s="2830" t="s">
        <v>2690</v>
      </c>
      <c r="E91" s="2856">
        <v>0.2</v>
      </c>
      <c r="F91" s="2856">
        <v>25</v>
      </c>
    </row>
    <row r="92" spans="1:6" ht="14.4">
      <c r="A92" s="2856">
        <v>20</v>
      </c>
      <c r="B92" s="3460"/>
      <c r="C92" s="2830" t="s">
        <v>2691</v>
      </c>
      <c r="D92" s="2830" t="s">
        <v>2692</v>
      </c>
      <c r="E92" s="2856">
        <v>0.15</v>
      </c>
      <c r="F92" s="2856">
        <v>20</v>
      </c>
    </row>
    <row r="93" spans="1:6" ht="24">
      <c r="A93" s="2856">
        <v>21</v>
      </c>
      <c r="B93" s="3460"/>
      <c r="C93" s="2830" t="s">
        <v>2693</v>
      </c>
      <c r="D93" s="2830" t="s">
        <v>2694</v>
      </c>
      <c r="E93" s="2856">
        <v>0.15</v>
      </c>
      <c r="F93" s="2856">
        <v>20</v>
      </c>
    </row>
    <row r="94" spans="1:6" ht="24">
      <c r="A94" s="2856">
        <v>22</v>
      </c>
      <c r="B94" s="3460"/>
      <c r="C94" s="2830" t="s">
        <v>2695</v>
      </c>
      <c r="D94" s="2830" t="s">
        <v>2696</v>
      </c>
      <c r="E94" s="2856">
        <v>0.15</v>
      </c>
      <c r="F94" s="2856">
        <v>20</v>
      </c>
    </row>
    <row r="95" spans="1:6" ht="36">
      <c r="A95" s="2856">
        <v>23</v>
      </c>
      <c r="B95" s="3460"/>
      <c r="C95" s="2830" t="s">
        <v>2697</v>
      </c>
      <c r="D95" s="2830" t="s">
        <v>2698</v>
      </c>
      <c r="E95" s="2856">
        <v>0.15</v>
      </c>
      <c r="F95" s="2856">
        <v>20</v>
      </c>
    </row>
    <row r="96" spans="1:6" ht="24">
      <c r="A96" s="2856">
        <v>24</v>
      </c>
      <c r="B96" s="3460"/>
      <c r="C96" s="2830" t="s">
        <v>2699</v>
      </c>
      <c r="D96" s="2830" t="s">
        <v>2700</v>
      </c>
      <c r="E96" s="2856">
        <v>0.1</v>
      </c>
      <c r="F96" s="2856">
        <v>15</v>
      </c>
    </row>
    <row r="97" spans="1:6" ht="24">
      <c r="A97" s="2856">
        <v>25</v>
      </c>
      <c r="B97" s="3460"/>
      <c r="C97" s="2830" t="s">
        <v>2701</v>
      </c>
      <c r="D97" s="2830" t="s">
        <v>2702</v>
      </c>
      <c r="E97" s="2856">
        <v>0.1</v>
      </c>
      <c r="F97" s="2856">
        <v>15</v>
      </c>
    </row>
    <row r="98" spans="1:6" ht="24">
      <c r="A98" s="2856">
        <v>26</v>
      </c>
      <c r="B98" s="3460"/>
      <c r="C98" s="2830" t="s">
        <v>2703</v>
      </c>
      <c r="D98" s="2830" t="s">
        <v>2704</v>
      </c>
      <c r="E98" s="2856">
        <v>0.1</v>
      </c>
      <c r="F98" s="2856">
        <v>15</v>
      </c>
    </row>
    <row r="99" spans="1:6" ht="24">
      <c r="A99" s="2856">
        <v>27</v>
      </c>
      <c r="B99" s="3460"/>
      <c r="C99" s="2830" t="s">
        <v>2705</v>
      </c>
      <c r="D99" s="2830" t="s">
        <v>2706</v>
      </c>
      <c r="E99" s="2856">
        <v>0.1</v>
      </c>
      <c r="F99" s="2856">
        <v>15</v>
      </c>
    </row>
    <row r="100" spans="1:6" ht="24">
      <c r="A100" s="2856">
        <v>28</v>
      </c>
      <c r="B100" s="3460"/>
      <c r="C100" s="2830" t="s">
        <v>2707</v>
      </c>
      <c r="D100" s="2830" t="s">
        <v>2708</v>
      </c>
      <c r="E100" s="2856">
        <v>0.1</v>
      </c>
      <c r="F100" s="2856">
        <v>15</v>
      </c>
    </row>
    <row r="101" spans="1:6" ht="24">
      <c r="A101" s="2856">
        <v>29</v>
      </c>
      <c r="B101" s="3460"/>
      <c r="C101" s="2830" t="s">
        <v>2709</v>
      </c>
      <c r="D101" s="2830" t="s">
        <v>2710</v>
      </c>
      <c r="E101" s="2856">
        <v>0.1</v>
      </c>
      <c r="F101" s="2856">
        <v>15</v>
      </c>
    </row>
    <row r="102" spans="1:6" ht="24">
      <c r="A102" s="2856">
        <v>30</v>
      </c>
      <c r="B102" s="3460"/>
      <c r="C102" s="2830" t="s">
        <v>2711</v>
      </c>
      <c r="D102" s="2830" t="s">
        <v>2712</v>
      </c>
      <c r="E102" s="2856">
        <v>0.1</v>
      </c>
      <c r="F102" s="2856">
        <v>15</v>
      </c>
    </row>
    <row r="103" spans="1:6" ht="24">
      <c r="A103" s="2856">
        <v>31</v>
      </c>
      <c r="B103" s="3460"/>
      <c r="C103" s="2830" t="s">
        <v>2713</v>
      </c>
      <c r="D103" s="2830" t="s">
        <v>2714</v>
      </c>
      <c r="E103" s="2856">
        <v>0.1</v>
      </c>
      <c r="F103" s="2856">
        <v>15</v>
      </c>
    </row>
    <row r="104" spans="1:6" ht="24">
      <c r="A104" s="2856">
        <v>32</v>
      </c>
      <c r="B104" s="3460"/>
      <c r="C104" s="2830" t="s">
        <v>2715</v>
      </c>
      <c r="D104" s="2830" t="s">
        <v>2716</v>
      </c>
      <c r="E104" s="2856">
        <v>0.1</v>
      </c>
      <c r="F104" s="2856">
        <v>15</v>
      </c>
    </row>
    <row r="105" spans="1:6" ht="24">
      <c r="A105" s="2856">
        <v>33</v>
      </c>
      <c r="B105" s="3460"/>
      <c r="C105" s="2830" t="s">
        <v>2717</v>
      </c>
      <c r="D105" s="2830" t="s">
        <v>2718</v>
      </c>
      <c r="E105" s="2856">
        <v>0.1</v>
      </c>
      <c r="F105" s="2856">
        <v>15</v>
      </c>
    </row>
    <row r="106" spans="1:6" ht="24">
      <c r="A106" s="2856">
        <v>34</v>
      </c>
      <c r="B106" s="3459"/>
      <c r="C106" s="2830" t="s">
        <v>2719</v>
      </c>
      <c r="D106" s="2830" t="s">
        <v>2720</v>
      </c>
      <c r="E106" s="2856">
        <v>0.1</v>
      </c>
      <c r="F106" s="2856">
        <v>15</v>
      </c>
    </row>
    <row r="107" spans="1:6" ht="36">
      <c r="A107" s="2856">
        <v>35</v>
      </c>
      <c r="B107" s="3458" t="s">
        <v>2721</v>
      </c>
      <c r="C107" s="2856" t="s">
        <v>2722</v>
      </c>
      <c r="D107" s="2830" t="s">
        <v>2723</v>
      </c>
      <c r="E107" s="2856">
        <v>0.15</v>
      </c>
      <c r="F107" s="2856">
        <v>20</v>
      </c>
    </row>
    <row r="108" spans="1:6" ht="24">
      <c r="A108" s="2856">
        <v>36</v>
      </c>
      <c r="B108" s="3460"/>
      <c r="C108" s="2856" t="s">
        <v>2724</v>
      </c>
      <c r="D108" s="2830" t="s">
        <v>2725</v>
      </c>
      <c r="E108" s="2856">
        <v>0.15</v>
      </c>
      <c r="F108" s="2856">
        <v>20</v>
      </c>
    </row>
    <row r="109" spans="1:6" ht="24">
      <c r="A109" s="2856">
        <v>37</v>
      </c>
      <c r="B109" s="3460"/>
      <c r="C109" s="2856" t="s">
        <v>2726</v>
      </c>
      <c r="D109" s="2830" t="s">
        <v>2727</v>
      </c>
      <c r="E109" s="2856">
        <v>0.15</v>
      </c>
      <c r="F109" s="2856">
        <v>20</v>
      </c>
    </row>
    <row r="110" spans="1:6" ht="24">
      <c r="A110" s="2856">
        <v>38</v>
      </c>
      <c r="B110" s="3460"/>
      <c r="C110" s="2856" t="s">
        <v>2728</v>
      </c>
      <c r="D110" s="2830" t="s">
        <v>2729</v>
      </c>
      <c r="E110" s="2856">
        <v>0.1</v>
      </c>
      <c r="F110" s="2856">
        <v>15</v>
      </c>
    </row>
    <row r="111" spans="1:6" ht="24">
      <c r="A111" s="2856">
        <v>39</v>
      </c>
      <c r="B111" s="3460"/>
      <c r="C111" s="2856" t="s">
        <v>2730</v>
      </c>
      <c r="D111" s="2830" t="s">
        <v>2731</v>
      </c>
      <c r="E111" s="2856">
        <v>0.1</v>
      </c>
      <c r="F111" s="2856">
        <v>15</v>
      </c>
    </row>
    <row r="112" spans="1:6" ht="24">
      <c r="A112" s="2856">
        <v>40</v>
      </c>
      <c r="B112" s="3459"/>
      <c r="C112" s="2856" t="s">
        <v>2732</v>
      </c>
      <c r="D112" s="2830" t="s">
        <v>2733</v>
      </c>
      <c r="E112" s="2856">
        <v>0.1</v>
      </c>
      <c r="F112" s="2856">
        <v>15</v>
      </c>
    </row>
    <row r="113" spans="1:6" ht="24">
      <c r="A113" s="2856">
        <v>41</v>
      </c>
      <c r="B113" s="3457" t="s">
        <v>2734</v>
      </c>
      <c r="C113" s="2856" t="s">
        <v>2735</v>
      </c>
      <c r="D113" s="2830" t="s">
        <v>2736</v>
      </c>
      <c r="E113" s="2856">
        <v>0.1</v>
      </c>
      <c r="F113" s="2856">
        <v>15</v>
      </c>
    </row>
    <row r="114" spans="1:6" ht="24">
      <c r="A114" s="2856">
        <v>42</v>
      </c>
      <c r="B114" s="3457"/>
      <c r="C114" s="2856" t="s">
        <v>2737</v>
      </c>
      <c r="D114" s="2830" t="s">
        <v>2738</v>
      </c>
      <c r="E114" s="2856">
        <v>0.1</v>
      </c>
      <c r="F114" s="2856">
        <v>15</v>
      </c>
    </row>
    <row r="115" spans="1:6" ht="24">
      <c r="A115" s="2856">
        <v>43</v>
      </c>
      <c r="B115" s="3457"/>
      <c r="C115" s="2856" t="s">
        <v>2739</v>
      </c>
      <c r="D115" s="2830" t="s">
        <v>2740</v>
      </c>
      <c r="E115" s="2856">
        <v>0.1</v>
      </c>
      <c r="F115" s="2856">
        <v>15</v>
      </c>
    </row>
    <row r="116" spans="1:6" ht="24">
      <c r="A116" s="2856">
        <v>44</v>
      </c>
      <c r="B116" s="3458" t="s">
        <v>2741</v>
      </c>
      <c r="C116" s="2856" t="s">
        <v>2742</v>
      </c>
      <c r="D116" s="2830" t="s">
        <v>2743</v>
      </c>
      <c r="E116" s="2856">
        <v>0.1</v>
      </c>
      <c r="F116" s="2856">
        <v>15</v>
      </c>
    </row>
    <row r="117" spans="1:6" ht="24">
      <c r="A117" s="2856">
        <v>45</v>
      </c>
      <c r="B117" s="3459"/>
      <c r="C117" s="2830" t="s">
        <v>2744</v>
      </c>
      <c r="D117" s="2830" t="s">
        <v>2745</v>
      </c>
      <c r="E117" s="2856">
        <v>0.1</v>
      </c>
      <c r="F117" s="2856">
        <v>15</v>
      </c>
    </row>
    <row r="118" spans="1:6" ht="24">
      <c r="A118" s="2856">
        <v>46</v>
      </c>
      <c r="B118" s="3458" t="s">
        <v>2746</v>
      </c>
      <c r="C118" s="2856" t="s">
        <v>2747</v>
      </c>
      <c r="D118" s="2830" t="s">
        <v>2748</v>
      </c>
      <c r="E118" s="2856">
        <v>0.1</v>
      </c>
      <c r="F118" s="2856">
        <v>15</v>
      </c>
    </row>
    <row r="119" spans="1:6" ht="24">
      <c r="A119" s="2856">
        <v>47</v>
      </c>
      <c r="B119" s="3459"/>
      <c r="C119" s="2856" t="s">
        <v>2749</v>
      </c>
      <c r="D119" s="2830" t="s">
        <v>2750</v>
      </c>
      <c r="E119" s="2856">
        <v>0.1</v>
      </c>
      <c r="F119" s="2856">
        <v>15</v>
      </c>
    </row>
    <row r="120" spans="1:6" ht="24">
      <c r="A120" s="2856">
        <v>48</v>
      </c>
      <c r="B120" s="3458" t="s">
        <v>2751</v>
      </c>
      <c r="C120" s="2856" t="s">
        <v>2752</v>
      </c>
      <c r="D120" s="2830" t="s">
        <v>2753</v>
      </c>
      <c r="E120" s="2856">
        <v>0.1</v>
      </c>
      <c r="F120" s="2856">
        <v>15</v>
      </c>
    </row>
    <row r="121" spans="1:6" ht="24">
      <c r="A121" s="2856">
        <v>49</v>
      </c>
      <c r="B121" s="3459"/>
      <c r="C121" s="2856" t="s">
        <v>2754</v>
      </c>
      <c r="D121" s="2830" t="s">
        <v>2755</v>
      </c>
      <c r="E121" s="2856">
        <v>0.1</v>
      </c>
      <c r="F121" s="2856">
        <v>15</v>
      </c>
    </row>
    <row r="122" spans="1:6" ht="24">
      <c r="A122" s="2856">
        <v>50</v>
      </c>
      <c r="B122" s="3457" t="s">
        <v>2756</v>
      </c>
      <c r="C122" s="2856" t="s">
        <v>2757</v>
      </c>
      <c r="D122" s="2830" t="s">
        <v>2758</v>
      </c>
      <c r="E122" s="2856">
        <v>0.1</v>
      </c>
      <c r="F122" s="2856">
        <v>15</v>
      </c>
    </row>
    <row r="123" spans="1:6" ht="24">
      <c r="A123" s="2856">
        <v>51</v>
      </c>
      <c r="B123" s="3457"/>
      <c r="C123" s="2856" t="s">
        <v>2759</v>
      </c>
      <c r="D123" s="2830" t="s">
        <v>2760</v>
      </c>
      <c r="E123" s="2856">
        <v>0.1</v>
      </c>
      <c r="F123" s="2856">
        <v>15</v>
      </c>
    </row>
    <row r="124" spans="1:6" ht="24">
      <c r="A124" s="2856">
        <v>52</v>
      </c>
      <c r="B124" s="3457" t="s">
        <v>2761</v>
      </c>
      <c r="C124" s="2856" t="s">
        <v>2762</v>
      </c>
      <c r="D124" s="2830" t="s">
        <v>2763</v>
      </c>
      <c r="E124" s="2856">
        <v>0.1</v>
      </c>
      <c r="F124" s="2856">
        <v>15</v>
      </c>
    </row>
    <row r="125" spans="1:6" ht="24">
      <c r="A125" s="2856">
        <v>53</v>
      </c>
      <c r="B125" s="3457"/>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57" t="s">
        <v>2769</v>
      </c>
      <c r="C127" s="2856" t="s">
        <v>2770</v>
      </c>
      <c r="D127" s="2830" t="s">
        <v>2771</v>
      </c>
      <c r="E127" s="2856">
        <v>0.1</v>
      </c>
      <c r="F127" s="2856">
        <v>15</v>
      </c>
    </row>
    <row r="128" spans="1:6" ht="24">
      <c r="A128" s="2856">
        <v>56</v>
      </c>
      <c r="B128" s="3457"/>
      <c r="C128" s="2856" t="s">
        <v>2772</v>
      </c>
      <c r="D128" s="2830" t="s">
        <v>2773</v>
      </c>
      <c r="E128" s="2856">
        <v>0.1</v>
      </c>
      <c r="F128" s="2856">
        <v>15</v>
      </c>
    </row>
    <row r="129" spans="1:6" ht="24">
      <c r="A129" s="2856">
        <v>57</v>
      </c>
      <c r="B129" s="3457"/>
      <c r="C129" s="2856" t="s">
        <v>2774</v>
      </c>
      <c r="D129" s="2830" t="s">
        <v>2775</v>
      </c>
      <c r="E129" s="2856">
        <v>0.1</v>
      </c>
      <c r="F129" s="2856">
        <v>15</v>
      </c>
    </row>
    <row r="130" spans="1:6" ht="24">
      <c r="A130" s="2856">
        <v>58</v>
      </c>
      <c r="B130" s="3457" t="s">
        <v>2776</v>
      </c>
      <c r="C130" s="2856" t="s">
        <v>2777</v>
      </c>
      <c r="D130" s="2830" t="s">
        <v>2778</v>
      </c>
      <c r="E130" s="2856">
        <v>0.1</v>
      </c>
      <c r="F130" s="2856">
        <v>15</v>
      </c>
    </row>
    <row r="131" spans="1:6" ht="24">
      <c r="A131" s="2856">
        <v>59</v>
      </c>
      <c r="B131" s="3457"/>
      <c r="C131" s="2856" t="s">
        <v>2779</v>
      </c>
      <c r="D131" s="2830" t="s">
        <v>2780</v>
      </c>
      <c r="E131" s="2856">
        <v>0.1</v>
      </c>
      <c r="F131" s="2856">
        <v>15</v>
      </c>
    </row>
    <row r="132" spans="1:6" ht="24">
      <c r="A132" s="2856">
        <v>60</v>
      </c>
      <c r="B132" s="3458" t="s">
        <v>2781</v>
      </c>
      <c r="C132" s="2856" t="s">
        <v>2782</v>
      </c>
      <c r="D132" s="2830" t="s">
        <v>2783</v>
      </c>
      <c r="E132" s="2856">
        <v>0.1</v>
      </c>
      <c r="F132" s="2856">
        <v>15</v>
      </c>
    </row>
    <row r="133" spans="1:6" ht="24">
      <c r="A133" s="2856">
        <v>61</v>
      </c>
      <c r="B133" s="3459"/>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57" t="s">
        <v>2789</v>
      </c>
      <c r="C135" s="2856" t="s">
        <v>2790</v>
      </c>
      <c r="D135" s="2830" t="s">
        <v>2791</v>
      </c>
      <c r="E135" s="2856">
        <v>0.1</v>
      </c>
      <c r="F135" s="2856">
        <v>15</v>
      </c>
    </row>
    <row r="136" spans="1:6" ht="24">
      <c r="A136" s="2856">
        <v>64</v>
      </c>
      <c r="B136" s="3457"/>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27682</v>
      </c>
      <c r="C2" s="2" t="s">
        <v>106</v>
      </c>
      <c r="D2" s="191"/>
      <c r="E2" s="191"/>
      <c r="F2" s="191"/>
      <c r="G2" s="191"/>
    </row>
    <row r="3" spans="1:7" s="192" customFormat="1" ht="18" customHeight="1" thickBot="1">
      <c r="A3" s="195" t="s">
        <v>58</v>
      </c>
      <c r="B3" s="196">
        <f ca="1">ROUND(B2*10000/'数据-汇总表'!E3,0)</f>
        <v>1020647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271.22000000000003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271.22000000000003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27588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92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81</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271.22000000000003</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5.9999999999999995E-4</v>
      </c>
      <c r="D44" s="230"/>
      <c r="E44" s="230"/>
      <c r="F44" s="231"/>
      <c r="G44" s="3336"/>
    </row>
    <row r="45" spans="1:7" s="206" customFormat="1" ht="13.5" customHeight="1">
      <c r="A45" s="731" t="s">
        <v>341</v>
      </c>
      <c r="B45" s="236" t="s">
        <v>85</v>
      </c>
      <c r="C45" s="237">
        <f>C46</f>
        <v>14</v>
      </c>
      <c r="D45" s="227">
        <f>C47</f>
        <v>3.0000000000000001E-3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120</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94</v>
      </c>
      <c r="D51" s="224"/>
      <c r="E51" s="224"/>
      <c r="F51" s="256"/>
      <c r="G51" s="226" t="s">
        <v>37</v>
      </c>
    </row>
    <row r="52" spans="1:7" s="200" customFormat="1" ht="16.8" thickBot="1">
      <c r="A52" s="257" t="s">
        <v>38</v>
      </c>
      <c r="B52" s="258"/>
      <c r="C52" s="259">
        <f ca="1">C31+C51</f>
        <v>27682</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1" t="s">
        <v>2839</v>
      </c>
      <c r="B1" s="3471"/>
      <c r="C1" s="3471"/>
      <c r="D1" s="3471"/>
      <c r="E1" s="3471"/>
      <c r="F1" s="3471"/>
      <c r="G1" s="347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6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7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3" t="s">
        <v>3181</v>
      </c>
      <c r="B1" s="3473"/>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4" t="s">
        <v>3232</v>
      </c>
      <c r="B1" s="3474"/>
      <c r="C1" s="3474"/>
      <c r="D1" s="3474"/>
      <c r="E1" s="3474"/>
      <c r="F1" s="347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45712</v>
      </c>
      <c r="B1" s="2928" t="s">
        <v>3378</v>
      </c>
      <c r="C1" s="2929"/>
      <c r="D1" s="2929"/>
      <c r="E1" s="2929"/>
      <c r="F1" s="2929"/>
      <c r="G1" s="2929"/>
      <c r="H1" s="2929"/>
      <c r="I1" s="2929"/>
      <c r="J1" s="2895"/>
      <c r="K1" s="2929" t="s">
        <v>454</v>
      </c>
      <c r="L1" s="2929"/>
      <c r="M1" s="2929"/>
      <c r="N1" s="2929"/>
      <c r="O1" s="2929"/>
      <c r="P1" s="2929"/>
      <c r="Q1" s="2895"/>
      <c r="R1" s="3476" t="s">
        <v>456</v>
      </c>
      <c r="S1" s="3477"/>
      <c r="T1" s="3477"/>
      <c r="U1" s="3477"/>
      <c r="V1" s="3477"/>
      <c r="W1" s="3477"/>
      <c r="X1" s="2895"/>
      <c r="Y1" s="3476" t="s">
        <v>457</v>
      </c>
      <c r="Z1" s="3477"/>
      <c r="AA1" s="3477"/>
      <c r="AB1" s="3477"/>
      <c r="AC1" s="3477"/>
      <c r="AD1" s="3477"/>
    </row>
    <row r="2" spans="1:30" s="2009" customFormat="1" ht="1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3.2">
      <c r="A5" s="2039" t="s">
        <v>3374</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3.2">
      <c r="A6" s="2906" t="s">
        <v>3383</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4" customFormat="1" ht="13.2">
      <c r="A7" s="2039" t="s">
        <v>3382</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4" t="s">
        <v>3375</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4" t="s">
        <v>3373</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3.2">
      <c r="A10" s="2904" t="s">
        <v>3369</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3.2">
      <c r="A11" s="2904" t="s">
        <v>3368</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3.2">
      <c r="A12" s="2904" t="s">
        <v>3366</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3.2">
      <c r="A13" s="2904" t="s">
        <v>3365</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3.2">
      <c r="A14" s="2904" t="s">
        <v>3364</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4" t="s">
        <v>3362</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4" t="s">
        <v>3353</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4" t="s">
        <v>2820</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4" t="s">
        <v>2821</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4" t="s">
        <v>2822</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4" t="s">
        <v>2823</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3381</v>
      </c>
    </row>
    <row r="24" spans="1:30">
      <c r="I24" s="1405" t="s">
        <v>2825</v>
      </c>
    </row>
    <row r="26" spans="1:30" s="2008" customFormat="1" ht="13.2">
      <c r="B26" s="2928" t="s">
        <v>3379</v>
      </c>
      <c r="C26" s="2929"/>
      <c r="D26" s="2929"/>
      <c r="E26" s="2929"/>
      <c r="F26" s="2929"/>
      <c r="G26" s="2929"/>
      <c r="H26" s="2929"/>
      <c r="I26" s="2929"/>
      <c r="J26" s="2895"/>
      <c r="K26" s="2929" t="s">
        <v>2826</v>
      </c>
      <c r="L26" s="2929"/>
      <c r="M26" s="2929"/>
      <c r="N26" s="2929"/>
      <c r="O26" s="2929"/>
      <c r="P26" s="2929"/>
      <c r="Q26" s="2895"/>
      <c r="R26" s="3476" t="s">
        <v>2827</v>
      </c>
      <c r="S26" s="3477"/>
      <c r="T26" s="3477"/>
      <c r="U26" s="3477"/>
      <c r="V26" s="3477"/>
      <c r="W26" s="3477"/>
      <c r="X26" s="2895"/>
      <c r="Y26" s="3476" t="s">
        <v>2828</v>
      </c>
      <c r="Z26" s="3477"/>
      <c r="AA26" s="3477"/>
      <c r="AB26" s="3477"/>
      <c r="AC26" s="3477"/>
      <c r="AD26" s="3477"/>
    </row>
    <row r="27" spans="1:30" s="2009" customFormat="1" ht="15" thickBot="1">
      <c r="B27" s="2880"/>
      <c r="C27" s="2881"/>
      <c r="D27" s="2010" t="s">
        <v>2829</v>
      </c>
      <c r="E27" s="2011" t="s">
        <v>2830</v>
      </c>
      <c r="F27" s="2011" t="s">
        <v>2831</v>
      </c>
      <c r="G27" s="2011" t="s">
        <v>2832</v>
      </c>
      <c r="H27" s="2011"/>
      <c r="I27" s="2011" t="s">
        <v>2833</v>
      </c>
      <c r="J27" s="2882"/>
      <c r="K27" s="2010" t="s">
        <v>2829</v>
      </c>
      <c r="L27" s="2011" t="s">
        <v>2830</v>
      </c>
      <c r="M27" s="2011" t="s">
        <v>2831</v>
      </c>
      <c r="N27" s="2011" t="s">
        <v>2832</v>
      </c>
      <c r="O27" s="2011"/>
      <c r="P27" s="2011" t="s">
        <v>2833</v>
      </c>
      <c r="Q27" s="2882"/>
      <c r="R27" s="2010" t="s">
        <v>2829</v>
      </c>
      <c r="S27" s="2011" t="s">
        <v>2830</v>
      </c>
      <c r="T27" s="2011" t="s">
        <v>2831</v>
      </c>
      <c r="U27" s="2011" t="s">
        <v>2832</v>
      </c>
      <c r="V27" s="2011"/>
      <c r="W27" s="2011" t="s">
        <v>2833</v>
      </c>
      <c r="X27" s="2882"/>
      <c r="Y27" s="2010" t="s">
        <v>2829</v>
      </c>
      <c r="Z27" s="2011" t="s">
        <v>2830</v>
      </c>
      <c r="AA27" s="2011" t="s">
        <v>2831</v>
      </c>
      <c r="AB27" s="2011" t="s">
        <v>2832</v>
      </c>
      <c r="AC27" s="2011"/>
      <c r="AD27" s="2011"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8" customFormat="1" ht="13.2">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3.2">
      <c r="A30" s="2039" t="s">
        <v>3374</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3.2">
      <c r="A31" s="2906" t="s">
        <v>3376</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4" customFormat="1" ht="13.2">
      <c r="A32" s="2039" t="s">
        <v>3371</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3.2">
      <c r="A33" s="2904" t="s">
        <v>3377</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3.2">
      <c r="A34" s="2904" t="s">
        <v>3372</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3.2">
      <c r="A35" s="2904" t="s">
        <v>3370</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3.2">
      <c r="A36" s="2904" t="s">
        <v>3368</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3.2">
      <c r="A37" s="2904" t="s">
        <v>3367</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3.2">
      <c r="A38" s="2904" t="s">
        <v>3365</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3.2">
      <c r="A39" s="2904" t="s">
        <v>3364</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3.2">
      <c r="A40" s="2904" t="s">
        <v>3363</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3.2">
      <c r="A41" s="2904" t="s">
        <v>3353</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3.2">
      <c r="A42" s="2904" t="s">
        <v>2835</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3.2">
      <c r="A43" s="2904" t="s">
        <v>2836</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3.2">
      <c r="A44" s="2904" t="s">
        <v>2837</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3.2">
      <c r="A45" s="2904" t="s">
        <v>2838</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7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7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7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7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7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7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7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7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7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7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7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7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7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45712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6">
      <c r="A3" s="3166"/>
      <c r="B3" s="3166"/>
      <c r="C3" s="3166"/>
      <c r="D3" s="801" t="s">
        <v>925</v>
      </c>
      <c r="E3" s="801" t="s">
        <v>931</v>
      </c>
      <c r="F3" s="801" t="s">
        <v>925</v>
      </c>
      <c r="G3" s="801" t="s">
        <v>926</v>
      </c>
      <c r="H3" s="801" t="s">
        <v>925</v>
      </c>
      <c r="I3" s="801" t="s">
        <v>926</v>
      </c>
    </row>
    <row r="4" spans="1:9" ht="15">
      <c r="A4" s="1403" t="str">
        <f>项目基本情况!S2</f>
        <v>北京市景文东路1号院22号楼1至2层105房地产</v>
      </c>
      <c r="B4" s="801">
        <f>项目基本情况!C17</f>
        <v>271.22000000000003</v>
      </c>
      <c r="C4" s="801">
        <f>项目基本情况!C18</f>
        <v>0</v>
      </c>
      <c r="D4" s="801">
        <f>结果表!D118</f>
        <v>0</v>
      </c>
      <c r="E4" s="801">
        <f>结果表!E118</f>
        <v>0</v>
      </c>
      <c r="F4" s="801">
        <f>结果表!F118</f>
        <v>0</v>
      </c>
      <c r="G4" s="801">
        <f>结果表!G118</f>
        <v>0</v>
      </c>
      <c r="H4" s="801">
        <f ca="1">结果表!H118</f>
        <v>560</v>
      </c>
      <c r="I4" s="801">
        <f ca="1">结果表!I118</f>
        <v>20643</v>
      </c>
    </row>
    <row r="5" spans="1:9" ht="30" customHeight="1">
      <c r="A5" s="3166" t="s">
        <v>927</v>
      </c>
      <c r="B5" s="3166"/>
      <c r="C5" s="3166"/>
      <c r="D5" s="3166" t="str">
        <f>结果表!D119</f>
        <v>零元整</v>
      </c>
      <c r="E5" s="3166"/>
      <c r="F5" s="3166" t="str">
        <f>结果表!F119</f>
        <v>零元整</v>
      </c>
      <c r="G5" s="3166"/>
      <c r="H5" s="3166" t="str">
        <f ca="1">结果表!H119</f>
        <v>伍佰陆拾万元整</v>
      </c>
      <c r="I5" s="3166"/>
    </row>
    <row r="6" spans="1:9" ht="15.6">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6">
      <c r="A8" s="3165" t="str">
        <f>结果表!A122</f>
        <v>房地产抵押价值</v>
      </c>
      <c r="B8" s="3165"/>
      <c r="C8" s="3165"/>
      <c r="D8" s="3165">
        <f ca="1">结果表!D122</f>
        <v>560</v>
      </c>
      <c r="E8" s="3165"/>
      <c r="F8" s="3165"/>
      <c r="G8" s="3165"/>
      <c r="H8" s="3165"/>
      <c r="I8" s="3165"/>
    </row>
    <row r="9" spans="1:9" ht="15">
      <c r="A9" s="3166" t="s">
        <v>927</v>
      </c>
      <c r="B9" s="3166"/>
      <c r="C9" s="3166"/>
      <c r="D9" s="3166" t="str">
        <f ca="1">结果表!D123</f>
        <v>伍佰陆拾万元整</v>
      </c>
      <c r="E9" s="3166"/>
      <c r="F9" s="3166"/>
      <c r="G9" s="3166"/>
      <c r="H9" s="3166"/>
      <c r="I9" s="3166"/>
    </row>
    <row r="10" spans="1:9" ht="15.6">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6">
      <c r="A12" s="3165" t="str">
        <f>结果表!A126</f>
        <v/>
      </c>
      <c r="B12" s="3165"/>
      <c r="C12" s="3165"/>
      <c r="D12" s="3165" t="str">
        <f>结果表!D126</f>
        <v>——</v>
      </c>
      <c r="E12" s="3165"/>
      <c r="F12" s="3165"/>
      <c r="G12" s="3165"/>
      <c r="H12" s="3165"/>
      <c r="I12" s="3165"/>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8" t="s">
        <v>949</v>
      </c>
      <c r="B1" s="3178"/>
      <c r="C1" s="3178"/>
      <c r="D1" s="3178"/>
    </row>
    <row r="2" spans="1:4" ht="17.399999999999999">
      <c r="A2" s="3179" t="s">
        <v>933</v>
      </c>
      <c r="B2" s="3179"/>
      <c r="C2" s="3179"/>
      <c r="D2" s="317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9" t="s">
        <v>939</v>
      </c>
      <c r="B6" s="3179"/>
      <c r="C6" s="3179"/>
      <c r="D6" s="317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0" t="s">
        <v>942</v>
      </c>
      <c r="B11" s="3172"/>
      <c r="C11" s="3172"/>
      <c r="D11" s="3172"/>
    </row>
    <row r="12" spans="1:4" ht="15.6">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6" t="s">
        <v>956</v>
      </c>
      <c r="B15" s="3181" t="s">
        <v>109</v>
      </c>
      <c r="C15" s="3182"/>
    </row>
    <row r="16" spans="1:7" ht="14.4">
      <c r="A16" s="3187"/>
      <c r="B16" s="3181" t="s">
        <v>42</v>
      </c>
      <c r="C16" s="3182"/>
    </row>
    <row r="17" spans="1:3" ht="14.4">
      <c r="A17" s="3187"/>
      <c r="B17" s="3184" t="s">
        <v>957</v>
      </c>
      <c r="C17" s="1429" t="s">
        <v>956</v>
      </c>
    </row>
    <row r="18" spans="1:3" ht="14.4">
      <c r="A18" s="3187"/>
      <c r="B18" s="3184"/>
      <c r="C18" s="1429" t="s">
        <v>958</v>
      </c>
    </row>
    <row r="19" spans="1:3" ht="14.4">
      <c r="A19" s="3187"/>
      <c r="B19" s="3184"/>
      <c r="C19" s="1429" t="s">
        <v>959</v>
      </c>
    </row>
    <row r="20" spans="1:3" ht="14.4">
      <c r="A20" s="3188"/>
      <c r="B20" s="3183" t="s">
        <v>960</v>
      </c>
      <c r="C20" s="3182"/>
    </row>
    <row r="21" spans="1:3" ht="14.4">
      <c r="A21" s="1430" t="s">
        <v>961</v>
      </c>
      <c r="B21" s="1431"/>
      <c r="C21" s="1432"/>
    </row>
    <row r="22" spans="1:3" ht="14.4">
      <c r="A22" s="3185" t="s">
        <v>962</v>
      </c>
      <c r="B22" s="3183" t="s">
        <v>963</v>
      </c>
      <c r="C22" s="3182"/>
    </row>
    <row r="23" spans="1:3" ht="14.4">
      <c r="A23" s="3185"/>
      <c r="B23" s="3183" t="s">
        <v>964</v>
      </c>
      <c r="C23" s="3182"/>
    </row>
    <row r="24" spans="1:3" ht="14.4">
      <c r="A24" s="3185"/>
      <c r="B24" s="3183" t="s">
        <v>965</v>
      </c>
      <c r="C24" s="3182"/>
    </row>
    <row r="25" spans="1:3" ht="14.4">
      <c r="A25" s="3185"/>
      <c r="B25" s="3184" t="s">
        <v>966</v>
      </c>
      <c r="C25" s="1429" t="s">
        <v>967</v>
      </c>
    </row>
    <row r="26" spans="1:3" ht="14.4">
      <c r="A26" s="3185"/>
      <c r="B26" s="3184"/>
      <c r="C26" s="1429" t="s">
        <v>968</v>
      </c>
    </row>
    <row r="27" spans="1:3" ht="14.4">
      <c r="A27" s="3185"/>
      <c r="B27" s="3184"/>
      <c r="C27" s="1429" t="s">
        <v>969</v>
      </c>
    </row>
    <row r="28" spans="1:3" ht="14.4">
      <c r="A28" s="3185"/>
      <c r="B28" s="3184"/>
      <c r="C28" s="1429" t="s">
        <v>970</v>
      </c>
    </row>
    <row r="29" spans="1:3" ht="14.4">
      <c r="A29" s="3185"/>
      <c r="B29" s="3184"/>
      <c r="C29" s="1429" t="s">
        <v>971</v>
      </c>
    </row>
    <row r="30" spans="1:3" ht="14.4">
      <c r="A30" s="3185"/>
      <c r="B30" s="3184"/>
      <c r="C30" s="1429" t="s">
        <v>972</v>
      </c>
    </row>
    <row r="31" spans="1:3" ht="14.4">
      <c r="A31" s="3185"/>
      <c r="B31" s="3184"/>
      <c r="C31" s="1429" t="s">
        <v>973</v>
      </c>
    </row>
    <row r="32" spans="1:3" ht="14.4">
      <c r="A32" s="3185"/>
      <c r="B32" s="3184"/>
      <c r="C32" s="1429" t="s">
        <v>974</v>
      </c>
    </row>
    <row r="33" spans="1:3" ht="14.4">
      <c r="A33" s="3185"/>
      <c r="B33" s="318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45712</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59"/>
      <c r="E18" s="3191" t="s">
        <v>2162</v>
      </c>
      <c r="F18" s="3190"/>
      <c r="G18" s="3190"/>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信息</vt:lpstr>
      <vt:lpstr>比较法-商业租金</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2025-02-24T05:40:59Z</dcterms:modified>
</cp:coreProperties>
</file>