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9440" windowHeight="5568"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B14" i="74"/>
  <c r="C4" i="31"/>
  <c r="D4" i="31"/>
  <c r="D15" i="74" l="1"/>
  <c r="C21" i="80" l="1"/>
  <c r="B29" i="1" l="1"/>
  <c r="U24" i="31"/>
  <c r="I13" i="3" l="1"/>
  <c r="E23" i="80"/>
  <c r="E22" i="80" l="1"/>
  <c r="B21" i="80"/>
  <c r="D21" i="80" s="1"/>
  <c r="F21" i="80" s="1"/>
  <c r="B20" i="80"/>
  <c r="A19" i="80"/>
  <c r="B19" i="80"/>
  <c r="A20" i="80"/>
  <c r="E14" i="80"/>
  <c r="B13" i="80"/>
  <c r="B12" i="80"/>
  <c r="B14" i="80" s="1"/>
  <c r="A13" i="80"/>
  <c r="A12" i="80"/>
  <c r="B22" i="80" l="1"/>
  <c r="E5" i="80"/>
  <c r="B4" i="80"/>
  <c r="B3" i="80"/>
  <c r="A4" i="80"/>
  <c r="A3" i="80"/>
  <c r="E104" i="33"/>
  <c r="Y6" i="1"/>
  <c r="N6" i="1"/>
  <c r="F19" i="6"/>
  <c r="C33" i="33" s="1"/>
  <c r="D3" i="4"/>
  <c r="F104" i="33" l="1"/>
  <c r="F4" i="31" s="1"/>
  <c r="E4" i="31"/>
  <c r="B5" i="80"/>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F9" i="15"/>
  <c r="F7" i="73"/>
  <c r="D35" i="9"/>
  <c r="B7" i="76"/>
  <c r="F37" i="15"/>
  <c r="D7" i="73"/>
  <c r="M29" i="15"/>
  <c r="E7" i="76"/>
  <c r="E2" i="68"/>
  <c r="M22" i="67"/>
  <c r="D4" i="73"/>
  <c r="F8" i="67"/>
  <c r="E12" i="76"/>
  <c r="M24" i="15"/>
  <c r="M22" i="15"/>
  <c r="F26" i="15"/>
  <c r="M6" i="67"/>
  <c r="M29" i="67"/>
  <c r="F42" i="15"/>
  <c r="M28" i="67"/>
  <c r="D34" i="9"/>
  <c r="J15" i="15"/>
  <c r="B13" i="76"/>
  <c r="F20" i="31"/>
  <c r="E8" i="76"/>
  <c r="F4" i="73"/>
  <c r="E11" i="76"/>
  <c r="F37" i="67"/>
  <c r="F40" i="67"/>
  <c r="F7" i="15"/>
  <c r="F38" i="15"/>
  <c r="M28" i="15"/>
  <c r="M9" i="15"/>
  <c r="F6" i="73"/>
  <c r="B11" i="76"/>
  <c r="B8" i="76"/>
  <c r="E2" i="69"/>
  <c r="F43" i="67"/>
  <c r="F16" i="67"/>
  <c r="F43" i="15"/>
  <c r="L47" i="67"/>
  <c r="F13" i="15"/>
  <c r="J15" i="67"/>
  <c r="D3" i="73"/>
  <c r="F13" i="67"/>
  <c r="F8" i="15"/>
  <c r="F16" i="15"/>
  <c r="C76" i="67"/>
  <c r="E10" i="76"/>
  <c r="C76" i="15"/>
  <c r="D6" i="73"/>
  <c r="M8" i="67"/>
  <c r="F26" i="67"/>
  <c r="F7" i="67"/>
  <c r="D5" i="73"/>
  <c r="F36" i="15"/>
  <c r="M26" i="15"/>
  <c r="F36" i="67"/>
  <c r="M23" i="15"/>
  <c r="M24" i="67"/>
  <c r="M23" i="67"/>
  <c r="B9" i="76"/>
  <c r="L48" i="67"/>
  <c r="B12" i="76"/>
  <c r="L48" i="15"/>
  <c r="F6" i="67"/>
  <c r="F40" i="15"/>
  <c r="F9" i="67"/>
  <c r="F6" i="15"/>
  <c r="F5" i="73"/>
  <c r="M8" i="15"/>
  <c r="M6" i="15"/>
  <c r="M9" i="67"/>
  <c r="E9" i="76"/>
  <c r="AO13" i="1"/>
  <c r="M26" i="67"/>
  <c r="L47" i="15"/>
  <c r="F38" i="67"/>
  <c r="F42" i="67"/>
  <c r="F3" i="73"/>
  <c r="B10" i="76"/>
  <c r="D19" i="53" l="1"/>
  <c r="B38" i="72" s="1"/>
  <c r="H5" i="3"/>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G5" i="3" l="1"/>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H6" i="3" l="1"/>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4"/>
  <c r="D2" i="37"/>
  <c r="D2" i="36"/>
  <c r="D2" i="35"/>
  <c r="L51" i="1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9" i="1"/>
  <c r="C20" i="9"/>
  <c r="AO10" i="1"/>
  <c r="AO11" i="1"/>
  <c r="AO7" i="1"/>
  <c r="AO8" i="1"/>
  <c r="AO12" i="1"/>
  <c r="D19" i="9"/>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19" i="80" s="1"/>
  <c r="C42" i="40"/>
  <c r="C43" i="40"/>
  <c r="E47" i="40"/>
  <c r="F47" i="40" s="1"/>
  <c r="E46" i="40"/>
  <c r="F46" i="40" s="1"/>
  <c r="I47" i="40"/>
  <c r="J47" i="40" s="1"/>
  <c r="D19" i="80" l="1"/>
  <c r="H19" i="80" s="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I19" i="80" l="1"/>
  <c r="K19" i="80" s="1"/>
  <c r="F19" i="80"/>
  <c r="S28" i="31"/>
  <c r="D14" i="74" s="1"/>
  <c r="C20" i="80"/>
  <c r="D20" i="80" s="1"/>
  <c r="S27" i="31"/>
  <c r="C13" i="80"/>
  <c r="D13" i="80" s="1"/>
  <c r="F13" i="80" s="1"/>
  <c r="S26" i="31"/>
  <c r="C12" i="80"/>
  <c r="D12" i="80" s="1"/>
  <c r="S29" i="31"/>
  <c r="C4" i="80"/>
  <c r="D4" i="80" s="1"/>
  <c r="S25" i="31"/>
  <c r="C3" i="80"/>
  <c r="D3" i="80" s="1"/>
  <c r="H3" i="80" l="1"/>
  <c r="H20" i="80"/>
  <c r="H13" i="80"/>
  <c r="H4" i="80"/>
  <c r="J19" i="80"/>
  <c r="H12" i="80"/>
  <c r="F4" i="80"/>
  <c r="F3" i="80"/>
  <c r="T24" i="31"/>
  <c r="V24" i="31" s="1"/>
  <c r="F20" i="80"/>
  <c r="D22" i="80"/>
  <c r="F22" i="80" s="1"/>
  <c r="F12" i="80"/>
  <c r="D14" i="80"/>
  <c r="F14" i="80" s="1"/>
  <c r="D5" i="80"/>
  <c r="S22" i="31"/>
  <c r="R22" i="31" s="1"/>
  <c r="B6" i="74"/>
  <c r="D6" i="74" s="1"/>
  <c r="J3" i="80" l="1"/>
  <c r="J21" i="80"/>
  <c r="K21" i="80" s="1"/>
  <c r="I20" i="80"/>
  <c r="K20" i="80" s="1"/>
  <c r="I13" i="80"/>
  <c r="K13" i="80" s="1"/>
  <c r="I4" i="80"/>
  <c r="K4" i="80" s="1"/>
  <c r="O19" i="80"/>
  <c r="P19" i="80" s="1"/>
  <c r="I12" i="80"/>
  <c r="K12" i="80" s="1"/>
  <c r="I3" i="80"/>
  <c r="B5" i="74"/>
  <c r="C5" i="80"/>
  <c r="F5" i="80"/>
  <c r="D23" i="80"/>
  <c r="F23" i="80" s="1"/>
  <c r="B20" i="31"/>
  <c r="B21" i="31" s="1"/>
  <c r="O21" i="80" l="1"/>
  <c r="P21" i="80" s="1"/>
  <c r="N21" i="80"/>
  <c r="O20" i="80"/>
  <c r="P20" i="80" s="1"/>
  <c r="N20" i="80"/>
  <c r="O13" i="80"/>
  <c r="P13" i="80" s="1"/>
  <c r="N13" i="80"/>
  <c r="O12" i="80"/>
  <c r="P12" i="80" s="1"/>
  <c r="N12" i="80"/>
  <c r="O4" i="80"/>
  <c r="P4" i="80" s="1"/>
  <c r="N4" i="80"/>
  <c r="K3" i="80"/>
  <c r="N3" i="80" s="1"/>
  <c r="E14" i="74"/>
  <c r="F14" i="74"/>
  <c r="D5" i="74"/>
  <c r="O3" i="80" l="1"/>
  <c r="P3" i="80" s="1"/>
  <c r="C5" i="74" l="1"/>
  <c r="D53" i="9"/>
  <c r="D52" i="9"/>
  <c r="C105" i="9"/>
  <c r="I4" i="52"/>
  <c r="H4" i="52"/>
  <c r="C104" i="9"/>
  <c r="P57" i="9"/>
  <c r="N58" i="9"/>
  <c r="N60" i="9"/>
  <c r="N61" i="9"/>
  <c r="B49" i="72"/>
  <c r="D54" i="9"/>
  <c r="B47" i="72"/>
  <c r="N59" i="9"/>
  <c r="D8" i="52"/>
  <c r="B53" i="72"/>
  <c r="B48" i="72"/>
  <c r="N69" i="9"/>
  <c r="B31" i="72"/>
  <c r="C78" i="9"/>
  <c r="C73" i="9"/>
  <c r="E4" i="52"/>
  <c r="C81" i="9"/>
  <c r="C6" i="74"/>
  <c r="D15" i="53"/>
  <c r="L65" i="9"/>
  <c r="M65" i="9"/>
  <c r="B30" i="72"/>
  <c r="B20" i="72"/>
  <c r="L64" i="9"/>
  <c r="M64" i="9"/>
  <c r="B52" i="72"/>
  <c r="C68" i="9"/>
  <c r="D5" i="52"/>
  <c r="D119" i="9"/>
  <c r="E118" i="9"/>
  <c r="D118" i="9"/>
  <c r="D4" i="52"/>
  <c r="H108" i="9"/>
  <c r="D122" i="9"/>
  <c r="D123" i="9"/>
  <c r="D9" i="52"/>
  <c r="D6" i="53"/>
  <c r="B22" i="72"/>
  <c r="C80" i="9"/>
  <c r="E80" i="9"/>
  <c r="E81" i="9"/>
  <c r="L66" i="9"/>
  <c r="M66" i="9"/>
  <c r="M48" i="9"/>
  <c r="D5" i="53"/>
  <c r="C97" i="9"/>
  <c r="D58" i="9"/>
  <c r="D56" i="9"/>
  <c r="M54" i="9"/>
  <c r="N57" i="9"/>
  <c r="H119" i="9"/>
  <c r="H5" i="52"/>
  <c r="E97" i="9"/>
  <c r="F4" i="52"/>
  <c r="B51" i="72"/>
  <c r="D13" i="53"/>
  <c r="D14" i="53"/>
  <c r="B32" i="72"/>
  <c r="F119" i="9"/>
  <c r="F5" i="52"/>
  <c r="H102" i="9"/>
  <c r="D7" i="53"/>
  <c r="B21" i="72"/>
  <c r="C64" i="9"/>
  <c r="C63" i="9"/>
  <c r="C67" i="9"/>
  <c r="D59" i="9"/>
  <c r="M55" i="9"/>
  <c r="L67" i="9"/>
  <c r="M67" i="9"/>
  <c r="C93" i="9"/>
  <c r="C86" i="9"/>
  <c r="G4" i="52"/>
  <c r="G118" i="9"/>
  <c r="F118" i="9"/>
  <c r="L68" i="9"/>
  <c r="M68" i="9"/>
  <c r="C85" i="9"/>
  <c r="C95" i="9"/>
  <c r="C96" i="9"/>
  <c r="E96" i="9"/>
  <c r="M69" i="9"/>
  <c r="C72" i="9"/>
  <c r="C79" i="9"/>
  <c r="D45" i="9"/>
  <c r="D55" i="9"/>
  <c r="M53" i="9"/>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<sst xmlns="http://schemas.openxmlformats.org/spreadsheetml/2006/main" count="7927" uniqueCount="3475">
  <si>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</si>
  <si>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</si>
  <si>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</si>
  <si>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</si>
  <si>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</si>
  <si>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</si>
  <si>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</si>
  <si>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</si>
  <si>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</si>
  <si>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</si>
  <si>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</si>
  <si>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</si>
  <si>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</si>
  <si>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</si>
  <si>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</si>
  <si>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</si>
  <si>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</si>
  <si>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</si>
  <si>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</si>
  <si>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</si>
  <si>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</si>
  <si>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</si>
  <si>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</si>
  <si>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</si>
  <si>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</si>
  <si>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</si>
  <si>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</si>
  <si>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</si>
  <si>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</si>
  <si>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</si>
  <si>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</si>
  <si>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</si>
  <si>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</si>
  <si>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</si>
  <si>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</si>
  <si>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</si>
  <si>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</si>
  <si>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</si>
  <si>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</si>
  <si>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</si>
  <si>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</si>
  <si>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</si>
  <si>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</si>
  <si>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</si>
  <si>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</si>
  <si>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</si>
  <si>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</si>
  <si>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</si>
  <si>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</si>
  <si>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</si>
  <si>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</si>
  <si>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</si>
  <si>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</si>
  <si>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</si>
  <si>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</si>
  <si>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</si>
  <si>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</si>
  <si>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</si>
  <si>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</si>
  <si>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</si>
  <si>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</si>
  <si>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</si>
  <si>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</si>
  <si>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</si>
  <si>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</si>
  <si>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</si>
  <si>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</si>
  <si>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</si>
  <si>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</si>
  <si>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</si>
  <si>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</si>
  <si>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</si>
  <si>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</si>
  <si>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</si>
  <si>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</si>
  <si>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</si>
  <si>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</si>
  <si>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</si>
  <si>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</si>
  <si>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</si>
  <si>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</si>
  <si>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</si>
  <si>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</si>
  <si>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</si>
  <si>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</si>
  <si>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</si>
  <si>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</si>
  <si>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</si>
  <si>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</si>
  <si>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</si>
  <si>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</si>
  <si>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</si>
  <si>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</si>
  <si>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</si>
  <si>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</si>
  <si>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</si>
  <si>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</si>
  <si>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</si>
  <si>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</si>
  <si>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</si>
  <si>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</si>
  <si>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</si>
  <si>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</si>
  <si>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</si>
  <si>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</si>
  <si>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</si>
  <si>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</si>
  <si>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</si>
  <si>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</si>
  <si>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</si>
  <si>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</si>
  <si>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</si>
  <si>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</si>
  <si>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</si>
  <si>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</si>
  <si>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</si>
  <si>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</si>
  <si>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</si>
  <si>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</si>
  <si>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</si>
  <si>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</si>
  <si>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</si>
  <si>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</si>
  <si>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</si>
  <si>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</si>
  <si>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</si>
  <si>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</si>
  <si>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</si>
  <si>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</si>
  <si>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</si>
  <si>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</si>
  <si>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</si>
  <si>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</si>
  <si>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</si>
  <si>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</si>
  <si>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</si>
  <si>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</si>
  <si>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</si>
  <si>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</si>
  <si>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</si>
  <si>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</si>
  <si>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</si>
  <si>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</si>
  <si>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</si>
  <si>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</si>
  <si>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</si>
  <si>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</si>
  <si>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</si>
  <si>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</si>
  <si>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</si>
  <si>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</si>
  <si>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</si>
  <si>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</si>
  <si>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</si>
  <si>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</si>
  <si>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</si>
  <si>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</si>
  <si>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</si>
  <si>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</si>
  <si>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</si>
  <si>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</si>
  <si>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</si>
  <si>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</si>
  <si>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</si>
  <si>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</si>
  <si>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</si>
  <si>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</si>
  <si>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</si>
  <si>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</si>
  <si>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</si>
  <si>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</si>
  <si>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</si>
  <si>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</si>
  <si>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</si>
  <si>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</si>
  <si>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</si>
  <si>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</si>
  <si>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</si>
  <si>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</si>
  <si>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</si>
  <si>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</si>
  <si>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</si>
  <si>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</si>
  <si>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</si>
  <si>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</si>
  <si>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</si>
  <si>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</si>
  <si>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</si>
  <si>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</si>
  <si>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</si>
  <si>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</si>
  <si>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</si>
  <si>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</si>
  <si>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</si>
  <si>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</si>
  <si>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</si>
  <si>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</si>
  <si>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</si>
  <si>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</si>
  <si>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</si>
  <si>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</si>
  <si>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</si>
  <si>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</si>
  <si>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</si>
  <si>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</si>
  <si>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</si>
  <si>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</si>
  <si>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</si>
  <si>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</si>
  <si>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</si>
  <si>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</si>
  <si>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</si>
  <si>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</si>
  <si>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</si>
  <si>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</si>
  <si>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</si>
  <si>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</si>
  <si>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</si>
  <si>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</si>
  <si>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</si>
  <si>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</si>
  <si>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</si>
  <si>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</si>
  <si>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</si>
  <si>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</si>
  <si>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</si>
  <si>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</si>
  <si>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</si>
  <si>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</si>
  <si>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</si>
  <si>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</si>
  <si>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</si>
  <si>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</si>
  <si>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</si>
  <si>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</si>
  <si>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</si>
  <si>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</si>
  <si>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</si>
  <si>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</si>
  <si>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</si>
  <si>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</si>
  <si>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</si>
  <si>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</si>
  <si>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</si>
  <si>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</si>
  <si>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</si>
  <si>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</si>
  <si>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</si>
  <si>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</si>
  <si>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</si>
  <si>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</si>
  <si>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</si>
  <si>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</si>
  <si>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</si>
  <si>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</si>
  <si>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</si>
  <si>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</si>
  <si>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</si>
  <si>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</si>
  <si>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</si>
  <si>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</si>
  <si>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</si>
  <si>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</si>
  <si>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</si>
  <si>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</si>
  <si>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</si>
  <si>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</si>
  <si>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</si>
  <si>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</si>
  <si>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</si>
  <si>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</si>
  <si>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</si>
  <si>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</si>
  <si>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</si>
  <si>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</si>
  <si>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</si>
  <si>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</si>
  <si>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</si>
  <si>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</si>
  <si>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</si>
  <si>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</si>
  <si>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</si>
  <si>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</si>
  <si>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</si>
  <si>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</si>
  <si>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</si>
  <si>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</si>
  <si>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</si>
  <si>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</si>
  <si>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</si>
  <si>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</si>
  <si>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</si>
  <si>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</si>
  <si>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</si>
  <si>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</si>
  <si>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</si>
  <si>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</si>
  <si>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</si>
  <si>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</si>
  <si>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</si>
  <si>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</si>
  <si>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</si>
  <si>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</si>
  <si>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</si>
  <si>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</si>
  <si>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</si>
  <si>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</si>
  <si>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</si>
  <si>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</si>
  <si>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</si>
  <si>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</si>
  <si>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</si>
  <si>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</si>
  <si>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</si>
  <si>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</si>
  <si>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</si>
  <si>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</si>
  <si>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</si>
  <si>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</si>
  <si>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</si>
  <si>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</si>
  <si>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</si>
  <si>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</si>
  <si>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</si>
  <si>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</si>
  <si>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</si>
  <si>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</si>
  <si>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</si>
  <si>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</si>
  <si>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</si>
  <si>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</si>
  <si>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</si>
  <si>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</si>
  <si>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</si>
  <si>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</si>
  <si>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</si>
  <si>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</si>
  <si>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</si>
  <si>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</si>
  <si>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</si>
  <si>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</si>
  <si>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</si>
  <si>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</si>
  <si>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</si>
  <si>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</si>
  <si>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</si>
  <si>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</si>
  <si>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</si>
  <si>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</si>
  <si>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</si>
  <si>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</si>
  <si>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</si>
  <si>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</si>
  <si>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</si>
  <si>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</si>
  <si>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</si>
  <si>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</si>
  <si>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</si>
  <si>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</si>
  <si>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</si>
  <si>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</si>
  <si>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</si>
  <si>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</si>
  <si>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</si>
  <si>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</si>
  <si>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</si>
  <si>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</si>
  <si>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</si>
  <si>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</si>
  <si>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</si>
  <si>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</si>
  <si>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</si>
  <si>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</si>
  <si>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</si>
  <si>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</si>
  <si>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</si>
  <si>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</si>
  <si>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</si>
  <si>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</si>
  <si>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</si>
  <si>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</si>
  <si>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</si>
  <si>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</si>
  <si>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</si>
  <si>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</si>
  <si>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</si>
  <si>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</si>
  <si>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</si>
  <si>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</si>
  <si>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</si>
  <si>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</si>
  <si>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</si>
  <si>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</si>
  <si>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</si>
  <si>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</si>
  <si>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</si>
  <si>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</si>
  <si>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</si>
  <si>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</si>
  <si>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</si>
  <si>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</si>
  <si>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</si>
  <si>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</si>
  <si>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</si>
  <si>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</si>
  <si>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</si>
  <si>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</si>
  <si>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</si>
  <si>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</si>
  <si>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</si>
  <si>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</si>
  <si>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</si>
  <si>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</si>
  <si>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</si>
  <si>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</si>
  <si>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</si>
  <si>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</si>
  <si>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</si>
  <si>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</si>
  <si>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</si>
  <si>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</si>
  <si>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</si>
  <si>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</si>
  <si>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</si>
  <si>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</si>
  <si>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</si>
  <si>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</si>
  <si>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</si>
  <si>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</si>
  <si>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</si>
  <si>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</si>
  <si>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</si>
  <si>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</si>
  <si>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</si>
  <si>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</si>
  <si>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</si>
  <si>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</si>
  <si>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</si>
  <si>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</si>
  <si>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</si>
  <si>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</si>
  <si>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</si>
  <si>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</si>
  <si>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</si>
  <si>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</si>
  <si>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</si>
  <si>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</si>
  <si>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</si>
  <si>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</si>
  <si>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</si>
  <si>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</si>
  <si>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</si>
  <si>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</si>
  <si>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</si>
  <si>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</si>
  <si>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</si>
  <si>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</si>
  <si>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</si>
  <si>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</si>
  <si>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</si>
  <si>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</si>
  <si>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</si>
  <si>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</si>
  <si>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</si>
  <si>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</si>
  <si>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</si>
  <si>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</si>
  <si>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</si>
  <si>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</si>
  <si>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</si>
  <si>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</si>
  <si>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</si>
  <si>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</si>
  <si>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</si>
  <si>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</si>
  <si>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</si>
  <si>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</si>
  <si>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</si>
  <si>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</si>
  <si>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</si>
  <si>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</si>
  <si>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</si>
  <si>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</si>
  <si>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</si>
  <si>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</si>
  <si>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</si>
  <si>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</si>
  <si>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</si>
  <si>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</si>
  <si>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</si>
  <si>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</si>
  <si>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</si>
  <si>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</si>
  <si>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</si>
  <si>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</si>
  <si>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</si>
  <si>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</si>
  <si>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</si>
  <si>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</si>
  <si>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</si>
  <si>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</si>
  <si>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</si>
  <si>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</si>
  <si>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</si>
  <si>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</si>
  <si>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</si>
  <si>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</si>
  <si>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</si>
  <si>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</si>
  <si>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</si>
  <si>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</si>
  <si>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</si>
  <si>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</si>
  <si>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</si>
  <si>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</si>
  <si>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</si>
  <si>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</si>
  <si>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</si>
  <si>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</si>
  <si>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</si>
  <si>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</si>
  <si>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</si>
  <si>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</si>
  <si>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</si>
  <si>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</si>
  <si>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</si>
  <si>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</si>
  <si>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</si>
  <si>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</si>
  <si>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</si>
  <si>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</si>
  <si>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</si>
  <si>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</si>
  <si>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</si>
  <si>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</si>
  <si>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</si>
  <si>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</si>
  <si>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</si>
  <si>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</si>
  <si>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</si>
  <si>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</si>
  <si>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</si>
  <si>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</si>
  <si>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</si>
  <si>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</si>
  <si>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</si>
  <si>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</si>
  <si>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</si>
  <si>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</si>
  <si>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</si>
  <si>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</si>
  <si>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</si>
  <si>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</si>
  <si>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</si>
  <si>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</si>
  <si>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</si>
  <si>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</si>
  <si>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</si>
  <si>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</si>
  <si>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</si>
  <si>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</si>
  <si>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</si>
  <si>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</si>
  <si>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</si>
  <si>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</si>
  <si>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</si>
  <si>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</si>
  <si>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</si>
  <si>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</si>
  <si>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</si>
  <si>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</si>
  <si>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</si>
  <si>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</si>
  <si>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</si>
  <si>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</si>
  <si>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</si>
  <si>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</si>
  <si>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</si>
  <si>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</si>
  <si>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</si>
  <si>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</si>
  <si>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</si>
  <si>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</si>
  <si>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</si>
  <si>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</si>
  <si>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</si>
  <si>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</si>
  <si>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</si>
  <si>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</si>
  <si>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</si>
  <si>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</si>
  <si>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</si>
  <si>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</si>
  <si>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</si>
  <si>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</si>
  <si>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</si>
  <si>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</si>
  <si>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</si>
  <si>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</si>
  <si>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</si>
  <si>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</si>
  <si>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</si>
  <si>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</si>
  <si>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</si>
  <si>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</si>
  <si>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</si>
  <si>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</si>
  <si>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</si>
  <si>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</si>
  <si>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</si>
  <si>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</si>
  <si>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</si>
  <si>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</si>
  <si>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</si>
  <si>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</si>
  <si>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</si>
  <si>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</si>
  <si>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</si>
  <si>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</si>
  <si>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</si>
  <si>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</si>
  <si>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</si>
  <si>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</si>
  <si>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</si>
  <si>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</si>
  <si>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</si>
  <si>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</si>
  <si>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</si>
  <si>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</si>
  <si>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</si>
  <si>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</si>
  <si>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</si>
  <si>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</si>
  <si>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</si>
  <si>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</si>
  <si>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</si>
  <si>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</si>
  <si>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</si>
  <si>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</si>
  <si>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</si>
  <si>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</si>
  <si>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</si>
  <si>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</si>
  <si>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</si>
  <si>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</si>
  <si>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</si>
  <si>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</si>
  <si>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</si>
  <si>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</si>
  <si>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</si>
  <si>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</si>
  <si>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</si>
  <si>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</si>
  <si>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</si>
  <si>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</si>
  <si>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</si>
  <si>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</si>
  <si>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</si>
  <si>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</si>
  <si>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</si>
  <si>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</si>
  <si>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</si>
  <si>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</si>
  <si>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</si>
  <si>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</si>
  <si>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</si>
  <si>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</si>
  <si>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</si>
  <si>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</si>
  <si>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</si>
  <si>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</si>
  <si>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</si>
  <si>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</si>
  <si>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</si>
  <si>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</si>
  <si>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</si>
  <si>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</si>
  <si>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</si>
  <si>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</si>
  <si>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</si>
  <si>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</si>
  <si>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</si>
  <si>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</si>
  <si>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</si>
  <si>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</si>
  <si>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</si>
  <si>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</si>
  <si>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</si>
  <si>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</si>
  <si>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</si>
  <si>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</si>
  <si>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</si>
  <si>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</si>
  <si>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</si>
  <si>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</si>
  <si>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</si>
  <si>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</si>
  <si>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</si>
  <si>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</si>
  <si>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</si>
  <si>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</si>
  <si>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</si>
  <si>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</si>
  <si>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</si>
  <si>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</si>
  <si>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</si>
  <si>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</si>
  <si>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</si>
  <si>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</si>
  <si>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</si>
  <si>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</si>
  <si>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</si>
  <si>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</si>
  <si>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</si>
  <si>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</si>
  <si>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</si>
  <si>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</si>
  <si>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</si>
  <si>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</si>
  <si>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</si>
  <si>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</si>
  <si>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</si>
  <si>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</si>
  <si>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</si>
  <si>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</si>
  <si>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</si>
  <si>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</si>
  <si>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</si>
  <si>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</si>
  <si>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</si>
  <si>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</si>
  <si>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</si>
  <si>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</si>
  <si>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</si>
  <si>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</si>
  <si>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</si>
  <si>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</si>
  <si>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</si>
  <si>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</si>
  <si>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</si>
  <si>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</si>
  <si>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</si>
  <si>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</si>
  <si>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</si>
  <si>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</si>
  <si>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</si>
  <si>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</si>
  <si>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</si>
  <si>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</si>
  <si>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</si>
  <si>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</si>
  <si>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</si>
  <si>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</si>
  <si>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</si>
  <si>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</si>
  <si>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</si>
  <si>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</si>
  <si>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</si>
  <si>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</si>
  <si>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</si>
  <si>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</si>
  <si>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</si>
  <si>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</si>
  <si>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</si>
  <si>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</si>
  <si>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</si>
  <si>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</si>
  <si>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</si>
  <si>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</si>
  <si>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</si>
  <si>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</si>
  <si>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</si>
  <si>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</si>
  <si>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</si>
  <si>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</si>
  <si>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</si>
  <si>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</si>
  <si>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</si>
  <si>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</si>
  <si>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</si>
  <si>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</si>
  <si>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</si>
  <si>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</si>
  <si>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</si>
  <si>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</si>
  <si>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</si>
  <si>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</si>
  <si>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</si>
  <si>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</si>
  <si>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</si>
  <si>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</si>
  <si>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</si>
  <si>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</si>
  <si>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</si>
  <si>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</si>
  <si>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</si>
  <si>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</si>
  <si>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</si>
  <si>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</si>
  <si>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</si>
  <si>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</si>
  <si>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</si>
  <si>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</si>
  <si>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</si>
  <si>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</si>
  <si>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</si>
  <si>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</si>
  <si>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</si>
  <si>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</si>
  <si>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</si>
  <si>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</si>
  <si>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</si>
  <si>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</si>
  <si>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</si>
  <si>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</si>
  <si>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</si>
  <si>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</si>
  <si>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</si>
  <si>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</si>
  <si>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</si>
  <si>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</si>
  <si>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</si>
  <si>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</si>
  <si>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</si>
  <si>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</si>
  <si>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</si>
  <si>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</si>
  <si>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</si>
  <si>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</si>
  <si>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</si>
  <si>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</si>
  <si>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</si>
  <si>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</si>
  <si>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</si>
  <si>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</si>
  <si>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</si>
  <si>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</si>
  <si>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</si>
  <si>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</si>
  <si>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</si>
  <si>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</si>
  <si>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</si>
  <si>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</si>
  <si>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</si>
  <si>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</si>
  <si>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</si>
  <si>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</si>
  <si>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</si>
  <si>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</si>
  <si>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</si>
  <si>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</si>
  <si>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</si>
  <si>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</si>
  <si>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</si>
  <si>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</si>
  <si>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</si>
  <si>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</si>
  <si>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</si>
  <si>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</si>
  <si>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</si>
  <si>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</si>
  <si>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</si>
  <si>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</si>
  <si>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</si>
  <si>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</si>
  <si>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</si>
  <si>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</si>
  <si>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</si>
  <si>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</si>
  <si>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</si>
  <si>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</si>
  <si>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</si>
  <si>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</si>
  <si>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</si>
  <si>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</si>
  <si>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</si>
  <si>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</si>
  <si>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</si>
  <si>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</si>
  <si>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</si>
  <si>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</si>
  <si>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</si>
  <si>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</si>
  <si>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</si>
  <si>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</si>
  <si>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</si>
  <si>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</si>
  <si>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</si>
  <si>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</si>
  <si>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</si>
  <si>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</si>
  <si>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</si>
  <si>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</si>
  <si>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</si>
  <si>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</si>
  <si>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</si>
  <si>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</si>
  <si>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</si>
  <si>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</si>
  <si>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</si>
  <si>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</si>
  <si>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</si>
  <si>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</si>
  <si>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</si>
  <si>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</si>
  <si>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</si>
  <si>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</si>
  <si>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</si>
  <si>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</si>
  <si>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</si>
  <si>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</si>
  <si>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</si>
  <si>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</si>
  <si>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</si>
  <si>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</si>
  <si>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</si>
  <si>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</si>
  <si>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</si>
  <si>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</si>
  <si>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</si>
  <si>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</si>
  <si>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</si>
  <si>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</si>
  <si>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</si>
  <si>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</si>
  <si>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</si>
  <si>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</si>
  <si>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</si>
  <si>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</si>
  <si>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</si>
  <si>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</si>
  <si>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</si>
  <si>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</si>
  <si>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</si>
  <si>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</si>
  <si>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</si>
  <si>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</si>
  <si>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</si>
  <si>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</si>
  <si>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</si>
  <si>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</si>
  <si>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</si>
  <si>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</si>
  <si>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</si>
  <si>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</si>
  <si>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</si>
  <si>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</si>
  <si>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</si>
  <si>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</si>
  <si>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</si>
  <si>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</si>
  <si>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</si>
  <si>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</si>
  <si>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</si>
  <si>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</si>
  <si>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</si>
  <si>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</si>
  <si>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</si>
  <si>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</si>
  <si>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</si>
  <si>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</si>
  <si>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</si>
  <si>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</si>
  <si>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</si>
  <si>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</si>
  <si>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</si>
  <si>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</si>
  <si>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</si>
  <si>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</si>
  <si>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</si>
  <si>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</si>
  <si>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</si>
  <si>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</si>
  <si>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</si>
  <si>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</si>
  <si>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</si>
  <si>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</si>
  <si>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</si>
  <si>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</si>
  <si>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</si>
  <si>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</si>
  <si>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</si>
  <si>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</si>
  <si>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</si>
  <si>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</si>
  <si>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</si>
  <si>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</si>
  <si>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</si>
  <si>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</si>
  <si>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</si>
  <si>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</si>
  <si>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</si>
  <si>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</si>
  <si>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</si>
  <si>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</si>
  <si>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</si>
  <si>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</si>
  <si>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</si>
  <si>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</si>
  <si>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</si>
  <si>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</si>
  <si>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</si>
  <si>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</si>
  <si>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</si>
  <si>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</si>
  <si>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</si>
  <si>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</si>
  <si>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</si>
  <si>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</si>
  <si>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</si>
  <si>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</si>
  <si>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</si>
  <si>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</si>
  <si>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</si>
  <si>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</si>
  <si>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</si>
  <si>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</si>
  <si>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</si>
  <si>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</si>
  <si>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</si>
  <si>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</si>
  <si>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</si>
  <si>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</si>
  <si>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</si>
  <si>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</si>
  <si>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</si>
  <si>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</si>
  <si>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</si>
  <si>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</si>
  <si>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</si>
  <si>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</si>
  <si>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</si>
  <si>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</si>
  <si>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</si>
  <si>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</si>
  <si>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</si>
  <si>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</si>
  <si>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</si>
  <si>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</si>
  <si>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</si>
  <si>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</si>
  <si>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</si>
  <si>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</si>
  <si>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</si>
  <si>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</si>
  <si>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</si>
  <si>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</si>
  <si>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</si>
  <si>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</si>
  <si>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</si>
  <si>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</si>
  <si>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</si>
  <si>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</si>
  <si>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</si>
  <si>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</si>
  <si>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</si>
  <si>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</si>
  <si>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</si>
  <si>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</si>
  <si>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</si>
  <si>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</si>
  <si>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</si>
  <si>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</si>
  <si>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</si>
  <si>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</si>
  <si>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</si>
  <si>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</si>
  <si>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</si>
  <si>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</si>
  <si>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</si>
  <si>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</si>
  <si>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</si>
  <si>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</si>
  <si>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</si>
  <si>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</si>
  <si>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</si>
  <si>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</si>
  <si>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</si>
  <si>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</si>
  <si>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</si>
  <si>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</si>
  <si>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</si>
  <si>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</si>
  <si>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</si>
  <si>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</si>
  <si>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</si>
  <si>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</si>
  <si>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</si>
  <si>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</si>
  <si>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</si>
  <si>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</si>
  <si>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</si>
  <si>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</si>
  <si>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</si>
  <si>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</si>
  <si>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</si>
  <si>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</si>
  <si>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</si>
  <si>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</si>
  <si>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</si>
  <si>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</si>
  <si>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</si>
  <si>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</si>
  <si>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</si>
  <si>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</si>
  <si>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</si>
  <si>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</si>
  <si>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</si>
  <si>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</si>
  <si>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</si>
  <si>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</si>
  <si>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</si>
  <si>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</si>
  <si>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</si>
  <si>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</si>
  <si>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</si>
  <si>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</si>
  <si>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</si>
  <si>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</si>
  <si>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</si>
  <si>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</si>
  <si>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</si>
  <si>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</si>
  <si>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</si>
  <si>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</si>
  <si>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</si>
  <si>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</si>
  <si>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</si>
  <si>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</si>
  <si>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</si>
  <si>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</si>
  <si>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</si>
  <si>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</si>
  <si>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</si>
  <si>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</si>
  <si>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</si>
  <si>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</si>
  <si>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</si>
  <si>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</si>
  <si>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</si>
  <si>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</si>
  <si>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</si>
  <si>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</si>
  <si>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</si>
  <si>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</si>
  <si>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</si>
  <si>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</si>
  <si>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</si>
  <si>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</si>
  <si>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</si>
  <si>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</si>
  <si>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</si>
  <si>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</si>
  <si>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</si>
  <si>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</si>
  <si>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</si>
  <si>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</si>
  <si>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</si>
  <si>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</si>
  <si>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</si>
  <si>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</si>
  <si>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</si>
  <si>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</si>
  <si>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</si>
  <si>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</si>
  <si>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</si>
  <si>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</si>
  <si>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</si>
  <si>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</si>
  <si>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</si>
  <si>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</si>
  <si>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</si>
  <si>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</si>
  <si>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</si>
  <si>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</si>
  <si>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</si>
  <si>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</si>
  <si>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</si>
  <si>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</si>
  <si>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</si>
  <si>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</si>
  <si>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</si>
  <si>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</si>
  <si>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</si>
  <si>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</si>
  <si>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</si>
  <si>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</si>
  <si>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</si>
  <si>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</si>
  <si>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</si>
  <si>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</si>
  <si>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</si>
  <si>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</si>
  <si>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</si>
  <si>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</si>
  <si>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</si>
  <si>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</si>
  <si>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</si>
  <si>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</si>
  <si>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</si>
  <si>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</si>
  <si>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</si>
  <si>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</si>
  <si>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</si>
  <si>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</si>
  <si>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</si>
  <si>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</si>
  <si>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</si>
  <si>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</si>
  <si>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</si>
  <si>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</si>
  <si>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</si>
  <si>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</si>
  <si>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</si>
  <si>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</si>
  <si>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</si>
  <si>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</si>
  <si>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</si>
  <si>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</si>
  <si>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</si>
  <si>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</si>
  <si>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</si>
  <si>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</si>
  <si>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</si>
  <si>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</si>
  <si>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</si>
  <si>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</si>
  <si>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</si>
  <si>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</si>
  <si>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</si>
  <si>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</si>
  <si>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</si>
  <si>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</si>
  <si>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</si>
  <si>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</si>
  <si>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</si>
  <si>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</si>
  <si>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</si>
  <si>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</si>
  <si>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</si>
  <si>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</si>
  <si>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</si>
  <si>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</si>
  <si>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</si>
  <si>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</si>
  <si>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</si>
  <si>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</si>
  <si>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</si>
  <si>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</si>
  <si>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</si>
  <si>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</si>
  <si>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</si>
  <si>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</si>
  <si>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</si>
  <si>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</si>
  <si>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</si>
  <si>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</si>
  <si>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</si>
  <si>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</si>
  <si>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</si>
  <si>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</si>
  <si>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</si>
  <si>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</si>
  <si>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</si>
  <si>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</si>
  <si>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</si>
  <si>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</si>
  <si>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</si>
  <si>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</si>
  <si>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</si>
  <si>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</si>
  <si>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</si>
  <si>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</si>
  <si>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</si>
  <si>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</si>
  <si>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</si>
  <si>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</si>
  <si>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</si>
  <si>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</si>
  <si>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</si>
  <si>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</si>
  <si>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</si>
  <si>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</si>
  <si>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</si>
  <si>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</si>
  <si>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</si>
  <si>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</si>
  <si>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</si>
  <si>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</si>
  <si>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</si>
  <si>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</si>
  <si>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</si>
  <si>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</si>
  <si>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</si>
  <si>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</si>
  <si>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</si>
  <si>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</si>
  <si>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</si>
  <si>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</si>
  <si>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</si>
  <si>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</si>
  <si>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</si>
  <si>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</si>
  <si>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</si>
  <si>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</si>
  <si>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</si>
  <si>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</si>
  <si>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</si>
  <si>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</si>
  <si>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</si>
  <si>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</si>
  <si>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</si>
  <si>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</si>
  <si>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</si>
  <si>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</si>
  <si>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</si>
  <si>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</si>
  <si>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</si>
  <si>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</si>
  <si>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</si>
  <si>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</si>
  <si>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</si>
  <si>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</si>
  <si>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</si>
  <si>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</si>
  <si>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</si>
  <si>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</si>
  <si>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</si>
  <si>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</si>
  <si>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</si>
  <si>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</si>
  <si>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</si>
  <si>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</si>
  <si>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</si>
  <si>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</si>
  <si>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</si>
  <si>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</si>
  <si>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</si>
  <si>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</si>
  <si>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</si>
  <si>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</si>
  <si>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</si>
  <si>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</si>
  <si>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</si>
  <si>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</si>
  <si>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</si>
  <si>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</si>
  <si>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</si>
  <si>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</si>
  <si>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</si>
  <si>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</si>
  <si>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</si>
  <si>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</si>
  <si>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</si>
  <si>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</si>
  <si>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</si>
  <si>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</si>
  <si>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</si>
  <si>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</si>
  <si>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</si>
  <si>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</si>
  <si>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</si>
  <si>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</si>
  <si>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</si>
  <si>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</si>
  <si>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</si>
  <si>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</si>
  <si>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</si>
  <si>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</si>
  <si>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</si>
  <si>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</si>
  <si>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</si>
  <si>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</si>
  <si>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</si>
  <si>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</si>
  <si>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</si>
  <si>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</si>
  <si>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</si>
  <si>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</si>
  <si>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</si>
  <si>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</si>
  <si>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</si>
  <si>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</si>
  <si>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</si>
  <si>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</si>
  <si>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</si>
  <si>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</si>
  <si>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</si>
  <si>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</si>
  <si>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</si>
  <si>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</si>
  <si>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</si>
  <si>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</si>
  <si>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</si>
  <si>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</si>
  <si>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</si>
  <si>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</si>
  <si>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</si>
  <si>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</si>
  <si>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</si>
  <si>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</si>
  <si>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</si>
  <si>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</si>
  <si>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</si>
  <si>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</si>
  <si>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</si>
  <si>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</si>
  <si>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</si>
  <si>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</si>
  <si>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</si>
  <si>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</si>
  <si>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</si>
  <si>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</si>
  <si>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</si>
  <si>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</si>
  <si>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</si>
  <si>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</si>
  <si>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</si>
  <si>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</si>
  <si>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</si>
  <si>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</si>
  <si>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</si>
  <si>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</si>
  <si>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</si>
  <si>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</si>
  <si>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</si>
  <si>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</si>
  <si>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</si>
  <si>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</si>
  <si>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</si>
  <si>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</si>
  <si>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</si>
  <si>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</si>
  <si>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</si>
  <si>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</si>
  <si>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</si>
  <si>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</si>
  <si>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</si>
  <si>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</si>
  <si>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</si>
  <si>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</si>
  <si>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</si>
  <si>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</si>
  <si>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</si>
  <si>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</si>
  <si>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</si>
  <si>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</si>
  <si>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</si>
  <si>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</si>
  <si>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</si>
  <si>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</si>
  <si>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</si>
  <si>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</si>
  <si>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</si>
  <si>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</si>
  <si>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</si>
  <si>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</si>
  <si>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</si>
  <si>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</si>
  <si>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</si>
  <si>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</si>
  <si>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</si>
  <si>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</si>
  <si>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</si>
  <si>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</si>
  <si>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</si>
  <si>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</si>
  <si>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</si>
  <si>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</si>
  <si>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</si>
  <si>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</si>
  <si>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</si>
  <si>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</si>
  <si>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</si>
  <si>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</si>
  <si>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</si>
  <si>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</si>
  <si>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</si>
  <si>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</si>
  <si>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</si>
  <si>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</si>
  <si>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</si>
  <si>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</si>
  <si>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</si>
  <si>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</si>
  <si>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</si>
  <si>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</si>
  <si>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</si>
  <si>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</si>
  <si>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</si>
  <si>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</si>
  <si>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</si>
  <si>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</si>
  <si>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</si>
  <si>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</si>
  <si>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</si>
  <si>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</si>
  <si>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</si>
  <si>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</si>
  <si>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</si>
  <si>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</si>
  <si>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</si>
  <si>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</si>
  <si>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</si>
  <si>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</si>
  <si>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</si>
  <si>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</si>
  <si>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</si>
  <si>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</si>
  <si>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</si>
  <si>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</si>
  <si>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</si>
  <si>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</si>
  <si>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</si>
  <si>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</si>
  <si>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</si>
  <si>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</si>
  <si>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</si>
  <si>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</si>
  <si>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</si>
  <si>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</si>
  <si>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</si>
  <si>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</si>
  <si>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</si>
  <si>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</si>
  <si>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</si>
  <si>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</si>
  <si>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</si>
  <si>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</si>
  <si>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</si>
  <si>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</si>
  <si>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</si>
  <si>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</si>
  <si>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</si>
  <si>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</si>
  <si>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</si>
  <si>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</si>
  <si>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</si>
  <si>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</si>
  <si>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</si>
  <si>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</si>
  <si>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</si>
  <si>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</si>
  <si>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</si>
  <si>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</si>
  <si>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</si>
  <si>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</si>
  <si>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</si>
  <si>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</si>
  <si>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</si>
  <si>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</si>
  <si>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</si>
  <si>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</si>
  <si>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</si>
  <si>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</si>
  <si>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</si>
  <si>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</si>
  <si>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</si>
  <si>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</si>
  <si>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</si>
  <si>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</si>
  <si>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</si>
  <si>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</si>
  <si>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</si>
  <si>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</si>
  <si>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</si>
  <si>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</si>
  <si>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</si>
  <si>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</si>
  <si>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</si>
  <si>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</si>
  <si>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</si>
  <si>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</si>
  <si>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</si>
  <si>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</si>
  <si>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</si>
  <si>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</si>
  <si>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</si>
  <si>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</si>
  <si>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</si>
  <si>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</si>
  <si>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</si>
  <si>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</si>
  <si>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</si>
  <si>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</si>
  <si>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</si>
  <si>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</si>
  <si>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</si>
  <si>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</si>
  <si>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</si>
  <si>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</si>
  <si>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</si>
  <si>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</si>
  <si>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</si>
  <si>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</si>
  <si>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</si>
  <si>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</si>
  <si>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</si>
  <si>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</si>
  <si>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</si>
  <si>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</si>
  <si>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</si>
  <si>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</si>
  <si>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</si>
  <si>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</si>
  <si>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</si>
  <si>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</si>
  <si>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</si>
  <si>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</si>
  <si>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</si>
  <si>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</si>
  <si>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</si>
  <si>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</si>
  <si>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</si>
  <si>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</si>
  <si>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</si>
  <si>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</si>
  <si>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</si>
  <si>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</si>
  <si>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</si>
  <si>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</si>
  <si>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</si>
  <si>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</si>
  <si>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</si>
  <si>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</si>
  <si>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</si>
  <si>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</si>
  <si>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</si>
  <si>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</si>
  <si>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</si>
  <si>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</si>
  <si>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</si>
  <si>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</si>
  <si>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</si>
  <si>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</si>
  <si>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</si>
  <si>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</si>
  <si>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</si>
  <si>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</si>
  <si>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</si>
  <si>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</si>
  <si>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</si>
  <si>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</si>
  <si>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</si>
  <si>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</si>
  <si>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</si>
  <si>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</si>
  <si>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</si>
  <si>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</si>
  <si>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</si>
  <si>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</si>
  <si>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</si>
  <si>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</si>
  <si>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</si>
  <si>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</si>
  <si>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</si>
  <si>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</si>
  <si>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</si>
  <si>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</si>
  <si>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</si>
  <si>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</si>
  <si>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</si>
  <si>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</si>
  <si>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</si>
  <si>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</si>
  <si>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</si>
  <si>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</si>
  <si>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</si>
  <si>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</si>
  <si>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</si>
  <si>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</si>
  <si>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</si>
  <si>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</si>
  <si>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</si>
  <si>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</si>
  <si>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</si>
  <si>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</si>
  <si>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</si>
  <si>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</si>
  <si>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</si>
  <si>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</si>
  <si>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</si>
  <si>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</si>
  <si>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</si>
  <si>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</si>
  <si>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</si>
  <si>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</si>
  <si>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</si>
  <si>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</si>
  <si>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</si>
  <si>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</si>
  <si>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</si>
  <si>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</si>
  <si>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</si>
  <si>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</si>
  <si>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</si>
  <si>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</si>
  <si>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</si>
  <si>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</si>
  <si>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</si>
  <si>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</si>
  <si>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</si>
  <si>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</si>
  <si>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</si>
  <si>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</si>
  <si>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</si>
  <si>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</si>
  <si>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</si>
  <si>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</si>
  <si>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</si>
  <si>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</si>
  <si>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</si>
  <si>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</si>
  <si>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</si>
  <si>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</si>
  <si>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</si>
  <si>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</si>
  <si>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</si>
  <si>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</si>
  <si>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</si>
  <si>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</si>
  <si>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</si>
  <si>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</si>
  <si>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</si>
  <si>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</si>
  <si>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</si>
  <si>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</si>
  <si>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</si>
  <si>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</si>
  <si>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</si>
  <si>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</si>
  <si>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</si>
  <si>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</si>
  <si>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</si>
  <si>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</si>
  <si>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</si>
  <si>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</si>
  <si>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</si>
  <si>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</si>
  <si>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</si>
  <si>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</si>
  <si>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</si>
  <si>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</si>
  <si>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</si>
  <si>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</si>
  <si>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</si>
  <si>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</si>
  <si>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</si>
  <si>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</si>
  <si>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</si>
  <si>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</si>
  <si>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</si>
  <si>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</si>
  <si>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</si>
  <si>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</si>
  <si>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</si>
  <si>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</si>
  <si>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</si>
  <si>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</si>
  <si>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</si>
  <si>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</si>
  <si>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</si>
  <si>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</si>
  <si>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</si>
  <si>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</si>
  <si>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</si>
  <si>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</si>
  <si>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</si>
  <si>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</si>
  <si>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</si>
  <si>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</si>
  <si>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</si>
  <si>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</si>
  <si>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</si>
  <si>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</si>
  <si>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</si>
  <si>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</si>
  <si>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</si>
  <si>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</si>
  <si>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</si>
  <si>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</si>
  <si>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</si>
  <si>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</si>
  <si>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</si>
  <si>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</si>
  <si>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</si>
  <si>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</si>
  <si>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</si>
  <si>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</si>
  <si>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</si>
  <si>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</si>
  <si>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</si>
  <si>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</si>
  <si>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</si>
  <si>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</si>
  <si>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</si>
  <si>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</si>
  <si>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</si>
  <si>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</si>
  <si>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</si>
  <si>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</si>
  <si>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</si>
  <si>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</si>
  <si>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</si>
  <si>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</si>
  <si>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</si>
  <si>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</si>
  <si>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</si>
  <si>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</si>
  <si>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</si>
  <si>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</si>
  <si>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</si>
  <si>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</si>
  <si>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</si>
  <si>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</si>
  <si>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</si>
  <si>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</si>
  <si>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</si>
  <si>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</si>
  <si>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</si>
  <si>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</si>
  <si>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</si>
  <si>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</si>
  <si>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</si>
  <si>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</si>
  <si>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</si>
  <si>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</si>
  <si>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</si>
  <si>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</si>
  <si>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</si>
  <si>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</si>
  <si>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</si>
  <si>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</si>
  <si>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</si>
  <si>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</si>
  <si>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</si>
  <si>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</si>
  <si>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</si>
  <si>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</si>
  <si>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</si>
  <si>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</si>
  <si>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</si>
  <si>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</si>
  <si>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</si>
  <si>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</si>
  <si>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</si>
  <si>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</si>
  <si>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</si>
  <si>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</si>
  <si>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</si>
  <si>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</si>
  <si>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</si>
  <si>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</si>
  <si>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</si>
  <si>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</si>
  <si>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</si>
  <si>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</si>
  <si>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</si>
  <si>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</si>
  <si>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</si>
  <si>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</si>
  <si>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</si>
  <si>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</si>
  <si>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</si>
  <si>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</si>
  <si>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</si>
  <si>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</si>
  <si>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</si>
  <si>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</si>
  <si>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</si>
  <si>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</si>
  <si>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</si>
  <si>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</si>
  <si>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</si>
  <si>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</si>
  <si>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</si>
  <si>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</si>
  <si>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</si>
  <si>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</si>
  <si>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</si>
  <si>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</si>
  <si>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</si>
  <si>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</si>
  <si>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</si>
  <si>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</si>
  <si>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</si>
  <si>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</si>
  <si>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</si>
  <si>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</si>
  <si>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</si>
  <si>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</si>
  <si>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</si>
  <si>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</si>
  <si>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</si>
  <si>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</si>
  <si>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</si>
  <si>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</si>
  <si>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</si>
  <si>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</si>
  <si>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</si>
  <si>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</si>
  <si>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</si>
  <si>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</si>
  <si>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</si>
  <si>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</si>
  <si>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</si>
  <si>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</si>
  <si>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</si>
  <si>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</si>
  <si>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</si>
  <si>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</si>
  <si>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</si>
  <si>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</si>
  <si>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</si>
  <si>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</si>
  <si>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</si>
  <si>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</si>
  <si>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</si>
  <si>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</si>
  <si>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</si>
  <si>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</si>
  <si>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</si>
  <si>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</si>
  <si>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</si>
  <si>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</si>
  <si>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</si>
  <si>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</si>
  <si>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</si>
  <si>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</si>
  <si>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</si>
  <si>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</si>
  <si>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</si>
  <si>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</si>
  <si>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</si>
  <si>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</si>
  <si>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</si>
  <si>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</si>
  <si>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</si>
  <si>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</si>
  <si>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</si>
  <si>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</si>
  <si>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</si>
  <si>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</si>
  <si>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</si>
  <si>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</si>
  <si>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</si>
  <si>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</si>
  <si>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</si>
  <si>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</si>
  <si>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</si>
  <si>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</si>
  <si>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</si>
  <si>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</si>
  <si>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</si>
  <si>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</si>
  <si>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</si>
  <si>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</si>
  <si>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</si>
  <si>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</si>
  <si>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</si>
  <si>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</si>
  <si>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</si>
  <si>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</si>
  <si>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</si>
  <si>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</si>
  <si>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</si>
  <si>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</si>
  <si>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</si>
  <si>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</si>
  <si>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</si>
  <si>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</si>
  <si>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</si>
  <si>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</si>
  <si>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</si>
  <si>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</si>
  <si>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</si>
  <si>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</si>
  <si>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</si>
  <si>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</si>
  <si>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</si>
  <si>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</si>
  <si>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</si>
  <si>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</si>
  <si>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</si>
  <si>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</si>
  <si>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</si>
  <si>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</si>
  <si>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</si>
  <si>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</si>
  <si>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</si>
  <si>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</si>
  <si>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</si>
  <si>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</si>
  <si>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</si>
  <si>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</si>
  <si>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</si>
  <si>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</si>
  <si>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</si>
  <si>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</si>
  <si>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</si>
  <si>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</si>
  <si>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</si>
  <si>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</si>
  <si>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</si>
  <si>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</si>
  <si>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</si>
  <si>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</si>
  <si>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</si>
  <si>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</si>
  <si>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</si>
  <si>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</si>
  <si>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</si>
  <si>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</si>
  <si>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</si>
  <si>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</si>
  <si>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</si>
  <si>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</si>
  <si>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</si>
  <si>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</si>
  <si>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</si>
  <si>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</si>
  <si>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</si>
  <si>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</si>
  <si>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</si>
  <si>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</si>
  <si>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</si>
  <si>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</si>
  <si>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</si>
  <si>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</si>
  <si>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</si>
  <si>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</si>
  <si>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</si>
  <si>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</si>
  <si>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</si>
  <si>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</si>
  <si>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</si>
  <si>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</si>
  <si>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</si>
  <si>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</si>
  <si>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</si>
  <si>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</si>
  <si>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</si>
  <si>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</si>
  <si>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</si>
  <si>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</si>
  <si>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</si>
  <si>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</si>
  <si>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</si>
  <si>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</si>
  <si>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</si>
  <si>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</si>
  <si>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</si>
  <si>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</si>
  <si>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</si>
  <si>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</si>
  <si>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</si>
  <si>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</si>
  <si>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</si>
  <si>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</si>
  <si>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</si>
  <si>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</si>
  <si>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</si>
  <si>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</si>
  <si>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</si>
  <si>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</si>
  <si>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</si>
  <si>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</si>
  <si>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</si>
  <si>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</si>
  <si>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</si>
  <si>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</si>
  <si>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</si>
  <si>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</si>
  <si>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</si>
  <si>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</si>
  <si>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</si>
  <si>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</si>
  <si>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</si>
  <si>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</si>
  <si>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</si>
  <si>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</si>
  <si>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</si>
  <si>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</si>
  <si>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</si>
  <si>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</si>
  <si>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</si>
  <si>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</si>
  <si>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</si>
  <si>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</si>
  <si>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</si>
  <si>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</si>
  <si>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</si>
  <si>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</si>
  <si>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</si>
  <si>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</si>
  <si>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</si>
  <si>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</si>
  <si>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</si>
  <si>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</si>
  <si>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</si>
  <si>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</si>
  <si>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</si>
  <si>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</si>
  <si>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</si>
  <si>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</si>
  <si>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</si>
  <si>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</si>
  <si>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</si>
  <si>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</si>
  <si>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</si>
  <si>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</si>
  <si>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</si>
  <si>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</si>
  <si>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</si>
  <si>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</si>
  <si>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</si>
  <si>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</si>
  <si>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</si>
  <si>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</si>
  <si>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</si>
  <si>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</si>
  <si>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</si>
  <si>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</si>
  <si>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</si>
  <si>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</si>
  <si>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</si>
  <si>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</si>
  <si>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</si>
  <si>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</si>
  <si>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</si>
  <si>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</si>
  <si>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</si>
  <si>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</si>
  <si>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</si>
  <si>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</si>
  <si>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</si>
  <si>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</si>
  <si>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</si>
  <si>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</si>
  <si>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</si>
  <si>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</si>
  <si>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</si>
  <si>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</si>
  <si>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</si>
  <si>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</si>
  <si>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</si>
  <si>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</si>
  <si>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</si>
  <si>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</si>
  <si>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</si>
  <si>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</si>
  <si>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</si>
  <si>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</si>
  <si>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</si>
  <si>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</si>
  <si>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</si>
  <si>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</si>
  <si>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</si>
  <si>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</si>
  <si>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</si>
  <si>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</si>
  <si>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</si>
  <si>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</si>
  <si>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</si>
  <si>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</si>
  <si>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</si>
  <si>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</si>
  <si>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</si>
  <si>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</si>
  <si>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</si>
  <si>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</si>
  <si>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</si>
  <si>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</si>
  <si>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</si>
  <si>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</si>
  <si>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</si>
  <si>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</si>
  <si>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</si>
  <si>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</si>
  <si>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</si>
  <si>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</si>
  <si>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</si>
  <si>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</si>
  <si>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</si>
  <si>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</si>
  <si>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</si>
  <si>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</si>
  <si>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</si>
  <si>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</si>
  <si>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</si>
  <si>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</si>
  <si>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</si>
  <si>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</si>
  <si>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</si>
  <si>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</si>
  <si>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</si>
  <si>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</si>
  <si>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</si>
  <si>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</si>
  <si>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</si>
  <si>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</si>
  <si>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</si>
  <si>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</si>
  <si>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</si>
  <si>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</si>
  <si>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</si>
  <si>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</si>
  <si>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</si>
  <si>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</si>
  <si>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</si>
  <si>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</si>
  <si>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</si>
  <si>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</si>
  <si>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</si>
  <si>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</si>
  <si>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</si>
  <si>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</si>
  <si>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</si>
  <si>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</si>
  <si>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</si>
  <si>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</si>
  <si>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</si>
  <si>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</si>
  <si>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</si>
  <si>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</si>
  <si>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</si>
  <si>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</si>
  <si>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</si>
  <si>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</si>
  <si>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</si>
  <si>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</si>
  <si>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</si>
  <si>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</si>
  <si>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</si>
  <si>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</si>
  <si>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</si>
  <si>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</si>
  <si>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</si>
  <si>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</si>
  <si>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</si>
  <si>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</si>
  <si>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</si>
  <si>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</si>
  <si>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</si>
  <si>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</si>
  <si>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</si>
  <si>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</si>
  <si>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</si>
  <si>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</si>
  <si>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</si>
  <si>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</si>
  <si>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</si>
  <si>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</si>
  <si>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</si>
  <si>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</si>
  <si>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</si>
  <si>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</si>
  <si>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</si>
  <si>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</si>
  <si>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</si>
  <si>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</si>
  <si>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</si>
  <si>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</si>
  <si>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</si>
  <si>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</si>
  <si>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</si>
  <si>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</si>
  <si>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</si>
  <si>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</si>
  <si>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</si>
  <si>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</si>
  <si>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</si>
  <si>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</si>
  <si>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</si>
  <si>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</si>
  <si>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</si>
  <si>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</si>
  <si>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</si>
  <si>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</si>
  <si>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</si>
  <si>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</si>
  <si>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</si>
  <si>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</si>
  <si>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</si>
  <si>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</si>
  <si>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</si>
  <si>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</si>
  <si>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</si>
  <si>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</si>
  <si>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</si>
  <si>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</si>
  <si>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</si>
  <si>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</si>
  <si>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</si>
  <si>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</si>
  <si>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</si>
  <si>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</si>
  <si>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</si>
  <si>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</si>
  <si>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</si>
  <si>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</si>
  <si>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</si>
  <si>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</si>
  <si>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</si>
  <si>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</si>
  <si>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</si>
  <si>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</si>
  <si>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</si>
  <si>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</si>
  <si>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</si>
  <si>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</si>
  <si>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</si>
  <si>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</si>
  <si>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</si>
  <si>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</si>
  <si>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</si>
  <si>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</si>
  <si>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</si>
  <si>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</si>
  <si>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</si>
  <si>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</si>
  <si>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</si>
  <si>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</si>
  <si>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</si>
  <si>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</si>
  <si>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</si>
  <si>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</si>
  <si>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</si>
  <si>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</si>
  <si>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</si>
  <si>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</si>
  <si>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</si>
  <si>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</si>
  <si>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</si>
  <si>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</si>
  <si>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</si>
  <si>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</si>
  <si>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</si>
  <si>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</si>
  <si>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</si>
  <si>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</si>
  <si>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</si>
  <si>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</si>
  <si>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</si>
  <si>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</si>
  <si>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</si>
  <si>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</si>
  <si>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</si>
  <si>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</si>
  <si>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</si>
  <si>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</si>
  <si>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</si>
  <si>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</si>
  <si>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</si>
  <si>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</si>
  <si>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</si>
  <si>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</si>
  <si>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</si>
  <si>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</si>
  <si>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</si>
  <si>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</si>
  <si>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</si>
  <si>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</si>
  <si>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</si>
  <si>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</si>
  <si>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</si>
  <si>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</si>
  <si>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</si>
  <si>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</si>
  <si>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</si>
  <si>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</si>
  <si>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</si>
  <si>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</si>
  <si>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</si>
  <si>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</si>
  <si>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</si>
  <si>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</si>
  <si>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</si>
  <si>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</si>
  <si>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</si>
  <si>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</si>
  <si>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</si>
  <si>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</si>
  <si>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</si>
  <si>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</si>
  <si>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</si>
  <si>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</si>
  <si>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</si>
  <si>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</si>
  <si>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</si>
  <si>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</si>
  <si>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</si>
  <si>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</si>
  <si>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</si>
  <si>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</si>
  <si>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</si>
  <si>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</si>
  <si>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</si>
  <si>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</si>
  <si>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</si>
  <si>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</si>
  <si>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</si>
  <si>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</si>
  <si>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</si>
  <si>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</si>
  <si>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</si>
  <si>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</si>
  <si>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</si>
  <si>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</si>
  <si>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</si>
  <si>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</si>
  <si>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</si>
  <si>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</si>
  <si>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</si>
  <si>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</si>
  <si>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</si>
  <si>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</si>
  <si>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</si>
  <si>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</si>
  <si>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</si>
  <si>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</si>
  <si>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</si>
  <si>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</si>
  <si>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</si>
  <si>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</si>
  <si>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</si>
  <si>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</si>
  <si>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</si>
  <si>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</si>
  <si>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</si>
  <si>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</si>
  <si>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</si>
  <si>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</si>
  <si>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</si>
  <si>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</si>
  <si>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</si>
  <si>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</si>
  <si>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</si>
  <si>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</si>
  <si>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</si>
  <si>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</si>
  <si>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</si>
  <si>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</si>
  <si>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</si>
  <si>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</si>
  <si>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</si>
  <si>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</si>
  <si>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</si>
  <si>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</si>
  <si>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</si>
  <si>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</si>
  <si>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</si>
  <si>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</si>
  <si>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</si>
  <si>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</si>
  <si>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</si>
  <si>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</si>
  <si>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</si>
  <si>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</si>
  <si>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</si>
  <si>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</si>
  <si>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</si>
  <si>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</si>
  <si>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</si>
  <si>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</si>
  <si>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</si>
  <si>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</si>
  <si>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</si>
  <si>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</si>
  <si>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</si>
  <si>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</si>
  <si>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</si>
  <si>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</si>
  <si>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</si>
  <si>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</si>
  <si>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</si>
  <si>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</si>
  <si>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</si>
  <si>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</si>
  <si>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</si>
  <si>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</si>
  <si>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</si>
  <si>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</si>
  <si>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</si>
  <si>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</si>
  <si>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</si>
  <si>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</si>
  <si>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</si>
  <si>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</si>
  <si>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</si>
  <si>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</si>
  <si>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</si>
  <si>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</si>
  <si>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</si>
  <si>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</si>
  <si>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</si>
  <si>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</si>
  <si>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</si>
  <si>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</si>
  <si>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</si>
  <si>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</si>
  <si>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</si>
  <si>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</si>
  <si>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</si>
  <si>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</si>
  <si>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</si>
  <si>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</si>
  <si>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</si>
  <si>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</si>
  <si>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</si>
  <si>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</si>
  <si>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</si>
  <si>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</si>
  <si>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</si>
  <si>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</si>
  <si>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</si>
  <si>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</si>
  <si>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</si>
  <si>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</si>
  <si>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</si>
  <si>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</si>
  <si>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</si>
  <si>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</si>
  <si>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</si>
  <si>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</si>
  <si>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</si>
  <si>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</si>
  <si>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</si>
  <si>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</si>
  <si>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</si>
  <si>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</si>
  <si>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</si>
  <si>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</si>
  <si>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</si>
  <si>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</si>
  <si>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</si>
  <si>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</si>
  <si>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</si>
  <si>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</si>
  <si>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</si>
  <si>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</si>
  <si>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</si>
  <si>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</si>
  <si>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</si>
  <si>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</si>
  <si>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</si>
  <si>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</si>
  <si>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</si>
  <si>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</si>
  <si>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</si>
  <si>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</si>
  <si>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</si>
  <si>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</si>
  <si>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</si>
  <si>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</si>
  <si>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</si>
  <si>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</si>
  <si>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</si>
  <si>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</si>
  <si>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</si>
  <si>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</si>
  <si>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</si>
  <si>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</si>
  <si>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</si>
  <si>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</si>
  <si>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</si>
  <si>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</si>
  <si>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</si>
  <si>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</si>
  <si>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</si>
  <si>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</si>
  <si>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</si>
  <si>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</si>
  <si>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</si>
  <si>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</si>
  <si>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</si>
  <si>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</si>
  <si>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</si>
  <si>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</si>
  <si>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</si>
  <si>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</si>
  <si>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</si>
  <si>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</si>
  <si>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</si>
  <si>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</si>
  <si>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</si>
  <si>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</si>
  <si>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</si>
  <si>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</si>
  <si>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</si>
  <si>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</si>
  <si>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</si>
  <si>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</si>
  <si>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</si>
  <si>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</si>
  <si>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</si>
  <si>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</si>
  <si>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</si>
  <si>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</si>
  <si>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</si>
  <si>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</si>
  <si>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</si>
  <si>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</si>
  <si>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</si>
  <si>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</si>
  <si>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</si>
  <si>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</si>
  <si>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</si>
  <si>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</si>
  <si>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</si>
  <si>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</si>
  <si>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</si>
  <si>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</si>
  <si>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</si>
  <si>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</si>
  <si>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</si>
  <si>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</si>
  <si>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</si>
  <si>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</si>
  <si>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</si>
  <si>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</si>
  <si>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</si>
  <si>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</si>
  <si>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</si>
  <si>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</si>
  <si>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</si>
  <si>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</si>
  <si>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</si>
  <si>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</si>
  <si>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</si>
  <si>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</si>
  <si>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</si>
  <si>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</si>
  <si>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</si>
  <si>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</si>
  <si>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</si>
  <si>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</si>
  <si>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</si>
  <si>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</si>
  <si>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</si>
  <si>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</si>
  <si>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</si>
  <si>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</si>
  <si>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</si>
  <si>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</si>
  <si>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</si>
  <si>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</si>
  <si>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</si>
  <si>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</si>
  <si>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</si>
  <si>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</si>
  <si>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</si>
  <si>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</si>
  <si>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</si>
  <si>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</si>
  <si>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</si>
  <si>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</si>
  <si>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</si>
  <si>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</si>
  <si>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</si>
  <si>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</si>
  <si>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</si>
  <si>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</si>
  <si>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</si>
  <si>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</si>
  <si>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</si>
  <si>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</si>
  <si>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</si>
  <si>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</si>
  <si>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</si>
  <si>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</si>
  <si>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</si>
  <si>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</si>
  <si>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</si>
  <si>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</si>
  <si>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</si>
  <si>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</si>
  <si>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</si>
  <si>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</si>
  <si>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</si>
  <si>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</si>
  <si>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</si>
  <si>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</si>
  <si>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</si>
  <si>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</si>
  <si>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</si>
  <si>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</si>
  <si>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</si>
  <si>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</si>
  <si>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</si>
  <si>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</si>
  <si>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</si>
  <si>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</si>
  <si>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</si>
  <si>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</si>
  <si>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</si>
  <si>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</si>
  <si>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</si>
  <si>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</si>
  <si>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</si>
  <si>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</si>
  <si>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</si>
  <si>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</si>
  <si>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</si>
  <si>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</si>
  <si>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</si>
  <si>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</si>
  <si>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</si>
  <si>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</si>
  <si>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</si>
  <si>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</si>
  <si>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</si>
  <si>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</si>
  <si>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</si>
  <si>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</si>
  <si>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</si>
  <si>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</si>
  <si>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</si>
  <si>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</si>
  <si>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</si>
  <si>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</si>
  <si>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</si>
  <si>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</si>
  <si>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</si>
  <si>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</si>
  <si>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</si>
  <si>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</si>
  <si>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</si>
  <si>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</si>
  <si>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</si>
  <si>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</si>
  <si>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</si>
  <si>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</si>
  <si>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</si>
  <si>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</si>
  <si>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</si>
  <si>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</si>
  <si>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</si>
  <si>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</si>
  <si>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</si>
  <si>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</si>
  <si>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</si>
  <si>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</si>
  <si>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</si>
  <si>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</si>
  <si>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</si>
  <si>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</si>
  <si>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</si>
  <si>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</si>
  <si>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</si>
  <si>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</si>
  <si>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</si>
  <si>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</si>
  <si>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</si>
  <si>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</si>
  <si>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</si>
  <si>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</si>
  <si>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</si>
  <si>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</si>
  <si>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</si>
  <si>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</si>
  <si>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</si>
  <si>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</si>
  <si>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</si>
  <si>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</si>
  <si>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</si>
  <si>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</si>
  <si>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</si>
  <si>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</si>
  <si>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</si>
  <si>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</si>
  <si>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</si>
  <si>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</si>
  <si>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</si>
  <si>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</si>
  <si>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</si>
  <si>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</si>
  <si>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</si>
  <si>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</si>
  <si>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</si>
  <si>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</si>
  <si>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</si>
  <si>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</si>
  <si>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</si>
  <si>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</si>
  <si>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</si>
  <si>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</si>
  <si>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</si>
  <si>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</si>
  <si>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</si>
  <si>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</si>
  <si>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</si>
  <si>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</si>
  <si>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</si>
  <si>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</si>
  <si>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</si>
  <si>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</si>
  <si>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</si>
  <si>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</si>
  <si>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</si>
  <si>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</si>
  <si>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</si>
  <si>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</si>
  <si>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</si>
  <si>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</si>
  <si>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</si>
  <si>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</si>
  <si>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</si>
  <si>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</si>
  <si>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</si>
  <si>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</si>
  <si>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</si>
  <si>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</si>
  <si>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</si>
  <si>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</si>
  <si>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</si>
  <si>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</si>
  <si>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</si>
  <si>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</si>
  <si>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</si>
  <si>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</si>
  <si>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</si>
  <si>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</si>
  <si>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</si>
  <si>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</si>
  <si>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</si>
  <si>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</si>
  <si>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</si>
  <si>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</si>
  <si>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</si>
  <si>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</si>
  <si>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</si>
  <si>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</si>
  <si>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</si>
  <si>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</si>
  <si>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</si>
  <si>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</si>
  <si>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</si>
  <si>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</si>
  <si>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</si>
  <si>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</si>
  <si>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</si>
  <si>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</si>
  <si>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</si>
  <si>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</si>
  <si>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</si>
  <si>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</si>
  <si>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</si>
  <si>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</si>
  <si>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</si>
  <si>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</si>
  <si>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</si>
  <si>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</si>
  <si>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</si>
  <si>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</si>
  <si>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</si>
  <si>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</si>
  <si>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</si>
  <si>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</si>
  <si>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</si>
  <si>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</si>
  <si>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</si>
  <si>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</si>
  <si>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</si>
  <si>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</si>
  <si>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</si>
  <si>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</si>
  <si>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</si>
  <si>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</si>
  <si>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</si>
  <si>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</si>
  <si>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</si>
  <si>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</si>
  <si>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</si>
  <si>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</si>
  <si>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</si>
  <si>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</si>
  <si>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</si>
  <si>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</si>
  <si>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</si>
  <si>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</si>
  <si>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</si>
  <si>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</si>
  <si>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</si>
  <si>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</si>
  <si>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</si>
  <si>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</si>
  <si>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</si>
  <si>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</si>
  <si>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</si>
  <si>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</si>
  <si>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</si>
  <si>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</si>
  <si>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</si>
  <si>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</si>
  <si>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</si>
  <si>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</si>
  <si>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</si>
  <si>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</si>
  <si>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</si>
  <si>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</si>
  <si>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</si>
  <si>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</si>
  <si>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</si>
  <si>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</si>
  <si>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</si>
  <si>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</si>
  <si>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</si>
  <si>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</si>
  <si>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</si>
  <si>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</si>
  <si>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</si>
  <si>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</si>
  <si>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</si>
  <si>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</si>
  <si>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</si>
  <si>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</si>
  <si>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</si>
  <si>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</si>
  <si>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</si>
  <si>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</si>
  <si>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</si>
  <si>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</si>
  <si>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</si>
  <si>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</si>
  <si>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</si>
  <si>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</si>
  <si>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</si>
  <si>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</si>
  <si>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</si>
  <si>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</si>
  <si>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</si>
  <si>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</si>
  <si>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</si>
  <si>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</si>
  <si>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</si>
  <si>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</si>
  <si>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</si>
  <si>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</si>
  <si>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</si>
  <si>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</si>
  <si>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</si>
  <si>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</si>
  <si>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</si>
  <si>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</si>
  <si>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</si>
  <si>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</si>
  <si>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</si>
  <si>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</si>
  <si>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</si>
  <si>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</si>
  <si>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</si>
  <si>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</si>
  <si>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</si>
  <si>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</si>
  <si>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</si>
  <si>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</si>
  <si>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</si>
  <si>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</si>
  <si>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</si>
  <si>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</si>
  <si>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</si>
  <si>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</si>
  <si>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</si>
  <si>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</si>
  <si>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</si>
  <si>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</si>
  <si>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</si>
  <si>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</si>
  <si>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</si>
  <si>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</si>
  <si>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</si>
  <si>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</si>
  <si>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</si>
  <si>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</si>
  <si>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</si>
  <si>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</si>
  <si>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</si>
  <si>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</si>
  <si>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</si>
  <si>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</si>
  <si>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</si>
  <si>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</si>
  <si>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</si>
  <si>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</si>
  <si>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</si>
  <si>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</si>
  <si>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</si>
  <si>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</si>
  <si>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</si>
  <si>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</si>
  <si>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</si>
  <si>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</si>
  <si>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</si>
  <si>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</si>
  <si>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</si>
  <si>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</si>
  <si>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</si>
  <si>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</si>
  <si>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</si>
  <si>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</si>
  <si>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</si>
  <si>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</si>
  <si>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</si>
  <si>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</si>
  <si>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</si>
  <si>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</si>
  <si>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</si>
  <si>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</si>
  <si>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</si>
  <si>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</si>
  <si>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</si>
  <si>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</si>
  <si>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</si>
  <si>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</si>
  <si>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</si>
  <si>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</si>
  <si>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</si>
  <si>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</si>
  <si>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</si>
  <si>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</si>
  <si>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</si>
  <si>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</si>
  <si>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</si>
  <si>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</si>
  <si>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</si>
  <si>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</si>
  <si>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</si>
  <si>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</si>
  <si>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</si>
  <si>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</si>
  <si>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</si>
  <si>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</si>
  <si>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</si>
  <si>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</si>
  <si>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</si>
  <si>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</si>
  <si>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</si>
  <si>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</si>
  <si>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</si>
  <si>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</si>
  <si>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</si>
  <si>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</si>
  <si>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</si>
  <si>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</si>
  <si>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</si>
  <si>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</si>
  <si>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</si>
  <si>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</si>
  <si>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</si>
  <si>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</si>
  <si>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</si>
  <si>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</si>
  <si>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</si>
  <si>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</si>
  <si>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</si>
  <si>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</si>
  <si>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</si>
  <si>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</si>
  <si>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</si>
  <si>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</si>
  <si>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</si>
  <si>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</si>
  <si>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</si>
  <si>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</si>
  <si>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</si>
  <si>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</si>
  <si>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</si>
  <si>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</si>
  <si>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</si>
  <si>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</si>
  <si>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</si>
  <si>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</si>
  <si>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</si>
  <si>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</si>
  <si>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</si>
  <si>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</si>
  <si>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</si>
  <si>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</si>
  <si>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</si>
  <si>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</si>
  <si>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</si>
  <si>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</si>
  <si>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</si>
  <si>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</si>
  <si>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</si>
  <si>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</si>
  <si>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</si>
  <si>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</si>
  <si>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</si>
  <si>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</si>
  <si>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</si>
  <si>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</si>
  <si>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</si>
  <si>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</si>
  <si>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</si>
  <si>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</si>
  <si>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</si>
  <si>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</si>
  <si>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</si>
  <si>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</si>
  <si>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</si>
  <si>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</si>
  <si>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</si>
  <si>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</si>
  <si>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</si>
  <si>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</si>
  <si>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</si>
  <si>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</si>
  <si>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</si>
  <si>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</si>
  <si>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</si>
  <si>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</si>
  <si>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</si>
  <si>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</si>
  <si>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</si>
  <si>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</si>
  <si>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</si>
  <si>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</si>
  <si>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</si>
  <si>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</si>
  <si>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</si>
  <si>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</si>
  <si>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</si>
  <si>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</si>
  <si>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</si>
  <si>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</si>
  <si>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</si>
  <si>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</si>
  <si>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</si>
  <si>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</si>
  <si>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</si>
  <si>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</si>
  <si>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</si>
  <si>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</si>
  <si>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</si>
  <si>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</si>
  <si>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</si>
  <si>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</si>
  <si>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</si>
  <si>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</si>
  <si>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</si>
  <si>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</si>
  <si>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</si>
  <si>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</si>
  <si>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</si>
  <si>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</si>
  <si>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</si>
  <si>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</si>
  <si>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</si>
  <si>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</si>
  <si>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</si>
  <si>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</si>
  <si>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</si>
  <si>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</si>
  <si>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</si>
  <si>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</si>
  <si>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</si>
  <si>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</si>
  <si>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</si>
  <si>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</si>
  <si>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</si>
  <si>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</si>
  <si>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</si>
  <si>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</si>
  <si>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</si>
  <si>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</si>
  <si>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</si>
  <si>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</si>
  <si>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</si>
  <si>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</si>
  <si>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</si>
  <si>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</si>
  <si>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</si>
  <si>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</si>
  <si>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</si>
  <si>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</si>
  <si>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</si>
  <si>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</si>
  <si>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</si>
  <si>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</si>
  <si>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</si>
  <si>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</si>
  <si>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</si>
  <si>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</si>
  <si>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</si>
  <si>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</si>
  <si>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</si>
  <si>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</si>
  <si>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</si>
  <si>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</si>
  <si>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</si>
  <si>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</si>
  <si>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</si>
  <si>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</si>
  <si>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</si>
  <si>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</si>
  <si>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</si>
  <si>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</si>
  <si>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</si>
  <si>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</si>
  <si>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</si>
  <si>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</si>
  <si>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</si>
  <si>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</si>
  <si>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</si>
  <si>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</si>
  <si>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</si>
  <si>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</si>
  <si>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</si>
  <si>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</si>
  <si>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</si>
  <si>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</si>
  <si>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</si>
  <si>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</si>
  <si>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</si>
  <si>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</si>
  <si>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</si>
  <si>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</si>
  <si>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</si>
  <si>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</si>
  <si>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</si>
  <si>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</si>
  <si>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</si>
  <si>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</si>
  <si>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</si>
  <si>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</si>
  <si>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</si>
  <si>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</si>
  <si>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</si>
  <si>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</si>
  <si>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</si>
  <si>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</si>
  <si>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</si>
  <si>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</si>
  <si>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</si>
  <si>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</si>
  <si>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</si>
  <si>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</si>
  <si>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</si>
  <si>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</si>
  <si>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</si>
  <si>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</si>
  <si>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</si>
  <si>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</si>
  <si>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</si>
  <si>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</si>
  <si>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</si>
  <si>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</si>
  <si>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</si>
  <si>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</si>
  <si>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</si>
  <si>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</si>
  <si>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</si>
  <si>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</si>
  <si>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</si>
  <si>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</si>
  <si>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</si>
  <si>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</si>
  <si>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</si>
  <si>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</si>
  <si>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</si>
  <si>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</si>
  <si>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</si>
  <si>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</si>
  <si>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</si>
  <si>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</si>
  <si>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</si>
  <si>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</si>
  <si>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</si>
  <si>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</si>
  <si>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</si>
  <si>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</si>
  <si>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</si>
  <si>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</si>
  <si>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</si>
  <si>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</si>
  <si>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</si>
  <si>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</si>
  <si>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</si>
  <si>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</si>
  <si>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</si>
  <si>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</si>
  <si>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</si>
  <si>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</si>
  <si>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</si>
  <si>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</si>
  <si>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</si>
  <si>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</si>
  <si>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</si>
  <si>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</si>
  <si>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</si>
  <si>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</si>
  <si>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</si>
  <si>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</si>
  <si>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</si>
  <si>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</si>
  <si>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</si>
  <si>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</si>
  <si>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</si>
  <si>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</si>
  <si>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</si>
  <si>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</si>
  <si>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</si>
  <si>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</si>
  <si>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</si>
  <si>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</si>
  <si>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</si>
  <si>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</si>
  <si>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</si>
  <si>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</si>
  <si>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</si>
  <si>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</si>
  <si>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</si>
  <si>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</si>
  <si>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</si>
  <si>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</si>
  <si>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</si>
  <si>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</si>
  <si>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</si>
  <si>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</si>
  <si>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</si>
  <si>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</si>
  <si>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</si>
  <si>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</si>
  <si>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</si>
  <si>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</si>
  <si>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</si>
  <si>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</si>
  <si>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</si>
  <si>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</si>
  <si>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</si>
  <si>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</si>
  <si>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</si>
  <si>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</si>
  <si>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</si>
  <si>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</si>
  <si>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</si>
  <si>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</si>
  <si>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</si>
  <si>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</si>
  <si>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</si>
  <si>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</si>
  <si>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</si>
  <si>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</si>
  <si>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</si>
  <si>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</si>
  <si>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</si>
  <si>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</si>
  <si>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</si>
  <si>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</si>
  <si>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</si>
  <si>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</si>
  <si>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</si>
  <si>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</si>
  <si>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</si>
  <si>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</si>
  <si>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</si>
  <si>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</si>
  <si>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</si>
  <si>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</si>
  <si>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</si>
  <si>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</si>
  <si>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</si>
  <si>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</si>
  <si>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</si>
  <si>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</si>
  <si>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</si>
  <si>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</si>
  <si>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</si>
  <si>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</si>
  <si>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</si>
  <si>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</si>
  <si>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</si>
  <si>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</si>
  <si>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</si>
  <si>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</si>
  <si>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</si>
  <si>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</si>
  <si>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</si>
  <si>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</si>
  <si>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</si>
  <si>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</si>
  <si>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</si>
  <si>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</si>
  <si>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</si>
  <si>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</si>
  <si>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</si>
  <si>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</si>
  <si>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</si>
  <si>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</si>
  <si>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</si>
  <si>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</si>
  <si>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</si>
  <si>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</si>
  <si>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</si>
  <si>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</si>
  <si>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</si>
  <si>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</si>
  <si>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</si>
  <si>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</si>
  <si>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</si>
  <si>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</si>
  <si>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</si>
  <si>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</si>
  <si>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</si>
  <si>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</si>
  <si>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</si>
  <si>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</si>
  <si>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</si>
  <si>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</si>
  <si>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</si>
  <si>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</si>
  <si>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</si>
  <si>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</si>
  <si>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</si>
  <si>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</si>
  <si>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</si>
  <si>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</si>
  <si>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</si>
  <si>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</si>
  <si>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</si>
  <si>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</si>
  <si>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</si>
  <si>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</si>
  <si>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</si>
  <si>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</si>
  <si>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</si>
  <si>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</si>
  <si>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</si>
  <si>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</si>
  <si>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</si>
  <si>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</si>
  <si>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</si>
  <si>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</si>
  <si>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</si>
  <si>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</si>
  <si>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</si>
  <si>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</si>
  <si>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企业</t>
  </si>
  <si>
    <t>北京市</t>
  </si>
  <si>
    <t>房地产抵押价值</t>
  </si>
  <si>
    <r>
      <t>2</t>
    </r>
    <r>
      <rPr>
        <sz val="11"/>
        <color indexed="8"/>
        <rFont val="宋体"/>
        <family val="3"/>
        <charset val="134"/>
      </rPr>
      <t>层</t>
    </r>
    <phoneticPr fontId="30" type="noConversion"/>
  </si>
  <si>
    <t>1层</t>
    <phoneticPr fontId="134" type="noConversion"/>
  </si>
  <si>
    <t>2层</t>
    <phoneticPr fontId="134" type="noConversion"/>
  </si>
  <si>
    <t>3层</t>
    <phoneticPr fontId="134" type="noConversion"/>
  </si>
  <si>
    <t>三角形</t>
    <phoneticPr fontId="134" type="noConversion"/>
  </si>
  <si>
    <t>平均</t>
  </si>
  <si>
    <t>平均</t>
    <phoneticPr fontId="134" type="noConversion"/>
  </si>
  <si>
    <t>1层小</t>
  </si>
  <si>
    <t>1层小</t>
    <phoneticPr fontId="134" type="noConversion"/>
  </si>
  <si>
    <t>1层大</t>
  </si>
  <si>
    <t>1层大</t>
    <phoneticPr fontId="134" type="noConversion"/>
  </si>
  <si>
    <r>
      <t>1、</t>
    </r>
    <r>
      <rPr>
        <sz val="11"/>
        <color theme="1"/>
        <rFont val="宋体"/>
        <family val="3"/>
        <charset val="134"/>
        <scheme val="minor"/>
      </rPr>
      <t>2层小</t>
    </r>
    <phoneticPr fontId="134" type="noConversion"/>
  </si>
  <si>
    <t>修正项2</t>
    <phoneticPr fontId="3" type="noConversion"/>
  </si>
  <si>
    <t>形状</t>
    <phoneticPr fontId="3" type="noConversion"/>
  </si>
  <si>
    <t>方正</t>
  </si>
  <si>
    <t>方正</t>
    <phoneticPr fontId="24" type="noConversion"/>
  </si>
  <si>
    <t>三角</t>
  </si>
  <si>
    <t>三角</t>
    <phoneticPr fontId="24" type="noConversion"/>
  </si>
  <si>
    <t>分层面积</t>
    <phoneticPr fontId="3" type="noConversion"/>
  </si>
  <si>
    <t>平均</t>
    <phoneticPr fontId="24" type="noConversion"/>
  </si>
  <si>
    <t>1层大</t>
    <phoneticPr fontId="24" type="noConversion"/>
  </si>
  <si>
    <r>
      <t>1</t>
    </r>
    <r>
      <rPr>
        <sz val="10"/>
        <color indexed="8"/>
        <rFont val="宋体"/>
        <family val="3"/>
        <charset val="134"/>
      </rPr>
      <t>层小</t>
    </r>
    <phoneticPr fontId="24" type="noConversion"/>
  </si>
  <si>
    <r>
      <t>1</t>
    </r>
    <r>
      <rPr>
        <sz val="10"/>
        <color indexed="8"/>
        <rFont val="宋体"/>
        <family val="3"/>
        <charset val="134"/>
      </rPr>
      <t>、</t>
    </r>
    <r>
      <rPr>
        <sz val="10"/>
        <color indexed="8"/>
        <rFont val="Arial"/>
        <family val="2"/>
      </rPr>
      <t>2</t>
    </r>
    <r>
      <rPr>
        <sz val="10"/>
        <color indexed="8"/>
        <rFont val="宋体"/>
        <family val="3"/>
        <charset val="134"/>
      </rPr>
      <t>层小</t>
    </r>
    <phoneticPr fontId="24" type="noConversion"/>
  </si>
  <si>
    <t>房型</t>
    <phoneticPr fontId="134" type="noConversion"/>
  </si>
  <si>
    <t>方正</t>
    <phoneticPr fontId="134" type="noConversion"/>
  </si>
  <si>
    <t>分层面积</t>
    <phoneticPr fontId="134" type="noConversion"/>
  </si>
  <si>
    <t>1、2层小</t>
  </si>
  <si>
    <t>平面位置</t>
    <phoneticPr fontId="3" type="noConversion"/>
  </si>
  <si>
    <t>较好</t>
    <phoneticPr fontId="24" type="noConversion"/>
  </si>
  <si>
    <t>一般</t>
    <phoneticPr fontId="24" type="noConversion"/>
  </si>
  <si>
    <t>较方正</t>
  </si>
  <si>
    <t>较方正</t>
    <phoneticPr fontId="24" type="noConversion"/>
  </si>
  <si>
    <t>较方正</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</si>
</sst>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8376;&#22836;&#27807;&#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典型户型修正"/>
      <sheetName val="比较法-商业"/>
      <sheetName val="比较法-办公"/>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219.43</v>
          </cell>
          <cell r="D14">
            <v>556</v>
          </cell>
        </row>
      </sheetData>
      <sheetData sheetId="17">
        <row r="32">
          <cell r="C32">
            <v>25328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2024年1月31日（评估专业人员实地查勘之日）</v>
      </c>
    </row>
    <row r="13" spans="1:2" s="1202" customFormat="1">
      <c r="A13" s="1200" t="s">
        <v>529</v>
      </c>
      <c r="B13" s="1201"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87.01</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2" t="s">
        <v>385</v>
      </c>
      <c r="C54" s="1549" t="s">
        <v>583</v>
      </c>
    </row>
    <row r="55" spans="1:4">
      <c r="A55" s="3500"/>
      <c r="B55" s="1552" t="s">
        <v>386</v>
      </c>
      <c r="C55" s="1549" t="s">
        <v>584</v>
      </c>
    </row>
    <row r="56" spans="1:4">
      <c r="A56" s="3500"/>
      <c r="B56" s="1552" t="s">
        <v>387</v>
      </c>
      <c r="C56" s="1549" t="s">
        <v>588</v>
      </c>
    </row>
    <row r="57" spans="1:4">
      <c r="A57" s="350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01" t="s">
        <v>2579</v>
      </c>
      <c r="J2" s="3501"/>
      <c r="K2" s="3501"/>
      <c r="L2" s="3501"/>
      <c r="M2" s="3501"/>
      <c r="N2" s="3501"/>
      <c r="O2" s="3501"/>
      <c r="P2" s="3501"/>
      <c r="Q2" s="3501"/>
      <c r="R2" s="3501"/>
    </row>
    <row r="3" spans="1:18">
      <c r="A3" s="3018" t="s">
        <v>2500</v>
      </c>
      <c r="B3" s="3019">
        <f>项目基本情况!D3</f>
        <v>45322</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2.88</v>
      </c>
      <c r="D5" s="3023">
        <f>IF(ISERROR(ROUND(POWER(1+E5,A5-C5)*(POWER(1+E5,C5)-1)/(POWER(1+E5,A5)-1),3)),0,ROUND(POWER(1+E5,A5-C5)*(POWER(1+E5,C5)-1)/(POWER(1+E5,A5)-1),4))</f>
        <v>0.13489999999999999</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12.89</v>
      </c>
      <c r="D6" s="3023">
        <f>IF(ISERROR(ROUND(POWER(1+E6,A6-C6)*(POWER(1+E6,C6)-1)/(POWER(1+E6,A6)-1),3)),0,ROUND(POWER(1+E6,A6-C6)*(POWER(1+E6,C6)-1)/(POWER(1+E6,A6)-1),4))</f>
        <v>0.46179999999999999</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32.9</v>
      </c>
      <c r="D7" s="3023">
        <f>IF(ISERROR(ROUND(POWER(1+E7,A7-C7)*(POWER(1+E7,C7)-1)/(POWER(1+E7,A7)-1),3)),0,ROUND(POWER(1+E7,A7-C7)*(POWER(1+E7,C7)-1)/(POWER(1+E7,A7)-1),4))</f>
        <v>0.77459999999999996</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5" thickBot="1">
      <c r="A18" s="3029" t="s">
        <v>2515</v>
      </c>
      <c r="B18" s="3030">
        <f>ROUND(B17*F11/F12,2)</f>
        <v>5541.87</v>
      </c>
      <c r="C18" s="3030">
        <f>ROUND(F11/F12,4)</f>
        <v>1.1521999999999999</v>
      </c>
      <c r="D18" s="3031"/>
      <c r="E18" s="3031"/>
      <c r="F18" s="3032"/>
    </row>
    <row r="19" spans="1:13" ht="15" thickBot="1"/>
    <row r="20" spans="1:13" s="3067" customFormat="1" ht="1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8" sqref="L38"/>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4" t="s">
        <v>2163</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45322</v>
      </c>
      <c r="C3" s="2372" t="s">
        <v>2166</v>
      </c>
      <c r="D3" s="2371">
        <f>B3</f>
        <v>45322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8" thickBot="1">
      <c r="A4" s="1089"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8"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3375</v>
      </c>
      <c r="C8" s="2388"/>
      <c r="D8" s="3505" t="s">
        <v>2172</v>
      </c>
      <c r="E8" s="2389" t="s">
        <v>3441</v>
      </c>
      <c r="F8" s="2390"/>
      <c r="G8" s="2661"/>
      <c r="H8" s="2661"/>
      <c r="I8" s="2661"/>
      <c r="J8" s="2437"/>
      <c r="K8" s="2612"/>
      <c r="L8" s="2611"/>
      <c r="M8" s="2611"/>
      <c r="N8" s="2437"/>
      <c r="O8" s="2448"/>
      <c r="P8" s="2437"/>
      <c r="Q8" s="2437"/>
      <c r="R8" s="2437"/>
    </row>
    <row r="9" spans="1:30" ht="13.8" thickBot="1">
      <c r="A9" s="2391" t="s">
        <v>2173</v>
      </c>
      <c r="B9" s="2392" t="s">
        <v>3441</v>
      </c>
      <c r="C9" s="2393"/>
      <c r="D9" s="3506"/>
      <c r="E9" s="2392"/>
      <c r="F9" s="2394"/>
      <c r="G9" s="2663"/>
      <c r="H9" s="2663"/>
      <c r="I9" s="2663"/>
      <c r="J9" s="2437"/>
      <c r="K9" s="2614"/>
      <c r="L9" s="2611"/>
      <c r="M9" s="2611"/>
      <c r="N9" s="2437"/>
      <c r="O9" s="2448"/>
      <c r="P9" s="2437"/>
      <c r="Q9" s="2437"/>
      <c r="R9" s="2437"/>
    </row>
    <row r="10" spans="1:30" ht="13.8" thickTop="1">
      <c r="A10" s="2395" t="s">
        <v>2174</v>
      </c>
      <c r="B10" s="2396" t="s">
        <v>3440</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3439</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3"/>
    </row>
    <row r="13" spans="1:30">
      <c r="A13" s="3421" t="s">
        <v>3331</v>
      </c>
      <c r="B13" s="2405" t="s">
        <v>2185</v>
      </c>
      <c r="C13" s="856"/>
      <c r="D13" s="856">
        <v>56557</v>
      </c>
      <c r="E13" s="856"/>
      <c r="F13" s="856"/>
      <c r="G13" s="856"/>
      <c r="H13" s="856"/>
      <c r="I13" s="856"/>
      <c r="J13" s="3060"/>
      <c r="K13" s="2611"/>
      <c r="L13" s="2611"/>
      <c r="M13" s="2437"/>
      <c r="N13" s="2448"/>
      <c r="O13" s="2437"/>
      <c r="P13" s="2437"/>
      <c r="Q13" s="2437"/>
      <c r="AD13" s="1743"/>
    </row>
    <row r="14" spans="1:30">
      <c r="A14" s="1080"/>
      <c r="B14" s="2405" t="s">
        <v>2186</v>
      </c>
      <c r="C14" s="2406"/>
      <c r="D14" s="2406">
        <v>40</v>
      </c>
      <c r="E14" s="2406"/>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30.78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12"/>
      <c r="C16" s="3513"/>
      <c r="D16" s="3514"/>
      <c r="E16" s="2411" t="s">
        <v>2189</v>
      </c>
      <c r="F16" s="3515"/>
      <c r="G16" s="3516"/>
      <c r="H16" s="3516"/>
      <c r="I16" s="3517"/>
      <c r="J16" s="2437"/>
      <c r="K16" s="2615"/>
      <c r="L16" s="2449"/>
      <c r="M16" s="2449"/>
      <c r="N16" s="2507"/>
      <c r="O16" s="2449"/>
      <c r="P16" s="2507"/>
      <c r="Q16" s="2437"/>
      <c r="R16" s="2437"/>
    </row>
    <row r="17" spans="1:28">
      <c r="A17" s="313" t="s">
        <v>2190</v>
      </c>
      <c r="B17" s="302" t="s">
        <v>2191</v>
      </c>
      <c r="C17" s="8">
        <f>'数据-汇总表'!E3</f>
        <v>87.01</v>
      </c>
      <c r="D17" s="2320" t="s">
        <v>2192</v>
      </c>
      <c r="E17" s="3518" t="s">
        <v>2193</v>
      </c>
      <c r="F17" s="3519"/>
      <c r="G17" s="3519"/>
      <c r="H17" s="3519"/>
      <c r="I17" s="3520"/>
      <c r="J17" s="2437"/>
      <c r="K17" s="2616"/>
      <c r="L17" s="2449"/>
      <c r="M17" s="2449"/>
      <c r="N17" s="2507"/>
      <c r="O17" s="2449"/>
      <c r="P17" s="2507"/>
      <c r="Q17" s="2437"/>
      <c r="R17" s="2437"/>
      <c r="S17" s="2437"/>
      <c r="T17" s="2437"/>
      <c r="U17" s="2437"/>
      <c r="V17" s="2437"/>
    </row>
    <row r="18" spans="1:28" ht="24.6" thickBot="1">
      <c r="A18" s="2412" t="s">
        <v>2194</v>
      </c>
      <c r="B18" s="1089" t="s">
        <v>2195</v>
      </c>
      <c r="C18" s="2413">
        <f>'数据-汇总表'!D3</f>
        <v>0</v>
      </c>
      <c r="D18" s="1091" t="s">
        <v>2196</v>
      </c>
      <c r="E18" s="3521" t="s">
        <v>2197</v>
      </c>
      <c r="F18" s="3522"/>
      <c r="G18" s="3522"/>
      <c r="H18" s="3522"/>
      <c r="I18" s="3523"/>
      <c r="J18" s="2437"/>
      <c r="K18" s="2616"/>
      <c r="L18" s="2449"/>
      <c r="M18" s="2449"/>
      <c r="N18" s="2507"/>
      <c r="O18" s="2449"/>
      <c r="P18" s="2507"/>
      <c r="Q18" s="2437"/>
      <c r="R18" s="2437"/>
      <c r="S18" s="2437"/>
      <c r="T18" s="2437"/>
      <c r="U18" s="2437"/>
      <c r="V18" s="2437"/>
    </row>
    <row r="19" spans="1:28" ht="37.200000000000003" thickTop="1" thickBot="1">
      <c r="A19" s="327" t="s">
        <v>1055</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08" t="s">
        <v>2201</v>
      </c>
      <c r="C20" s="3509"/>
      <c r="D20" s="3510" t="s">
        <v>2202</v>
      </c>
      <c r="E20" s="3511"/>
      <c r="F20" s="2645" t="s">
        <v>1056</v>
      </c>
      <c r="G20" s="2662"/>
      <c r="H20" s="2662"/>
      <c r="I20" s="2662"/>
      <c r="J20" s="2437"/>
      <c r="K20" s="3507"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36.6" thickBot="1">
      <c r="A21" s="2630"/>
      <c r="B21" s="2631" t="s">
        <v>2204</v>
      </c>
      <c r="C21" s="2632" t="s">
        <v>1057</v>
      </c>
      <c r="D21" s="1566" t="s">
        <v>2205</v>
      </c>
      <c r="E21" s="2633" t="s">
        <v>1057</v>
      </c>
      <c r="F21" s="2646"/>
      <c r="G21" s="2662"/>
      <c r="H21" s="2662"/>
      <c r="I21" s="2662"/>
      <c r="J21" s="2437"/>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36.6" thickBot="1">
      <c r="A22" s="2630"/>
      <c r="B22" s="2634" t="s">
        <v>2206</v>
      </c>
      <c r="C22" s="2632" t="s">
        <v>1058</v>
      </c>
      <c r="D22" s="2661"/>
      <c r="E22" s="2661"/>
      <c r="F22" s="2661"/>
      <c r="G22" s="2662"/>
      <c r="H22" s="2662"/>
      <c r="I22" s="2662"/>
      <c r="J22" s="2437"/>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25" t="s">
        <v>2209</v>
      </c>
      <c r="B27" s="320" t="s">
        <v>2210</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5"/>
      <c r="B28" s="302" t="s">
        <v>2211</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5"/>
      <c r="B29" s="302" t="s">
        <v>2212</v>
      </c>
      <c r="C29" s="2418" t="s">
        <v>3381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6"/>
      <c r="B30" s="302" t="s">
        <v>2213</v>
      </c>
      <c r="C30" s="3527"/>
      <c r="D30" s="3528"/>
      <c r="E30" s="2662"/>
      <c r="F30" s="2662"/>
      <c r="G30" s="2662"/>
      <c r="H30" s="2662"/>
      <c r="I30" s="2662"/>
      <c r="J30" s="2437"/>
      <c r="K30" s="2614"/>
      <c r="L30" s="2611"/>
      <c r="M30" s="2611"/>
      <c r="N30" s="2437"/>
      <c r="O30" s="2448"/>
      <c r="P30" s="2437"/>
      <c r="Q30" s="2437"/>
      <c r="R30" s="2437"/>
      <c r="S30" s="2437"/>
      <c r="T30" s="2437"/>
      <c r="U30" s="2437"/>
      <c r="V30" s="2437"/>
    </row>
    <row r="31" spans="1:28">
      <c r="A31" s="3529" t="s">
        <v>2214</v>
      </c>
      <c r="B31" s="2420" t="s">
        <v>3382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24" t="s">
        <v>2223</v>
      </c>
      <c r="T34" s="2426" t="str">
        <f>NUMBERSTRING(7-K34,1)&amp;"通"</f>
        <v>七通</v>
      </c>
      <c r="U34" s="2437"/>
      <c r="V34" s="2437"/>
    </row>
    <row r="35" spans="1:30">
      <c r="A35" s="2427"/>
      <c r="B35" s="3531" t="s">
        <v>2224</v>
      </c>
      <c r="C35" s="3531"/>
      <c r="D35" s="3531"/>
      <c r="E35" s="3531"/>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2">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c r="B3" s="11">
        <f>IF(C3="否",G5-AT5,G5)</f>
        <v>87.01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9"/>
      <c r="H9" s="1600" t="s">
        <v>1091</v>
      </c>
      <c r="I9" s="1601" t="s">
        <v>3384</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3.2">
      <c r="A10" s="1592"/>
      <c r="B10" s="1592"/>
      <c r="C10" s="1592"/>
      <c r="D10" s="1592"/>
      <c r="E10" s="1592"/>
      <c r="F10" s="1592"/>
      <c r="G10" s="1069"/>
      <c r="H10" s="25"/>
      <c r="I10" s="1601" t="s">
        <v>673</v>
      </c>
      <c r="J10" s="809"/>
      <c r="K10" s="1607"/>
      <c r="L10" s="809"/>
      <c r="M10" s="1607"/>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50"/>
      <c r="B13" s="1050"/>
      <c r="C13" s="2436" t="s">
        <v>3385</v>
      </c>
      <c r="D13" s="1623" t="s">
        <v>3383</v>
      </c>
      <c r="E13" s="13">
        <f>IF($C$3="是",ROUND($A$3*G13/$B$3,2),ROUND($A$3*(G13-AT13)/$B$3,2))</f>
        <v>0</v>
      </c>
      <c r="F13" s="29"/>
      <c r="G13" s="30">
        <f>H13+AC13+AT13</f>
        <v>87.01</v>
      </c>
      <c r="H13" s="17">
        <f>SUMIF(I$12:AB$12,"总值",I13:AB13)</f>
        <v>87.01</v>
      </c>
      <c r="I13" s="1624">
        <f>典型户型修正!B24</f>
        <v>87.01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2-2-9</v>
      </c>
      <c r="AY13" s="1347">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50"/>
      <c r="B14" s="1050"/>
      <c r="C14" s="344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50"/>
      <c r="B15" s="1050"/>
      <c r="C15" s="3447"/>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50"/>
      <c r="B16" s="1050"/>
      <c r="C16" s="3447"/>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50"/>
      <c r="B17" s="1050"/>
      <c r="C17" s="3447"/>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8"/>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8"/>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8"/>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8"/>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8"/>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8"/>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8"/>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8"/>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8"/>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8"/>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8"/>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8"/>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8"/>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8"/>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8"/>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8"/>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8"/>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8"/>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8"/>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8"/>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7"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8"/>
      <c r="C1" s="1138"/>
      <c r="D1" s="1138"/>
      <c r="E1" s="1138"/>
      <c r="F1" s="1138"/>
      <c r="G1" s="1138"/>
      <c r="H1" s="1138"/>
      <c r="I1" s="1138"/>
      <c r="J1" s="1138"/>
      <c r="K1" s="1138"/>
      <c r="L1" s="1138"/>
      <c r="M1" s="1138"/>
      <c r="N1" s="1138"/>
      <c r="O1" s="1138"/>
      <c r="P1" s="1138"/>
    </row>
    <row r="2" spans="1:16" ht="14.4">
      <c r="A2" s="3541" t="s">
        <v>1131</v>
      </c>
      <c r="B2" s="3541"/>
      <c r="C2" s="3541"/>
      <c r="D2" s="796" t="s">
        <v>1107</v>
      </c>
      <c r="E2" s="1637" t="s">
        <v>1108</v>
      </c>
      <c r="F2" s="2657"/>
      <c r="G2" s="2648"/>
      <c r="H2" s="2649"/>
      <c r="I2" s="2323" t="s">
        <v>1132</v>
      </c>
      <c r="J2" s="2657"/>
      <c r="K2" s="2657"/>
      <c r="L2" s="2657"/>
      <c r="M2" s="2657"/>
      <c r="N2" s="2659"/>
      <c r="O2" s="2657"/>
      <c r="P2" s="2657"/>
    </row>
    <row r="3" spans="1:16" ht="15" thickBot="1">
      <c r="A3" s="3542" t="s">
        <v>1105</v>
      </c>
      <c r="B3" s="3542"/>
      <c r="C3" s="3542"/>
      <c r="D3" s="43">
        <f>'数据-基础表'!AY6</f>
        <v>0</v>
      </c>
      <c r="E3" s="43">
        <f>'数据-基础表'!AZ5</f>
        <v>87.01</v>
      </c>
      <c r="F3" s="2657"/>
      <c r="G3" s="1144"/>
      <c r="H3" s="1025" t="s">
        <v>1106</v>
      </c>
      <c r="I3" s="855" t="e">
        <f>ROUND('数据-基础表'!B3/'数据-基础表'!A3,2)</f>
        <v>#DIV/0!</v>
      </c>
      <c r="J3" s="2657"/>
      <c r="K3" s="2657"/>
      <c r="L3" s="2657"/>
      <c r="M3" s="2657"/>
      <c r="N3" s="2659"/>
      <c r="O3" s="2657"/>
      <c r="P3" s="2657"/>
    </row>
    <row r="4" spans="1:16" ht="14.4">
      <c r="A4" s="3543"/>
      <c r="B4" s="3544"/>
      <c r="C4" s="3545"/>
      <c r="D4" s="1639" t="s">
        <v>1107</v>
      </c>
      <c r="E4" s="1640" t="s">
        <v>1108</v>
      </c>
      <c r="F4" s="2657"/>
      <c r="G4" s="2650" t="s">
        <v>1133</v>
      </c>
      <c r="H4" s="1025" t="s">
        <v>1113</v>
      </c>
      <c r="I4" s="855" t="e">
        <f>ROUND(SUMIF('数据-基础表'!I9:AS9,"地上",'数据-基础表'!I5:AS5)/'数据-基础表'!A3,2)</f>
        <v>#DIV/0!</v>
      </c>
      <c r="J4" s="2657"/>
      <c r="K4" s="2657"/>
      <c r="L4" s="2657"/>
      <c r="M4" s="2657"/>
      <c r="N4" s="2659"/>
      <c r="O4" s="2657"/>
      <c r="P4" s="2657"/>
    </row>
    <row r="5" spans="1:16" ht="14.4">
      <c r="A5" s="44" t="s">
        <v>1109</v>
      </c>
      <c r="B5" s="3546" t="s">
        <v>1110</v>
      </c>
      <c r="C5" s="3546"/>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2"/>
      <c r="B6" s="3546" t="s">
        <v>1111</v>
      </c>
      <c r="C6" s="3546"/>
      <c r="D6" s="45">
        <f>ROUND($D$3*E6/$E$3,2)</f>
        <v>0</v>
      </c>
      <c r="E6" s="46">
        <f>E3-E5</f>
        <v>87.01</v>
      </c>
      <c r="F6" s="2657"/>
      <c r="G6" s="2651" t="s">
        <v>1112</v>
      </c>
      <c r="H6" s="1145" t="s">
        <v>1113</v>
      </c>
      <c r="I6" s="2652" t="e">
        <f>ROUND(F31/D31,2)</f>
        <v>#DIV/0!</v>
      </c>
      <c r="J6" s="2657"/>
      <c r="K6" s="2657"/>
      <c r="L6" s="2657"/>
      <c r="M6" s="2657"/>
      <c r="N6" s="2657"/>
      <c r="O6" s="2657"/>
      <c r="P6" s="2657"/>
    </row>
    <row r="7" spans="1:16" ht="15" thickBot="1">
      <c r="A7" s="3538"/>
      <c r="B7" s="3539"/>
      <c r="C7" s="3540"/>
      <c r="D7" s="1639" t="s">
        <v>1107</v>
      </c>
      <c r="E7" s="1643"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87.01</v>
      </c>
      <c r="F8" s="2657"/>
      <c r="G8" s="2658"/>
      <c r="H8" s="2658"/>
      <c r="I8" s="2657"/>
      <c r="J8" s="2657"/>
      <c r="K8" s="2657"/>
      <c r="L8" s="2657"/>
      <c r="M8" s="2657"/>
      <c r="N8" s="2657"/>
      <c r="O8" s="2657"/>
      <c r="P8" s="2657"/>
    </row>
    <row r="9" spans="1:16" ht="14.4">
      <c r="A9" s="1644"/>
      <c r="B9" s="1645"/>
      <c r="C9" s="45" t="s">
        <v>1119</v>
      </c>
      <c r="D9" s="45">
        <f t="shared" si="0"/>
        <v>0</v>
      </c>
      <c r="E9" s="49">
        <v>0</v>
      </c>
      <c r="F9" s="2657"/>
      <c r="G9" s="2658"/>
      <c r="H9" s="2658"/>
      <c r="I9" s="2657"/>
      <c r="J9" s="2657"/>
      <c r="K9" s="2657"/>
      <c r="L9" s="2657"/>
      <c r="M9" s="2657"/>
      <c r="N9" s="2657"/>
      <c r="O9" s="2657"/>
      <c r="P9" s="2657"/>
    </row>
    <row r="10" spans="1:16" ht="14.4">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2"/>
      <c r="B16" s="1645"/>
      <c r="C16" s="47" t="s">
        <v>1123</v>
      </c>
      <c r="D16" s="47">
        <f>SUM(D8:D15)</f>
        <v>0</v>
      </c>
      <c r="E16" s="50">
        <f>SUM(E8:E15)</f>
        <v>87.01</v>
      </c>
      <c r="F16" s="2657"/>
      <c r="G16" s="2658"/>
      <c r="H16" s="1646" t="s">
        <v>1135</v>
      </c>
      <c r="I16" s="1647"/>
      <c r="J16" s="1138"/>
      <c r="K16" s="3535" t="s">
        <v>1135</v>
      </c>
      <c r="L16" s="3536"/>
      <c r="M16" s="3536"/>
      <c r="N16" s="3536"/>
      <c r="O16" s="3536"/>
      <c r="P16" s="3537"/>
    </row>
    <row r="17" spans="1:19" ht="14.4">
      <c r="A17" s="1648" t="s">
        <v>1136</v>
      </c>
      <c r="B17" s="1649" t="s">
        <v>1137</v>
      </c>
      <c r="C17" s="1650" t="s">
        <v>1138</v>
      </c>
      <c r="D17" s="1651" t="s">
        <v>1126</v>
      </c>
      <c r="E17" s="1652" t="s">
        <v>1127</v>
      </c>
      <c r="F17" s="1653"/>
      <c r="G17" s="1654"/>
      <c r="H17" s="1655" t="s">
        <v>1139</v>
      </c>
      <c r="I17" s="1656" t="s">
        <v>1124</v>
      </c>
      <c r="J17" s="1138"/>
      <c r="K17" s="3532" t="s">
        <v>1140</v>
      </c>
      <c r="L17" s="3533"/>
      <c r="M17" s="3534"/>
      <c r="N17" s="3532" t="s">
        <v>1141</v>
      </c>
      <c r="O17" s="3533"/>
      <c r="P17" s="3534"/>
      <c r="R17" s="1638" t="s">
        <v>1142</v>
      </c>
      <c r="S17" s="56"/>
    </row>
    <row r="18" spans="1:19" ht="14.4">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ht="14.4">
      <c r="A19" s="1665"/>
      <c r="B19" s="47" t="s">
        <v>1125</v>
      </c>
      <c r="C19" s="3415" t="s">
        <v>3386</v>
      </c>
      <c r="D19" s="45">
        <f>ROUND($D$3*E19/$E$3,2)</f>
        <v>0</v>
      </c>
      <c r="E19" s="53">
        <f t="shared" ref="E19:E26" si="1">SUM(F19:G19)</f>
        <v>87.01</v>
      </c>
      <c r="F19" s="2793">
        <f>'数据-基础表'!I13</f>
        <v>87.01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87.01</v>
      </c>
    </row>
    <row r="20" spans="1:19" ht="14.4">
      <c r="A20" s="1668"/>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ht="14.4">
      <c r="A21" s="1668"/>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ht="14.4">
      <c r="A22" s="1668"/>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ht="14.4">
      <c r="A23" s="1668"/>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ht="14.4">
      <c r="A24" s="1668"/>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ht="14.4">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ht="14.4">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 thickBot="1">
      <c r="A27" s="1668"/>
      <c r="B27" s="45"/>
      <c r="C27" s="1671"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ht="14.4">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 thickBot="1">
      <c r="A31" s="1674"/>
      <c r="B31" s="1675"/>
      <c r="C31" s="835" t="s">
        <v>1158</v>
      </c>
      <c r="D31" s="676">
        <f>D27+D30</f>
        <v>0</v>
      </c>
      <c r="E31" s="676">
        <f>E27+E30</f>
        <v>87.01</v>
      </c>
      <c r="F31" s="677">
        <f>F27+F30</f>
        <v>87.01</v>
      </c>
      <c r="G31" s="678">
        <f>G27+G30</f>
        <v>0</v>
      </c>
      <c r="H31" s="2657"/>
      <c r="I31" s="2657"/>
      <c r="J31" s="2657"/>
      <c r="K31" s="2657"/>
      <c r="L31" s="2657"/>
      <c r="M31" s="2657"/>
      <c r="N31" s="2657"/>
      <c r="O31" s="2657"/>
      <c r="P31" s="2657"/>
    </row>
    <row r="32" spans="1:19" ht="14.4">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 thickBot="1">
      <c r="A2" s="1681" t="s">
        <v>1161</v>
      </c>
      <c r="B2" s="1044">
        <f>项目基本情况!D3</f>
        <v>45322</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商业</v>
      </c>
      <c r="B6" s="1711" t="str">
        <f>IF(A6=0,"","经营性")</f>
        <v>经营性</v>
      </c>
      <c r="C6" s="1712" t="s">
        <v>673</v>
      </c>
      <c r="D6" s="858">
        <f>SUMIF(项目基本情况!C$12:I$12,C6,项目基本情况!C$14:I$14)</f>
        <v>40</v>
      </c>
      <c r="E6" s="857">
        <f>IF(B6="","",SUMIF(项目基本情况!C$12:I$12,C6,项目基本情况!C$13:I$13))</f>
        <v>56557</v>
      </c>
      <c r="F6" s="64">
        <f>SUMIF(项目基本情况!C$12:I$12,C6,项目基本情况!C$15:I$15)</f>
        <v>30.78</v>
      </c>
      <c r="G6" s="65">
        <f>IF(ISERROR(ROUND(POWER(1+H6,D6-F6)*(POWER(1+H6,F6)-1)/(POWER(1+H6,D6)-1),3)),0,ROUND(POWER(1+H6,D6-F6)*(POWER(1+H6,F6)-1)/(POWER(1+H6,D6)-1),3))</f>
        <v>0.90600000000000003</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v>5</v>
      </c>
      <c r="V6" s="70">
        <v>2.5000000000000001E-2</v>
      </c>
      <c r="W6" s="70">
        <v>0.1</v>
      </c>
      <c r="X6" s="1039"/>
      <c r="Y6" s="71">
        <f>N6</f>
        <v>0.92</v>
      </c>
      <c r="Z6" s="72"/>
      <c r="AA6" s="66"/>
      <c r="AB6" s="66"/>
      <c r="AC6" s="1039"/>
      <c r="AD6" s="73"/>
      <c r="AE6" s="1040">
        <f ca="1">IF(AN6="",0,SUMIF(INDIRECT("'"&amp;AN6&amp;"'"&amp;"!E:E"),$AE$5,INDIRECT("'"&amp;AN6&amp;"'"&amp;"!F:F")))</f>
        <v>30.78</v>
      </c>
      <c r="AF6" s="1346"/>
      <c r="AG6" s="138">
        <f>IF(AF6="",0,AE6-AF6)</f>
        <v>0</v>
      </c>
      <c r="AH6" s="74"/>
      <c r="AI6" s="76">
        <v>365</v>
      </c>
      <c r="AJ6" s="77"/>
      <c r="AK6" s="78">
        <v>5.0000000000000001E-3</v>
      </c>
      <c r="AL6" s="79">
        <v>1.5E-3</v>
      </c>
      <c r="AM6" s="80">
        <v>5.0000000000000001E-3</v>
      </c>
      <c r="AN6" s="1713" t="s">
        <v>3388</v>
      </c>
      <c r="AO6" s="52">
        <f ca="1">SUMIF(INDIRECT("'"&amp;AN6&amp;"'"&amp;"!A:A"),"总价",INDIRECT("'"&amp;AN6&amp;"'"&amp;"!B:B"))</f>
        <v>227.5557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3"/>
      <c r="D16" s="1718"/>
      <c r="E16" s="88"/>
      <c r="F16" s="88"/>
      <c r="G16" s="89">
        <f>ROUND(SUMPRODUCT(G6:G13,K6:K13)/SUMPRODUCT((G6:G13&gt;0)*(K6:K13)),3)</f>
        <v>0.90600000000000003</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0"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1"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8.8">
      <c r="A27" s="1725" t="s">
        <v>1220</v>
      </c>
      <c r="B27" s="107"/>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8.8">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9.4" thickBot="1">
      <c r="A29" s="1728" t="s">
        <v>1222</v>
      </c>
      <c r="B29" s="112">
        <f>ROUND(B28*K16,0)</f>
        <v>17402</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8.8">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8.8">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9.4"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4">
      <c r="A33" s="1725" t="s">
        <v>1226</v>
      </c>
      <c r="B33" s="673">
        <v>0.03</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4">
      <c r="A34" s="1727" t="s">
        <v>1227</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4">
      <c r="A35" s="1727" t="s">
        <v>1228</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29"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7"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2309</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2"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2"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2"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4"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7" t="s">
        <v>1245</v>
      </c>
      <c r="B53" s="1736"/>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8" customWidth="1"/>
    <col min="4" max="4" width="2.6640625" style="2508" customWidth="1"/>
    <col min="5" max="5" width="5.88671875" style="2508" customWidth="1"/>
    <col min="6" max="6" width="27" style="1570"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4"/>
  </cols>
  <sheetData>
    <row r="1" spans="1:29" s="2455" customFormat="1" ht="18" thickBot="1">
      <c r="A1" s="3547" t="s">
        <v>2281</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7.200000000000003">
      <c r="A4" s="2440"/>
      <c r="B4" s="323" t="s">
        <v>2249</v>
      </c>
      <c r="C4" s="2466" t="s">
        <v>2250</v>
      </c>
      <c r="D4" s="2463"/>
      <c r="E4" s="2467"/>
      <c r="F4" s="1371" t="s">
        <v>2251</v>
      </c>
      <c r="G4" s="2468" t="s">
        <v>2252</v>
      </c>
      <c r="H4" s="799"/>
      <c r="I4" s="799"/>
      <c r="J4" s="799"/>
      <c r="K4" s="799"/>
      <c r="L4" s="799"/>
      <c r="M4" s="799"/>
      <c r="N4" s="799"/>
      <c r="O4" s="799"/>
      <c r="P4" s="799"/>
      <c r="Q4" s="799"/>
      <c r="R4" s="799"/>
    </row>
    <row r="5" spans="1:29" ht="37.200000000000003">
      <c r="A5" s="2440"/>
      <c r="B5" s="323" t="s">
        <v>2253</v>
      </c>
      <c r="C5" s="2466" t="s">
        <v>2254</v>
      </c>
      <c r="D5" s="2463"/>
      <c r="E5" s="2467"/>
      <c r="F5" s="323" t="s">
        <v>2255</v>
      </c>
      <c r="G5" s="2468" t="s">
        <v>2256</v>
      </c>
      <c r="H5" s="799"/>
      <c r="I5" s="799"/>
      <c r="J5" s="799"/>
      <c r="K5" s="799"/>
      <c r="L5" s="799"/>
      <c r="M5" s="799"/>
      <c r="N5" s="799"/>
      <c r="O5" s="799"/>
      <c r="P5" s="799"/>
      <c r="Q5" s="799"/>
      <c r="R5" s="799"/>
    </row>
    <row r="6" spans="1:29" ht="48">
      <c r="A6" s="2440"/>
      <c r="B6" s="323" t="s">
        <v>2257</v>
      </c>
      <c r="C6" s="2468" t="s">
        <v>2252</v>
      </c>
      <c r="D6" s="2463"/>
      <c r="E6" s="2467"/>
      <c r="F6" s="323" t="s">
        <v>2258</v>
      </c>
      <c r="G6" s="2468" t="s">
        <v>2259</v>
      </c>
      <c r="H6" s="799"/>
      <c r="I6" s="799"/>
      <c r="J6" s="799"/>
      <c r="K6" s="799"/>
      <c r="L6" s="799"/>
      <c r="M6" s="799"/>
      <c r="N6" s="799"/>
      <c r="O6" s="799"/>
      <c r="P6" s="799"/>
      <c r="Q6" s="799"/>
      <c r="R6" s="799"/>
    </row>
    <row r="7" spans="1:29" ht="36.6"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ht="24">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4.4"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2282</v>
      </c>
      <c r="B13" s="2482"/>
      <c r="C13" s="2482"/>
      <c r="D13" s="2480"/>
      <c r="E13" s="2482"/>
      <c r="F13" s="2482"/>
      <c r="G13" s="2482"/>
    </row>
    <row r="14" spans="1:29" ht="14.4" thickBot="1">
      <c r="A14" s="2492"/>
      <c r="B14" s="2492"/>
      <c r="C14" s="2493" t="s">
        <v>2265</v>
      </c>
      <c r="D14" s="2463"/>
      <c r="E14" s="2494"/>
      <c r="F14" s="2494"/>
      <c r="G14" s="2458" t="s">
        <v>2266</v>
      </c>
    </row>
    <row r="15" spans="1:29" ht="52.8">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9.6">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9.6">
      <c r="A17" s="2444"/>
      <c r="B17" s="2498" t="s">
        <v>2253</v>
      </c>
      <c r="C17" s="2499" t="str">
        <f>C5</f>
        <v>估价对象位于XX商圈，周边办公楼项目较多，入驻率高，办公集聚程度较好</v>
      </c>
      <c r="D17" s="2469"/>
      <c r="E17" s="2445"/>
      <c r="F17" s="2500" t="s">
        <v>2270</v>
      </c>
      <c r="G17" s="2502"/>
    </row>
    <row r="18" spans="1:18" ht="52.8">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6.4">
      <c r="A19" s="2444"/>
      <c r="B19" s="2500" t="s">
        <v>2271</v>
      </c>
      <c r="C19" s="2502"/>
      <c r="D19" s="2463"/>
      <c r="E19" s="2445"/>
      <c r="F19" s="323" t="s">
        <v>2255</v>
      </c>
      <c r="G19" s="2501" t="str">
        <f>G5</f>
        <v>估价对象所在区域公共配套设施齐备情况</v>
      </c>
    </row>
    <row r="20" spans="1:18" ht="26.4">
      <c r="A20" s="2444"/>
      <c r="B20" s="2500" t="s">
        <v>2272</v>
      </c>
      <c r="C20" s="2499" t="str">
        <f>C9</f>
        <v>区域自然环境：；人文环境；综合评价环境状况一般</v>
      </c>
      <c r="D20" s="2469"/>
      <c r="E20" s="2445"/>
      <c r="F20" s="323" t="s">
        <v>2258</v>
      </c>
      <c r="G20" s="2501" t="str">
        <f>G6</f>
        <v>估价对象所在区域基础设施水平</v>
      </c>
    </row>
    <row r="21" spans="1:18" ht="26.4">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4.4" thickBot="1">
      <c r="A23" s="2444"/>
      <c r="B23" s="2500" t="s">
        <v>2273</v>
      </c>
      <c r="C23" s="2503"/>
      <c r="D23" s="1739"/>
      <c r="E23" s="2446"/>
      <c r="F23" s="2504" t="s">
        <v>2274</v>
      </c>
      <c r="G23" s="2505"/>
      <c r="H23" s="2489"/>
      <c r="I23" s="2490"/>
      <c r="J23" s="2489"/>
      <c r="K23" s="2489"/>
      <c r="L23" s="2490"/>
      <c r="M23" s="2489"/>
      <c r="N23" s="2489"/>
      <c r="O23" s="2490"/>
      <c r="P23" s="2489"/>
      <c r="Q23" s="2489"/>
      <c r="R23" s="2491"/>
    </row>
    <row r="24" spans="1:18" s="799" customFormat="1" ht="14.4" thickBot="1">
      <c r="A24" s="2447"/>
      <c r="B24" s="2504" t="s">
        <v>2275</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C29" sqref="C29"/>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447.64</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45322</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1436</v>
      </c>
      <c r="C5" s="2510">
        <f ca="1">IF(B5=D14,结果表!H102,ROUND(B5*10000/$B$1,0))</f>
        <v>32079</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3355</v>
      </c>
      <c r="D10" s="2510" t="s">
        <v>3356</v>
      </c>
      <c r="E10" s="3439"/>
      <c r="F10" s="3443" t="s">
        <v>3357</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典型户型修正!B24+典型户型修正!B28</f>
        <v>228.20999999999998</v>
      </c>
      <c r="C14" s="2516"/>
      <c r="D14" s="2516">
        <f ca="1">典型户型修正!S24+典型户型修正!S28</f>
        <v>880</v>
      </c>
      <c r="E14" s="2516">
        <f ca="1">ROUND(D14*10000/B14,0)</f>
        <v>38561</v>
      </c>
      <c r="F14" s="2516" t="e">
        <f ca="1">ROUND(D14*10000/C14,0)</f>
        <v>#DIV/0!</v>
      </c>
      <c r="G14" s="2516"/>
      <c r="H14" s="2516"/>
      <c r="I14" s="2516"/>
      <c r="J14" s="2685"/>
      <c r="K14" s="2686"/>
    </row>
    <row r="15" spans="1:11" ht="15.6">
      <c r="A15" s="2515" t="s">
        <v>649</v>
      </c>
      <c r="B15" s="2517">
        <f>[2]系统读取表!$B$14</f>
        <v>219.43</v>
      </c>
      <c r="C15" s="2517"/>
      <c r="D15" s="2517">
        <f>[2]系统读取表!$D$14</f>
        <v>556</v>
      </c>
      <c r="E15" s="2516">
        <f t="shared" ref="E15:E23" si="0">ROUND(D15*10000/B15,0)</f>
        <v>25338</v>
      </c>
      <c r="F15" s="2516" t="e">
        <f t="shared" ref="F15:F23" si="1">ROUND(D15*10000/C15,0)</f>
        <v>#DIV/0!</v>
      </c>
      <c r="G15" s="1330"/>
      <c r="H15" s="1330"/>
      <c r="I15" s="2517"/>
      <c r="J15" s="2685"/>
      <c r="K15" s="2686"/>
    </row>
    <row r="16" spans="1:11" ht="15.6">
      <c r="A16" s="2515" t="s">
        <v>648</v>
      </c>
      <c r="B16" s="2517"/>
      <c r="C16" s="2517"/>
      <c r="D16" s="2517"/>
      <c r="E16" s="2516" t="e">
        <f t="shared" si="0"/>
        <v>#DIV/0!</v>
      </c>
      <c r="F16" s="2516" t="e">
        <f t="shared" si="1"/>
        <v>#DIV/0!</v>
      </c>
      <c r="G16" s="1330"/>
      <c r="H16" s="1330"/>
      <c r="I16" s="2517"/>
      <c r="J16" s="2686"/>
      <c r="K16" s="2686"/>
    </row>
    <row r="17" spans="1:11" ht="15.6">
      <c r="A17" s="2515" t="s">
        <v>647</v>
      </c>
      <c r="B17" s="2517"/>
      <c r="C17" s="2517"/>
      <c r="D17" s="2517"/>
      <c r="E17" s="2516" t="e">
        <f t="shared" si="0"/>
        <v>#DIV/0!</v>
      </c>
      <c r="F17" s="2516" t="e">
        <f t="shared" si="1"/>
        <v>#DIV/0!</v>
      </c>
      <c r="G17" s="1330"/>
      <c r="H17" s="1330"/>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H27" sqref="H27"/>
    </sheetView>
  </sheetViews>
  <sheetFormatPr defaultColWidth="12.6640625" defaultRowHeight="21.75" customHeight="1"/>
  <cols>
    <col min="1" max="2" width="12.6640625" style="1751"/>
    <col min="3" max="4" width="12.6640625" style="1751" customWidth="1"/>
    <col min="5" max="9" width="12.6640625" style="1751"/>
    <col min="10" max="11" width="12.6640625" style="725" customWidth="1"/>
    <col min="12" max="12" width="12.6640625" style="725"/>
    <col min="13" max="13" width="14.109375" style="725" bestFit="1" customWidth="1"/>
    <col min="14" max="26" width="12.6640625" style="725"/>
    <col min="27" max="35" width="12.6640625" style="1750"/>
    <col min="36" max="16384" width="12.6640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6" t="str">
        <f>项目基本情况!S2</f>
        <v>北京市房地产</v>
      </c>
      <c r="B2" s="3617"/>
      <c r="C2" s="3617"/>
      <c r="D2" s="3617"/>
      <c r="E2" s="3617"/>
      <c r="F2" s="3617"/>
      <c r="G2" s="3617"/>
      <c r="H2" s="3617"/>
      <c r="I2" s="3618"/>
    </row>
    <row r="3" spans="1:12" ht="13.2">
      <c r="A3" s="3620" t="s">
        <v>1264</v>
      </c>
      <c r="B3" s="3621"/>
      <c r="C3" s="3621"/>
      <c r="D3" s="3621"/>
      <c r="E3" s="3621"/>
      <c r="F3" s="3621"/>
      <c r="G3" s="3621"/>
      <c r="H3" s="3621"/>
      <c r="I3" s="3621"/>
    </row>
    <row r="4" spans="1:12" ht="14.4">
      <c r="A4" s="1752" t="s">
        <v>1265</v>
      </c>
      <c r="B4" s="1753" t="s">
        <v>1266</v>
      </c>
      <c r="C4" s="1754" t="s">
        <v>3416</v>
      </c>
      <c r="D4" s="1754" t="s">
        <v>3388</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4" t="s">
        <v>1268</v>
      </c>
      <c r="B5" s="3619">
        <v>25</v>
      </c>
      <c r="C5" s="3622"/>
      <c r="D5" s="3610"/>
      <c r="E5" s="131" t="s">
        <v>1269</v>
      </c>
      <c r="F5" s="1755"/>
      <c r="G5" s="1755"/>
      <c r="H5" s="1755"/>
      <c r="I5" s="1371"/>
    </row>
    <row r="6" spans="1:12" ht="13.2">
      <c r="A6" s="3564"/>
      <c r="B6" s="3619"/>
      <c r="C6" s="3624"/>
      <c r="D6" s="3610"/>
      <c r="E6" s="131" t="s">
        <v>1270</v>
      </c>
      <c r="F6" s="1755"/>
      <c r="G6" s="1755"/>
      <c r="H6" s="1755"/>
      <c r="I6" s="1371"/>
    </row>
    <row r="7" spans="1:12" ht="13.2">
      <c r="A7" s="3564"/>
      <c r="B7" s="3619"/>
      <c r="C7" s="3623"/>
      <c r="D7" s="3610"/>
      <c r="E7" s="131" t="s">
        <v>1271</v>
      </c>
      <c r="F7" s="1755"/>
      <c r="G7" s="1755"/>
      <c r="H7" s="1755"/>
      <c r="I7" s="1371"/>
    </row>
    <row r="8" spans="1:12" ht="13.2">
      <c r="A8" s="3564" t="s">
        <v>1272</v>
      </c>
      <c r="B8" s="3619">
        <v>15</v>
      </c>
      <c r="C8" s="3622"/>
      <c r="D8" s="3610"/>
      <c r="E8" s="131" t="s">
        <v>1273</v>
      </c>
      <c r="F8" s="1755"/>
      <c r="G8" s="1755"/>
      <c r="H8" s="1755"/>
      <c r="I8" s="1371"/>
    </row>
    <row r="9" spans="1:12" ht="13.2">
      <c r="A9" s="3564"/>
      <c r="B9" s="3619"/>
      <c r="C9" s="3623"/>
      <c r="D9" s="3610"/>
      <c r="E9" s="131" t="s">
        <v>1274</v>
      </c>
      <c r="F9" s="1755"/>
      <c r="G9" s="1755"/>
      <c r="H9" s="1755"/>
      <c r="I9" s="1371"/>
    </row>
    <row r="10" spans="1:12" ht="13.2">
      <c r="A10" s="3564" t="s">
        <v>1275</v>
      </c>
      <c r="B10" s="3619">
        <v>15</v>
      </c>
      <c r="C10" s="3622"/>
      <c r="D10" s="3610"/>
      <c r="E10" s="131" t="s">
        <v>1276</v>
      </c>
      <c r="F10" s="1755"/>
      <c r="G10" s="1755"/>
      <c r="H10" s="1755"/>
      <c r="I10" s="1371"/>
    </row>
    <row r="11" spans="1:12" ht="13.2">
      <c r="A11" s="3564"/>
      <c r="B11" s="3619"/>
      <c r="C11" s="3623"/>
      <c r="D11" s="3610"/>
      <c r="E11" s="131" t="s">
        <v>1277</v>
      </c>
      <c r="F11" s="1755"/>
      <c r="G11" s="1755"/>
      <c r="H11" s="1755"/>
      <c r="I11" s="1371"/>
    </row>
    <row r="12" spans="1:12" ht="13.2">
      <c r="A12" s="3564" t="s">
        <v>1278</v>
      </c>
      <c r="B12" s="3619">
        <v>15</v>
      </c>
      <c r="C12" s="3622"/>
      <c r="D12" s="3610"/>
      <c r="E12" s="131" t="s">
        <v>1279</v>
      </c>
      <c r="F12" s="1755"/>
      <c r="G12" s="1755"/>
      <c r="H12" s="1755"/>
      <c r="I12" s="1371"/>
    </row>
    <row r="13" spans="1:12" ht="13.2">
      <c r="A13" s="3564"/>
      <c r="B13" s="3619"/>
      <c r="C13" s="3623"/>
      <c r="D13" s="3610"/>
      <c r="E13" s="131" t="s">
        <v>1280</v>
      </c>
      <c r="F13" s="1755"/>
      <c r="G13" s="1755"/>
      <c r="H13" s="1755"/>
      <c r="I13" s="1371"/>
    </row>
    <row r="14" spans="1:12" ht="13.2">
      <c r="A14" s="3564" t="s">
        <v>1281</v>
      </c>
      <c r="B14" s="3619">
        <v>30</v>
      </c>
      <c r="C14" s="3622">
        <v>7</v>
      </c>
      <c r="D14" s="3610">
        <v>3</v>
      </c>
      <c r="E14" s="131" t="s">
        <v>1282</v>
      </c>
      <c r="F14" s="1755"/>
      <c r="G14" s="1755"/>
      <c r="H14" s="1755"/>
      <c r="I14" s="1371"/>
    </row>
    <row r="15" spans="1:12" ht="13.2">
      <c r="A15" s="3564"/>
      <c r="B15" s="3619"/>
      <c r="C15" s="3624"/>
      <c r="D15" s="3610"/>
      <c r="E15" s="131" t="s">
        <v>1283</v>
      </c>
      <c r="F15" s="1755"/>
      <c r="G15" s="1755"/>
      <c r="H15" s="1755"/>
      <c r="I15" s="1371"/>
    </row>
    <row r="16" spans="1:12" ht="13.2">
      <c r="A16" s="3564"/>
      <c r="B16" s="3619"/>
      <c r="C16" s="3623"/>
      <c r="D16" s="3610"/>
      <c r="E16" s="131" t="s">
        <v>1284</v>
      </c>
      <c r="F16" s="1755"/>
      <c r="G16" s="1755"/>
      <c r="H16" s="1755"/>
      <c r="I16" s="1371"/>
    </row>
    <row r="17" spans="1:36" ht="14.4">
      <c r="A17" s="1756" t="s">
        <v>1285</v>
      </c>
      <c r="B17" s="56"/>
      <c r="C17" s="132">
        <f>SUM(C5:C16)</f>
        <v>7</v>
      </c>
      <c r="D17" s="132">
        <f>SUM(D5:D16)</f>
        <v>3</v>
      </c>
      <c r="E17" s="129"/>
      <c r="F17" s="129"/>
      <c r="G17" s="129"/>
      <c r="H17" s="129"/>
      <c r="I17" s="129"/>
      <c r="K17" s="302"/>
      <c r="L17" s="302" t="s">
        <v>1286</v>
      </c>
      <c r="M17" s="302" t="s">
        <v>1287</v>
      </c>
    </row>
    <row r="18" spans="1:36" ht="31.95" customHeight="1" thickBot="1">
      <c r="A18" s="1757" t="s">
        <v>1288</v>
      </c>
      <c r="B18" s="1758"/>
      <c r="C18" s="133">
        <f>ROUND(C17/SUM(C17:D17),2)</f>
        <v>0.7</v>
      </c>
      <c r="D18" s="133">
        <f>1-C18</f>
        <v>0.30000000000000004</v>
      </c>
      <c r="E18" s="3641" t="s">
        <v>2126</v>
      </c>
      <c r="F18" s="3642"/>
      <c r="G18" s="3642"/>
      <c r="H18" s="3642"/>
      <c r="I18" s="3642"/>
      <c r="K18" s="302" t="s">
        <v>1289</v>
      </c>
      <c r="L18" s="302">
        <f>IF(C1="",'数据-汇总表'!E3,SUMIF(项目类型,C1,'数据-汇总表'!E17:E26)+SUMIF(项目类型,C1,'数据-汇总表'!I17:I26))</f>
        <v>87.01</v>
      </c>
      <c r="M18" s="302">
        <f>IF(C1="",'数据-汇总表'!E3,SUMIF(项目类型,C1,'数据-汇总表'!E17:E26))</f>
        <v>87.01</v>
      </c>
    </row>
    <row r="19" spans="1:36" ht="14.4">
      <c r="A19" s="1759" t="s">
        <v>1290</v>
      </c>
      <c r="B19" s="1760" t="s">
        <v>1291</v>
      </c>
      <c r="C19" s="134">
        <f ca="1">SUMIF(INDIRECT("'"&amp;C4&amp;"'"&amp;"!A:A"),结果表!B19,INDIRECT("'"&amp;C4&amp;"'"&amp;"!B:B"))</f>
        <v>394.12920000000003</v>
      </c>
      <c r="D19" s="135">
        <f ca="1">SUMIF(INDIRECT("'"&amp;D4&amp;"'"&amp;"!A:A"),结果表!B19,INDIRECT("'"&amp;D4&amp;"'"&amp;"!B:B"))</f>
        <v>227.5557</v>
      </c>
      <c r="E19" s="1759" t="s">
        <v>1292</v>
      </c>
      <c r="F19" s="1760" t="s">
        <v>1291</v>
      </c>
      <c r="G19" s="136">
        <f ca="1">ROUND(C19*$C$18+D19*$D$18,0)</f>
        <v>344</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2"/>
      <c r="B20" s="1025" t="s">
        <v>1295</v>
      </c>
      <c r="C20" s="137">
        <f ca="1">SUMIF(INDIRECT("'"&amp;C4&amp;"'"&amp;"!A:A"),结果表!B20,INDIRECT("'"&amp;C4&amp;"'"&amp;"!B:B"))</f>
        <v>45297</v>
      </c>
      <c r="D20" s="138">
        <f ca="1">SUMIF(INDIRECT("'"&amp;D4&amp;"'"&amp;"!A:A"),结果表!B20,INDIRECT("'"&amp;D4&amp;"'"&amp;"!B:B"))</f>
        <v>26153</v>
      </c>
      <c r="E20" s="1762"/>
      <c r="F20" s="1025" t="s">
        <v>1295</v>
      </c>
      <c r="G20" s="139">
        <f ca="1">ROUND(C20*$C$18+D20*$D$18,0)</f>
        <v>39554</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f ca="1">IF(C19&lt;D19,D19/C19-1,C19/D19-1)</f>
        <v>0.73201198651582899</v>
      </c>
      <c r="E22" s="129"/>
      <c r="F22" s="129"/>
      <c r="G22" s="129"/>
      <c r="H22" s="129"/>
      <c r="I22" s="129"/>
    </row>
    <row r="23" spans="1:36" ht="13.8" thickBot="1">
      <c r="A23" s="1745"/>
      <c r="B23" s="1745"/>
      <c r="C23" s="1745"/>
      <c r="D23" s="1745"/>
      <c r="E23" s="129"/>
      <c r="F23" s="129"/>
      <c r="G23" s="129"/>
      <c r="H23" s="129"/>
      <c r="I23" s="129"/>
    </row>
    <row r="24" spans="1:36" ht="14.4">
      <c r="A24" s="3634" t="s">
        <v>1299</v>
      </c>
      <c r="B24" s="1760" t="s">
        <v>1291</v>
      </c>
      <c r="C24" s="136">
        <f>IF(B30=0,0,D30)</f>
        <v>0</v>
      </c>
      <c r="D24" s="1767"/>
      <c r="E24" s="129"/>
      <c r="F24" s="129"/>
      <c r="G24" s="129"/>
      <c r="H24" s="129"/>
      <c r="I24" s="129"/>
    </row>
    <row r="25" spans="1:36" ht="14.4">
      <c r="A25" s="3635"/>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1" t="s">
        <v>2127</v>
      </c>
      <c r="F30" s="129"/>
      <c r="G30" s="129"/>
      <c r="H30" s="129"/>
      <c r="I30" s="129"/>
    </row>
    <row r="31" spans="1:36" s="2307" customFormat="1" ht="26.4"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1305</v>
      </c>
      <c r="B32" s="1772"/>
      <c r="C32" s="144">
        <f ca="1">IF(D32="总价",G19-C24,G20-C25)</f>
        <v>39554</v>
      </c>
      <c r="D32" s="1773"/>
      <c r="E32" s="129"/>
      <c r="F32" s="129"/>
      <c r="G32" s="129"/>
      <c r="H32" s="129"/>
      <c r="I32" s="129"/>
    </row>
    <row r="33" spans="1:15" ht="14.4">
      <c r="A33" s="786" t="s">
        <v>1306</v>
      </c>
      <c r="B33" s="1774"/>
      <c r="C33" s="1775"/>
      <c r="D33" s="1776"/>
      <c r="E33" s="1777" t="s">
        <v>1307</v>
      </c>
      <c r="F33" s="1778" t="str">
        <f>IF(D32="楼面单价","取值（单价）","取值（总价）")</f>
        <v>取值（总价）</v>
      </c>
      <c r="G33" s="129"/>
      <c r="H33" s="129"/>
      <c r="I33" s="129"/>
    </row>
    <row r="34" spans="1:15" ht="14.4">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29"/>
      <c r="G34" s="129"/>
      <c r="H34" s="129"/>
      <c r="I34" s="129"/>
    </row>
    <row r="35" spans="1:15" ht="1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 thickBot="1">
      <c r="A36" s="3611" t="s">
        <v>1312</v>
      </c>
      <c r="B36" s="1785" t="s">
        <v>1313</v>
      </c>
      <c r="C36" s="145"/>
      <c r="D36" s="1786"/>
      <c r="E36" s="1787"/>
      <c r="F36" s="1788"/>
      <c r="G36" s="129"/>
      <c r="H36" s="129"/>
      <c r="I36" s="129"/>
    </row>
    <row r="37" spans="1:15" ht="15" thickBot="1">
      <c r="A37" s="3612"/>
      <c r="B37" s="1672" t="s">
        <v>1314</v>
      </c>
      <c r="C37" s="147"/>
      <c r="D37" s="1138"/>
      <c r="E37" s="1138"/>
      <c r="F37" s="1788"/>
      <c r="G37" s="129"/>
      <c r="H37" s="129"/>
      <c r="I37" s="129"/>
    </row>
    <row r="38" spans="1:15" ht="15" thickBot="1">
      <c r="A38" s="3613"/>
      <c r="B38" s="1789" t="s">
        <v>1315</v>
      </c>
      <c r="C38" s="674"/>
      <c r="D38" s="1790" t="s">
        <v>1316</v>
      </c>
      <c r="E38" s="1138"/>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1" t="s">
        <v>1326</v>
      </c>
      <c r="B45" s="3632"/>
      <c r="C45" s="3633"/>
      <c r="D45" s="155" t="e">
        <f ca="1">ROUND(H101*F45,0)</f>
        <v>#REF!</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4"/>
      <c r="I46" s="159"/>
      <c r="J46" s="2521">
        <v>1</v>
      </c>
      <c r="K46" s="3552" t="s">
        <v>1331</v>
      </c>
      <c r="L46" s="3552"/>
      <c r="M46" s="3553"/>
      <c r="N46" s="3553"/>
      <c r="O46" s="3553"/>
    </row>
    <row r="47" spans="1:15" ht="12" customHeight="1">
      <c r="A47" s="160" t="s">
        <v>1332</v>
      </c>
      <c r="B47" s="161"/>
      <c r="C47" s="162"/>
      <c r="D47" s="1086" t="s">
        <v>1333</v>
      </c>
      <c r="E47" s="302" t="s">
        <v>1334</v>
      </c>
      <c r="F47" s="163" t="s">
        <v>1335</v>
      </c>
      <c r="G47" s="2544" t="s">
        <v>1336</v>
      </c>
      <c r="H47" s="2545"/>
      <c r="I47" s="159"/>
      <c r="J47" s="2521">
        <v>2</v>
      </c>
      <c r="K47" s="3552" t="s">
        <v>1337</v>
      </c>
      <c r="L47" s="3552"/>
      <c r="M47" s="3554">
        <f>'数据-取费表'!B2</f>
        <v>45322</v>
      </c>
      <c r="N47" s="3554"/>
      <c r="O47" s="3554"/>
    </row>
    <row r="48" spans="1:15" ht="26.4">
      <c r="A48" s="3614" t="s">
        <v>1338</v>
      </c>
      <c r="B48" s="3615"/>
      <c r="C48" s="361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2" t="s">
        <v>1340</v>
      </c>
      <c r="L48" s="3552"/>
      <c r="M48" s="3555" t="e">
        <f ca="1">H101</f>
        <v>#REF!</v>
      </c>
      <c r="N48" s="3555"/>
      <c r="O48" s="3555"/>
    </row>
    <row r="49" spans="1:35" ht="25.5" customHeight="1">
      <c r="A49" s="2331" t="s">
        <v>1341</v>
      </c>
      <c r="B49" s="3600" t="s">
        <v>1342</v>
      </c>
      <c r="C49" s="3600"/>
      <c r="D49" s="1588">
        <v>0</v>
      </c>
      <c r="E49" s="324" t="s">
        <v>1343</v>
      </c>
      <c r="F49" s="2422" t="s">
        <v>28</v>
      </c>
      <c r="G49" s="3583"/>
      <c r="H49" s="2308" t="s">
        <v>2129</v>
      </c>
      <c r="I49" s="2309"/>
      <c r="J49" s="2521">
        <v>4</v>
      </c>
      <c r="K49" s="3552" t="str">
        <f>IF(项目基本情况!E8="房地产抵押价值","房地产抵押价值","抵押担保权已注销时的房地产抵押价值")</f>
        <v>房地产抵押价值</v>
      </c>
      <c r="L49" s="3552"/>
      <c r="M49" s="3555" t="str">
        <f ca="1">IF(项目基本情况!E8="房地产抵押价值",H107,H109)</f>
        <v>——</v>
      </c>
      <c r="N49" s="3555"/>
      <c r="O49" s="3555"/>
    </row>
    <row r="50" spans="1:35" ht="25.5" customHeight="1">
      <c r="A50" s="2549"/>
      <c r="B50" s="3600" t="s">
        <v>1344</v>
      </c>
      <c r="C50" s="3600"/>
      <c r="D50" s="2550"/>
      <c r="E50" s="332"/>
      <c r="F50" s="2422"/>
      <c r="G50" s="3584"/>
      <c r="H50" s="2310" t="s">
        <v>2130</v>
      </c>
      <c r="I50" s="2309"/>
      <c r="J50" s="3551" t="s">
        <v>1345</v>
      </c>
      <c r="K50" s="3551"/>
      <c r="L50" s="3551"/>
      <c r="M50" s="3551"/>
      <c r="N50" s="3551"/>
      <c r="O50" s="3551"/>
    </row>
    <row r="51" spans="1:35" ht="20.399999999999999" customHeight="1">
      <c r="A51" s="2551"/>
      <c r="B51" s="3600" t="s">
        <v>1346</v>
      </c>
      <c r="C51" s="3600"/>
      <c r="D51" s="1086"/>
      <c r="E51" s="327"/>
      <c r="F51" s="2422"/>
      <c r="G51" s="3585"/>
      <c r="H51" s="2310" t="s">
        <v>2131</v>
      </c>
      <c r="I51" s="2309"/>
      <c r="J51" s="2522" t="s">
        <v>1347</v>
      </c>
      <c r="K51" s="3552" t="s">
        <v>1348</v>
      </c>
      <c r="L51" s="3552"/>
      <c r="M51" s="2522" t="s">
        <v>1349</v>
      </c>
      <c r="N51" s="2522" t="s">
        <v>1350</v>
      </c>
      <c r="O51" s="2522" t="s">
        <v>1351</v>
      </c>
    </row>
    <row r="52" spans="1:35" ht="24" customHeight="1">
      <c r="A52" s="2333" t="s">
        <v>1352</v>
      </c>
      <c r="B52" s="3600" t="s">
        <v>1353</v>
      </c>
      <c r="C52" s="3600"/>
      <c r="D52" s="1086" t="e">
        <f ca="1">ROUND(D45*'数据-取费表'!B41/(1+'数据-取费表'!C42),0)</f>
        <v>#REF!</v>
      </c>
      <c r="E52" s="2332" t="s">
        <v>1354</v>
      </c>
      <c r="F52" s="2552">
        <f>'数据-取费表'!B41</f>
        <v>5.6000000000000001E-2</v>
      </c>
      <c r="G52" s="2553"/>
      <c r="H52" s="2542"/>
      <c r="I52" s="1805"/>
      <c r="J52" s="2521">
        <v>1</v>
      </c>
      <c r="K52" s="3577" t="s">
        <v>1355</v>
      </c>
      <c r="L52" s="3577"/>
      <c r="M52" s="2523" t="b">
        <f>D48</f>
        <v>0</v>
      </c>
      <c r="N52" s="2521" t="str">
        <f>E48</f>
        <v>销售额×税（费）率</v>
      </c>
      <c r="O52" s="2524">
        <f>F48</f>
        <v>5.6000000000000001E-2</v>
      </c>
    </row>
    <row r="53" spans="1:35" ht="12" customHeight="1">
      <c r="A53" s="2333" t="s">
        <v>1356</v>
      </c>
      <c r="B53" s="3601" t="s">
        <v>2286</v>
      </c>
      <c r="C53" s="3602"/>
      <c r="D53" s="1086" t="e">
        <f ca="1">ROUND(D45*'数据-取费表'!B41/(1+'数据-取费表'!C42),0)</f>
        <v>#REF!</v>
      </c>
      <c r="E53" s="2332" t="s">
        <v>1354</v>
      </c>
      <c r="F53" s="2552">
        <f>'数据-取费表'!B41</f>
        <v>5.6000000000000001E-2</v>
      </c>
      <c r="G53" s="2553"/>
      <c r="H53" s="2542"/>
      <c r="I53" s="1805"/>
      <c r="J53" s="2521">
        <v>2</v>
      </c>
      <c r="K53" s="3577" t="s">
        <v>1357</v>
      </c>
      <c r="L53" s="3577"/>
      <c r="M53" s="2523" t="e">
        <f t="shared" ref="M53:O54" ca="1" si="0">D55</f>
        <v>#REF!</v>
      </c>
      <c r="N53" s="2521" t="str">
        <f t="shared" si="0"/>
        <v>销售额×税（费）率</v>
      </c>
      <c r="O53" s="2524" t="str">
        <f t="shared" si="0"/>
        <v>免征</v>
      </c>
    </row>
    <row r="54" spans="1:35" ht="12" customHeight="1">
      <c r="A54" s="2333" t="s">
        <v>1358</v>
      </c>
      <c r="B54" s="3601" t="s">
        <v>2287</v>
      </c>
      <c r="C54" s="3602"/>
      <c r="D54" s="1086" t="e">
        <f ca="1">C68</f>
        <v>#REF!</v>
      </c>
      <c r="E54" s="327" t="s">
        <v>1359</v>
      </c>
      <c r="F54" s="2552">
        <f>'数据-取费表'!B41</f>
        <v>5.6000000000000001E-2</v>
      </c>
      <c r="G54" s="2553"/>
      <c r="H54" s="2554"/>
      <c r="I54" s="1805"/>
      <c r="J54" s="2521">
        <v>3</v>
      </c>
      <c r="K54" s="3577" t="s">
        <v>1360</v>
      </c>
      <c r="L54" s="3577"/>
      <c r="M54" s="2523" t="e">
        <f t="shared" ca="1" si="0"/>
        <v>#REF!</v>
      </c>
      <c r="N54" s="2521" t="str">
        <f t="shared" si="0"/>
        <v>增值额×税（费）率</v>
      </c>
      <c r="O54" s="2525" t="str">
        <f t="shared" si="0"/>
        <v>免征</v>
      </c>
    </row>
    <row r="55" spans="1:35" ht="24" customHeight="1">
      <c r="A55" s="3637" t="s">
        <v>1361</v>
      </c>
      <c r="B55" s="3615"/>
      <c r="C55" s="3615"/>
      <c r="D55" s="2322" t="e">
        <f ca="1">IF(H55="个人住宅",0,ROUND(D45*I55,0))</f>
        <v>#REF!</v>
      </c>
      <c r="E55" s="2332" t="s">
        <v>1362</v>
      </c>
      <c r="F55" s="2552" t="str">
        <f>IF(H55="正常",I55,"免征")</f>
        <v>免征</v>
      </c>
      <c r="G55" s="2553"/>
      <c r="H55" s="2548"/>
      <c r="I55" s="165">
        <f>'数据-取费表'!B49</f>
        <v>5.0000000000000001E-4</v>
      </c>
      <c r="J55" s="2521">
        <f>IF(H59="非个人房产","",4)</f>
        <v>4</v>
      </c>
      <c r="K55" s="3577" t="str">
        <f>IF(H59="非个人房产","——","个人所得税")</f>
        <v>个人所得税</v>
      </c>
      <c r="L55" s="3577"/>
      <c r="M55" s="2526" t="e">
        <f ca="1">D59</f>
        <v>#REF!</v>
      </c>
      <c r="N55" s="2038" t="str">
        <f>E59</f>
        <v>差额计税</v>
      </c>
      <c r="O55" s="2527">
        <f>F59</f>
        <v>0.01</v>
      </c>
    </row>
    <row r="56" spans="1:35" ht="25.2">
      <c r="A56" s="3637" t="s">
        <v>1363</v>
      </c>
      <c r="B56" s="3615"/>
      <c r="C56" s="3615"/>
      <c r="D56" s="2322" t="e">
        <f ca="1">IF(H56="个人住宅",D57,D58)</f>
        <v>#REF!</v>
      </c>
      <c r="E56" s="2332" t="s">
        <v>1364</v>
      </c>
      <c r="F56" s="2552" t="str">
        <f>IF(H56="正常",F58,"免征")</f>
        <v>免征</v>
      </c>
      <c r="G56" s="2555" t="s">
        <v>1365</v>
      </c>
      <c r="H56" s="2556"/>
      <c r="I56" s="1806"/>
      <c r="J56" s="2521" t="str">
        <f>IF(项目基本情况!K6="上海银行",IF(J55="",4,J55+1),"")</f>
        <v/>
      </c>
      <c r="K56" s="3558" t="str">
        <f>IF(项目基本情况!K6="上海银行","其他处置费用","")</f>
        <v/>
      </c>
      <c r="L56" s="3559"/>
      <c r="M56" s="2523" t="str">
        <f>IF(项目基本情况!K6="上海银行",M69,"")</f>
        <v/>
      </c>
      <c r="N56" s="3558" t="str">
        <f>IF(项目基本情况!K6="上海银行","包含处置中涉及的律师、诉讼、拍卖、评估等费用","")</f>
        <v/>
      </c>
      <c r="O56" s="3561"/>
    </row>
    <row r="57" spans="1:35" ht="13.2">
      <c r="A57" s="2333" t="s">
        <v>1341</v>
      </c>
      <c r="B57" s="3601" t="s">
        <v>1366</v>
      </c>
      <c r="C57" s="3602"/>
      <c r="D57" s="1588">
        <v>0</v>
      </c>
      <c r="E57" s="324" t="s">
        <v>1343</v>
      </c>
      <c r="F57" s="302"/>
      <c r="G57" s="2553"/>
      <c r="H57" s="2557"/>
      <c r="I57" s="1806"/>
      <c r="J57" s="3577">
        <f>IF(AND(J55="",J56=""),4,IF(项目基本情况!K6="上海银行",结果表!J56+1,结果表!J55+1))</f>
        <v>5</v>
      </c>
      <c r="K57" s="3577" t="s">
        <v>1367</v>
      </c>
      <c r="L57" s="2528" t="s">
        <v>1368</v>
      </c>
      <c r="M57" s="2529"/>
      <c r="N57" s="2530">
        <f ca="1">SUMIF(M52:M56,"&lt;9e307")</f>
        <v>0</v>
      </c>
      <c r="O57" s="2531"/>
      <c r="P57" s="2688" t="e">
        <f ca="1">N57/M49</f>
        <v>#VALUE!</v>
      </c>
    </row>
    <row r="58" spans="1:35" ht="25.2">
      <c r="A58" s="2333" t="s">
        <v>1352</v>
      </c>
      <c r="B58" s="3601" t="s">
        <v>1369</v>
      </c>
      <c r="C58" s="3600"/>
      <c r="D58" s="2322" t="e">
        <f ca="1">IF(H58="转让取得",C81,C97)</f>
        <v>#REF!</v>
      </c>
      <c r="E58" s="2332" t="s">
        <v>1364</v>
      </c>
      <c r="F58" s="302" t="s">
        <v>28</v>
      </c>
      <c r="G58" s="2553"/>
      <c r="H58" s="2556"/>
      <c r="I58" s="1806"/>
      <c r="J58" s="3577"/>
      <c r="K58" s="3577"/>
      <c r="L58" s="2528" t="s">
        <v>1370</v>
      </c>
      <c r="M58" s="2532"/>
      <c r="N58" s="2533" t="str">
        <f ca="1">NUMBERSTRING(INT(N57*10000),2)&amp;"元整"</f>
        <v>零元整</v>
      </c>
      <c r="O58" s="2534"/>
    </row>
    <row r="59" spans="1:35" ht="24.6" thickBot="1">
      <c r="A59" s="3581" t="s">
        <v>1371</v>
      </c>
      <c r="B59" s="3582"/>
      <c r="C59" s="358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2132</v>
      </c>
      <c r="J59" s="3579">
        <f>J57+1</f>
        <v>6</v>
      </c>
      <c r="K59" s="3577" t="s">
        <v>1372</v>
      </c>
      <c r="L59" s="2521" t="s">
        <v>1368</v>
      </c>
      <c r="M59" s="2535"/>
      <c r="N59" s="2536" t="e">
        <f ca="1">M49-N57</f>
        <v>#VALUE!</v>
      </c>
      <c r="O59" s="2537"/>
    </row>
    <row r="60" spans="1:35" ht="12" customHeight="1">
      <c r="A60" s="1807"/>
      <c r="B60" s="1745"/>
      <c r="C60" s="1745"/>
      <c r="D60" s="1745"/>
      <c r="E60" s="1576"/>
      <c r="F60" s="1806"/>
      <c r="G60" s="1806"/>
      <c r="H60" s="1808"/>
      <c r="I60" s="129"/>
      <c r="J60" s="3580"/>
      <c r="K60" s="3577"/>
      <c r="L60" s="2528" t="s">
        <v>1370</v>
      </c>
      <c r="M60" s="2532"/>
      <c r="N60" s="2533" t="e">
        <f ca="1">NUMBERSTRING(INT(N59*10000),2)&amp;"元整"</f>
        <v>#VALUE!</v>
      </c>
      <c r="O60" s="2534"/>
    </row>
    <row r="61" spans="1:35" ht="13.8" thickBot="1">
      <c r="A61" s="3636" t="s">
        <v>1373</v>
      </c>
      <c r="B61" s="3636"/>
      <c r="C61" s="3636"/>
      <c r="D61" s="3636"/>
      <c r="E61" s="3636"/>
      <c r="F61" s="1806"/>
      <c r="G61" s="1806"/>
      <c r="H61" s="1808"/>
      <c r="I61" s="129"/>
      <c r="J61" s="2521">
        <f>J59+1</f>
        <v>7</v>
      </c>
      <c r="K61" s="3577" t="s">
        <v>1374</v>
      </c>
      <c r="L61" s="3577"/>
      <c r="M61" s="2538"/>
      <c r="N61" s="2539" t="e">
        <f ca="1">ROUND(N59*10000/'数据-汇总表'!E3,0)</f>
        <v>#VALUE!</v>
      </c>
      <c r="O61" s="2540"/>
    </row>
    <row r="62" spans="1:35" ht="13.2">
      <c r="A62" s="3596" t="s">
        <v>1375</v>
      </c>
      <c r="B62" s="3597"/>
      <c r="C62" s="2019"/>
      <c r="D62" s="2019" t="s">
        <v>1376</v>
      </c>
      <c r="E62" s="166" t="s">
        <v>1377</v>
      </c>
      <c r="F62" s="1806"/>
      <c r="G62" s="1806"/>
      <c r="H62" s="1808"/>
      <c r="I62" s="129"/>
    </row>
    <row r="63" spans="1:35" ht="13.2">
      <c r="A63" s="173" t="s">
        <v>330</v>
      </c>
      <c r="B63" s="167" t="s">
        <v>1378</v>
      </c>
      <c r="C63" s="2562" t="e">
        <f ca="1">ROUND((C64+C65)/(1+'数据-取费表'!C42),0)</f>
        <v>#REF!</v>
      </c>
      <c r="D63" s="167"/>
      <c r="E63" s="168"/>
      <c r="F63" s="1806"/>
      <c r="G63" s="1806"/>
      <c r="H63" s="1808"/>
      <c r="I63" s="129"/>
      <c r="J63" s="3560" t="s">
        <v>1379</v>
      </c>
      <c r="K63" s="1331" t="s">
        <v>1380</v>
      </c>
      <c r="L63" s="1331"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560"/>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560"/>
      <c r="K65" s="1331" t="s">
        <v>1385</v>
      </c>
      <c r="L65" s="1331"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560"/>
      <c r="K66" s="1331" t="s">
        <v>1387</v>
      </c>
      <c r="L66" s="1331"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60"/>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60"/>
      <c r="K68" s="1331" t="s">
        <v>1392</v>
      </c>
      <c r="L68" s="1331"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560"/>
      <c r="K69" s="1331" t="s">
        <v>1393</v>
      </c>
      <c r="L69" s="1331"/>
      <c r="M69" s="302" t="e">
        <f ca="1">ROUND(SUM(M63:M68),0)</f>
        <v>#VALUE!</v>
      </c>
      <c r="N69" s="2543"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4.4" thickBot="1">
      <c r="A70" s="3604" t="s">
        <v>1394</v>
      </c>
      <c r="B70" s="3605"/>
      <c r="C70" s="3605"/>
      <c r="D70" s="3605"/>
      <c r="E70" s="3605"/>
      <c r="F70" s="3605"/>
      <c r="G70" s="3605"/>
      <c r="H70" s="360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596" t="s">
        <v>1375</v>
      </c>
      <c r="B71" s="359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1" t="s">
        <v>1402</v>
      </c>
      <c r="F76" s="3600"/>
      <c r="G76" s="3600"/>
      <c r="H76" s="360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93" t="s">
        <v>1406</v>
      </c>
      <c r="F78" s="3594"/>
      <c r="G78" s="3594"/>
      <c r="H78" s="359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04" t="s">
        <v>1410</v>
      </c>
      <c r="B83" s="3605"/>
      <c r="C83" s="3605"/>
      <c r="D83" s="3605"/>
      <c r="E83" s="3605"/>
      <c r="F83" s="3605"/>
      <c r="G83" s="3605"/>
      <c r="H83" s="360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596" t="s">
        <v>1375</v>
      </c>
      <c r="B84" s="359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80"/>
      <c r="D90" s="2575"/>
      <c r="E90" s="193" t="str">
        <f>IF(H88="-","土地取得成本中已包含该笔费用"," ")</f>
        <v xml:space="preserve"> </v>
      </c>
      <c r="F90" s="2325"/>
      <c r="G90" s="3562" t="s">
        <v>2124</v>
      </c>
      <c r="H90" s="3563"/>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3" t="s">
        <v>1419</v>
      </c>
      <c r="F91" s="3594"/>
      <c r="G91" s="359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3" t="s">
        <v>1422</v>
      </c>
      <c r="F92" s="3594"/>
      <c r="G92" s="3594"/>
      <c r="H92" s="3595"/>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93" t="s">
        <v>1406</v>
      </c>
      <c r="F93" s="3594"/>
      <c r="G93" s="3594"/>
      <c r="H93" s="359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8" t="s">
        <v>1426</v>
      </c>
      <c r="F94" s="3639"/>
      <c r="G94" s="3639"/>
      <c r="H94" s="364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3" t="str">
        <f>C4</f>
        <v>比较法-商业</v>
      </c>
      <c r="D101" s="2584" t="str">
        <f>D4</f>
        <v>收益法 (元)</v>
      </c>
      <c r="E101" s="3556" t="s">
        <v>1431</v>
      </c>
      <c r="F101" s="3557"/>
      <c r="G101" s="1825" t="s">
        <v>1432</v>
      </c>
      <c r="H101" s="2593" t="e">
        <f ca="1">H118</f>
        <v>#REF!</v>
      </c>
      <c r="I101" s="129"/>
    </row>
    <row r="102" spans="1:35" ht="18.75" customHeight="1">
      <c r="A102" s="3588" t="s">
        <v>1433</v>
      </c>
      <c r="B102" s="2582" t="s">
        <v>1432</v>
      </c>
      <c r="C102" s="2583">
        <f ca="1">IF(D32="楼面单价",ROUND(C19,0),C19)</f>
        <v>394.12920000000003</v>
      </c>
      <c r="D102" s="2584">
        <f ca="1">IF(D32="楼面单价",ROUND(D19,0),D19)</f>
        <v>227.5557</v>
      </c>
      <c r="E102" s="3556"/>
      <c r="F102" s="3557"/>
      <c r="G102" s="1825" t="s">
        <v>1434</v>
      </c>
      <c r="H102" s="2553" t="e">
        <f ca="1">I118</f>
        <v>#REF!</v>
      </c>
      <c r="I102" s="129"/>
    </row>
    <row r="103" spans="1:35" ht="42.75" customHeight="1">
      <c r="A103" s="3588"/>
      <c r="B103" s="2582" t="s">
        <v>1434</v>
      </c>
      <c r="C103" s="2585">
        <f ca="1">C20</f>
        <v>45297</v>
      </c>
      <c r="D103" s="2586">
        <f ca="1">D20</f>
        <v>26153</v>
      </c>
      <c r="E103" s="3549" t="s">
        <v>1435</v>
      </c>
      <c r="F103" s="3550"/>
      <c r="G103" s="1826" t="s">
        <v>1436</v>
      </c>
      <c r="H103" s="2593">
        <f>IF(D36="正常操作",H104+H105+H106,H105+H106)</f>
        <v>0</v>
      </c>
      <c r="I103" s="129"/>
    </row>
    <row r="104" spans="1:35" ht="18.75" customHeight="1">
      <c r="A104" s="3588"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598"/>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9" t="str">
        <f>IF(项目基本情况!E8="已注销","——","3.房地产抵押价值")</f>
        <v>3.房地产抵押价值</v>
      </c>
      <c r="F107" s="3557"/>
      <c r="G107" s="1825" t="s">
        <v>1432</v>
      </c>
      <c r="H107" s="2593" t="e">
        <f ca="1">IF(E107="——","——",H101-H103)</f>
        <v>#REF!</v>
      </c>
      <c r="I107" s="129"/>
    </row>
    <row r="108" spans="1:35" ht="18.75" customHeight="1">
      <c r="A108" s="129"/>
      <c r="B108" s="129"/>
      <c r="C108" s="129"/>
      <c r="D108" s="129"/>
      <c r="E108" s="3589"/>
      <c r="F108" s="3557"/>
      <c r="G108" s="1825" t="s">
        <v>1434</v>
      </c>
      <c r="H108" s="2553">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5" t="s">
        <v>1432</v>
      </c>
      <c r="H109" s="2596" t="str">
        <f>IF(E109="——","——",H101-H105-H106)</f>
        <v>——</v>
      </c>
      <c r="I109" s="129"/>
    </row>
    <row r="110" spans="1:35" ht="18.75" customHeight="1">
      <c r="A110" s="129"/>
      <c r="B110" s="129"/>
      <c r="C110" s="129"/>
      <c r="D110" s="129"/>
      <c r="E110" s="3589"/>
      <c r="F110" s="3557"/>
      <c r="G110" s="1825" t="s">
        <v>1434</v>
      </c>
      <c r="H110" s="2553"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5" t="s">
        <v>1432</v>
      </c>
      <c r="H111" s="2593" t="str">
        <f>IF(E111="——","——",N59)</f>
        <v>——</v>
      </c>
      <c r="I111" s="129"/>
    </row>
    <row r="112" spans="1:35" ht="18.75" customHeight="1" thickBot="1">
      <c r="A112" s="129"/>
      <c r="B112" s="129"/>
      <c r="C112" s="129"/>
      <c r="D112" s="129"/>
      <c r="E112" s="3591"/>
      <c r="F112" s="3592"/>
      <c r="G112" s="1828" t="s">
        <v>1434</v>
      </c>
      <c r="H112" s="2597" t="str">
        <f>IF(E111="——","——",N61)</f>
        <v>——</v>
      </c>
      <c r="I112" s="129"/>
    </row>
    <row r="113" spans="1:27" ht="18.75" customHeight="1">
      <c r="A113" s="129"/>
      <c r="B113" s="129"/>
      <c r="C113" s="129"/>
      <c r="D113" s="129"/>
      <c r="E113" s="3599" t="s">
        <v>1440</v>
      </c>
      <c r="F113" s="3599"/>
      <c r="G113" s="3599"/>
      <c r="H113" s="3599"/>
      <c r="I113" s="129"/>
    </row>
    <row r="114" spans="1:27" ht="3.75" customHeight="1">
      <c r="A114" s="1745"/>
      <c r="B114" s="1745"/>
      <c r="C114" s="1745"/>
      <c r="D114" s="1745"/>
      <c r="E114" s="1807"/>
      <c r="F114" s="1807"/>
      <c r="G114" s="1807"/>
      <c r="H114" s="1807"/>
      <c r="I114" s="1745"/>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87.01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4" t="s">
        <v>1452</v>
      </c>
      <c r="B119" s="3564"/>
      <c r="C119" s="3564"/>
      <c r="D119" s="3570" t="e">
        <f ca="1">NUMBERSTRING(INT(D118*10000),2)&amp;"元整"</f>
        <v>#REF!</v>
      </c>
      <c r="E119" s="3571"/>
      <c r="F119" s="3570" t="e">
        <f ca="1">NUMBERSTRING(INT(F118*10000),2)&amp;"元整"</f>
        <v>#REF!</v>
      </c>
      <c r="G119" s="3571"/>
      <c r="H119" s="3570" t="e">
        <f ca="1">NUMBERSTRING(INT(H118*10000),2)&amp;"元整"</f>
        <v>#REF!</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房地产抵押价值</v>
      </c>
      <c r="B122" s="3576"/>
      <c r="C122" s="3576"/>
      <c r="D122" s="3565" t="e">
        <f ca="1">H107</f>
        <v>#REF!</v>
      </c>
      <c r="E122" s="3566"/>
      <c r="F122" s="3566"/>
      <c r="G122" s="3566"/>
      <c r="H122" s="3566"/>
      <c r="I122" s="3567"/>
      <c r="AA122" s="725"/>
    </row>
    <row r="123" spans="1:27" ht="18.75" customHeight="1">
      <c r="A123" s="3564" t="s">
        <v>1452</v>
      </c>
      <c r="B123" s="3564"/>
      <c r="C123" s="3564"/>
      <c r="D123" s="3570" t="e">
        <f ca="1">NUMBERSTRING(INT(D122*10000),2)&amp;"元整"</f>
        <v>#REF!</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8"/>
      <c r="C1" s="198"/>
      <c r="D1" s="198"/>
      <c r="E1" s="198"/>
      <c r="F1" s="198"/>
      <c r="G1" s="1125">
        <f>MATCH(B1,'数据-取费表'!A6:A16,0)+5</f>
        <v>7</v>
      </c>
    </row>
    <row r="2" spans="1:9" s="200" customFormat="1" ht="18" customHeight="1">
      <c r="A2" s="201" t="s">
        <v>1462</v>
      </c>
      <c r="B2" s="202">
        <f ca="1">IF(D2="——",C52,C52-E2)</f>
        <v>24495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6"/>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4"/>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8"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北京市房地产抵押价值预评估</v>
      </c>
      <c r="C37" s="3460"/>
      <c r="D37" s="3460"/>
      <c r="E37" s="3460"/>
      <c r="F37" s="3460"/>
      <c r="G37" s="3460"/>
      <c r="H37" s="3460"/>
      <c r="I37" s="3460"/>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58.484099999999998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4"/>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3" t="s">
        <v>1591</v>
      </c>
    </row>
    <row r="43" spans="1:7" ht="13.5" customHeight="1">
      <c r="A43" s="780" t="s">
        <v>347</v>
      </c>
      <c r="B43" s="215" t="s">
        <v>1545</v>
      </c>
      <c r="C43" s="238">
        <f ca="1">ROUND(IF('数据-取费表'!B22&lt;=1,C39*F22*'数据-取费表'!B20/2,C39*(POWER((1+F22),'数据-取费表'!B20/2)-1)),0)</f>
        <v>294</v>
      </c>
      <c r="D43" s="238"/>
      <c r="E43" s="238"/>
      <c r="F43" s="239"/>
      <c r="G43" s="3644"/>
    </row>
    <row r="44" spans="1:7" ht="13.5" customHeight="1">
      <c r="A44" s="780"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8"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4"/>
      <c r="F1" s="2804"/>
      <c r="G1" s="2669"/>
      <c r="H1" s="2804"/>
      <c r="I1" s="2804"/>
      <c r="J1" s="2804"/>
      <c r="K1" s="2805">
        <f>MATCH(C1,'数据-取费表'!A6:A16,0)+5</f>
        <v>7</v>
      </c>
    </row>
    <row r="2" spans="1:33" ht="18" customHeight="1">
      <c r="A2" s="201" t="s">
        <v>1462</v>
      </c>
      <c r="B2" s="204">
        <f ca="1">C32</f>
        <v>20698</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2378807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0"/>
      <c r="H18" s="1186"/>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c r="D1" s="1360" t="s">
        <v>43</v>
      </c>
      <c r="E1" s="1361" t="s">
        <v>678</v>
      </c>
      <c r="F1" s="1061">
        <f ca="1">J53</f>
        <v>0</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48" t="s">
        <v>694</v>
      </c>
      <c r="C6" s="1073">
        <f ca="1">ROUND(F6*F8*F7*(1-F9)/10000,0)</f>
        <v>0</v>
      </c>
      <c r="D6" s="155" t="s">
        <v>2104</v>
      </c>
      <c r="E6" s="302" t="s">
        <v>696</v>
      </c>
      <c r="F6" s="303">
        <f ca="1">INDIRECT("'数据-取费表'!u"&amp;$G$1)</f>
        <v>0</v>
      </c>
      <c r="G6" s="1382"/>
      <c r="H6" s="1068" t="s">
        <v>398</v>
      </c>
      <c r="I6" s="3648" t="s">
        <v>694</v>
      </c>
      <c r="J6" s="301">
        <f ca="1">ROUND(M6*M8*M7*(1-M9)/10000,0)</f>
        <v>0</v>
      </c>
      <c r="K6" s="155" t="s">
        <v>2103</v>
      </c>
      <c r="L6" s="302" t="s">
        <v>696</v>
      </c>
      <c r="M6" s="303">
        <f ca="1">INDIRECT("'数据-取费表'!z"&amp;$G$1)</f>
        <v>0</v>
      </c>
    </row>
    <row r="7" spans="1:37" ht="18" customHeight="1">
      <c r="A7" s="1072"/>
      <c r="B7" s="3649"/>
      <c r="C7" s="1074"/>
      <c r="D7" s="307"/>
      <c r="E7" s="1075" t="s">
        <v>697</v>
      </c>
      <c r="F7" s="303">
        <f ca="1">IF(INDIRECT("'数据-取费表'!ah"&amp;$G$1)="",INDIRECT("'数据-取费表'!k"&amp;$G$1),INDIRECT("'数据-取费表'!ah"&amp;$G$1))</f>
        <v>0</v>
      </c>
      <c r="G7" s="1382"/>
      <c r="H7" s="304"/>
      <c r="I7" s="3649"/>
      <c r="J7" s="306"/>
      <c r="K7" s="307"/>
      <c r="L7" s="302" t="s">
        <v>697</v>
      </c>
      <c r="M7" s="303">
        <f ca="1">F7</f>
        <v>0</v>
      </c>
    </row>
    <row r="8" spans="1:37" ht="18" customHeight="1">
      <c r="A8" s="304"/>
      <c r="B8" s="3649"/>
      <c r="C8" s="306"/>
      <c r="D8" s="307"/>
      <c r="E8" s="302" t="s">
        <v>698</v>
      </c>
      <c r="F8" s="303">
        <f ca="1">INDIRECT("'数据-取费表'!ai"&amp;$G$1)</f>
        <v>0</v>
      </c>
      <c r="G8" s="1382"/>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2"/>
      <c r="H9" s="304"/>
      <c r="I9" s="3650"/>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2"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8"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8" thickBot="1">
      <c r="A47" s="946" t="s">
        <v>687</v>
      </c>
      <c r="B47" s="978" t="s">
        <v>688</v>
      </c>
      <c r="C47" s="1116" t="s">
        <v>689</v>
      </c>
      <c r="D47" s="978"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5" t="s">
        <v>439</v>
      </c>
      <c r="B49" s="1369" t="s">
        <v>779</v>
      </c>
      <c r="C49" s="1113">
        <f ca="1">ROUND(F49*F51*F50*(1-F52)/10000,0)</f>
        <v>0</v>
      </c>
      <c r="D49" s="1054" t="s">
        <v>2105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8" thickBot="1">
      <c r="A50" s="976"/>
      <c r="B50" s="979"/>
      <c r="C50" s="1117"/>
      <c r="D50" s="953"/>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7"/>
      <c r="B52" s="979"/>
      <c r="C52" s="980"/>
      <c r="D52" s="953"/>
      <c r="E52" s="981" t="s">
        <v>699</v>
      </c>
      <c r="F52" s="1053"/>
      <c r="I52" s="1435" t="s">
        <v>832</v>
      </c>
      <c r="J52" s="1436"/>
      <c r="K52" s="1435" t="s">
        <v>833</v>
      </c>
      <c r="L52" s="1436"/>
      <c r="O52" s="1426" t="s">
        <v>408</v>
      </c>
      <c r="P52" s="1417" t="s">
        <v>834</v>
      </c>
      <c r="Q52" s="1418">
        <f ca="1">J53</f>
        <v>0</v>
      </c>
      <c r="R52" s="1418" t="s">
        <v>835</v>
      </c>
    </row>
    <row r="53" spans="1:18" s="1382" customFormat="1" ht="36.6"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46" t="s">
        <v>837</v>
      </c>
      <c r="L53" s="3647"/>
      <c r="O53" s="1416" t="s">
        <v>409</v>
      </c>
      <c r="P53" s="1417" t="s">
        <v>838</v>
      </c>
      <c r="Q53" s="1418" t="e">
        <f ca="1">Q47+Q48</f>
        <v>#DIV/0!</v>
      </c>
      <c r="R53" s="1418" t="s">
        <v>410</v>
      </c>
    </row>
    <row r="54" spans="1:18" s="1382" customFormat="1" ht="24.6"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7.200000000000003"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6"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6"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2" t="s">
        <v>781</v>
      </c>
      <c r="B61" s="950" t="s">
        <v>782</v>
      </c>
      <c r="C61" s="21">
        <f ca="1">IF(项目基本情况!B11="自然人","——",IF(D61="按租金收入计税",ROUND(C49*F61/(1+'数据-取费表'!C42),2),IF(D61="按房产原值计税",ROUND(C57*F61*0.7,2),INDIRECT("'数据-取费表'!Aj"&amp;$G$1))))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2" t="s">
        <v>784</v>
      </c>
      <c r="B62" s="949" t="s">
        <v>785</v>
      </c>
      <c r="C62" s="22">
        <f ca="1">IF(项目基本情况!B11="自然人","——",ROUND(F62*F63/10000,2))</f>
        <v>0</v>
      </c>
      <c r="D62" s="965" t="s">
        <v>786</v>
      </c>
      <c r="E62" s="950"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24.6"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2"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8" thickBot="1">
      <c r="A69" s="951"/>
      <c r="B69" s="952"/>
      <c r="C69" s="306"/>
      <c r="D69" s="970" t="s">
        <v>762</v>
      </c>
      <c r="E69" s="950" t="s">
        <v>763</v>
      </c>
      <c r="F69" s="333">
        <f ca="1">F41</f>
        <v>0</v>
      </c>
      <c r="O69" s="1426" t="s">
        <v>411</v>
      </c>
      <c r="P69" s="1465" t="s">
        <v>872</v>
      </c>
      <c r="Q69" s="1418">
        <f ca="1">C39</f>
        <v>0</v>
      </c>
      <c r="R69" s="1418" t="s">
        <v>818</v>
      </c>
    </row>
    <row r="70" spans="1:18" s="1382" customFormat="1" ht="13.8" thickBot="1">
      <c r="A70" s="954"/>
      <c r="B70" s="955"/>
      <c r="C70" s="310"/>
      <c r="D70" s="966"/>
      <c r="E70" s="950" t="s">
        <v>766</v>
      </c>
      <c r="F70" s="1053"/>
      <c r="O70" s="1426" t="s">
        <v>412</v>
      </c>
      <c r="P70" s="1465" t="s">
        <v>873</v>
      </c>
      <c r="Q70" s="1418">
        <f ca="1">C13</f>
        <v>0</v>
      </c>
      <c r="R70" s="1418" t="s">
        <v>818</v>
      </c>
    </row>
    <row r="71" spans="1:18" s="1382" customFormat="1" ht="13.8"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D22" sqref="D22"/>
    </sheetView>
  </sheetViews>
  <sheetFormatPr defaultRowHeight="14.4"/>
  <cols>
    <col min="8" max="8" width="10.5546875" bestFit="1" customWidth="1"/>
    <col min="10" max="10" width="10.44140625" bestFit="1" customWidth="1"/>
  </cols>
  <sheetData>
    <row r="1" spans="1:16">
      <c r="A1" s="3458" t="s">
        <v>3431</v>
      </c>
      <c r="H1">
        <v>1</v>
      </c>
      <c r="I1">
        <v>0.75</v>
      </c>
      <c r="J1">
        <v>0.65</v>
      </c>
    </row>
    <row r="2" spans="1:16">
      <c r="A2" s="3458" t="s">
        <v>3437</v>
      </c>
      <c r="B2" s="3458" t="s">
        <v>3438</v>
      </c>
      <c r="C2" s="3458" t="s">
        <v>3434</v>
      </c>
      <c r="D2" s="3458" t="s">
        <v>3435</v>
      </c>
      <c r="E2" s="3458" t="s">
        <v>3429</v>
      </c>
      <c r="F2" s="3458" t="s">
        <v>3430</v>
      </c>
      <c r="H2" s="3458" t="s">
        <v>3443</v>
      </c>
      <c r="I2" s="3458" t="s">
        <v>3444</v>
      </c>
      <c r="J2" s="3458" t="s">
        <v>3445</v>
      </c>
      <c r="L2" s="3458" t="s">
        <v>3465</v>
      </c>
      <c r="M2" s="3458" t="s">
        <v>3467</v>
      </c>
    </row>
    <row r="3" spans="1:16">
      <c r="A3" s="3457" t="str">
        <f>典型户型修正!A25</f>
        <v>2-10</v>
      </c>
      <c r="B3">
        <f>典型户型修正!B25</f>
        <v>223.14</v>
      </c>
      <c r="C3">
        <f ca="1">典型户型修正!R25</f>
        <v>33419</v>
      </c>
      <c r="D3">
        <f ca="1">ROUND(C3*B3/10000,2)</f>
        <v>745.71</v>
      </c>
      <c r="E3">
        <v>774.99</v>
      </c>
      <c r="F3" s="3459">
        <f ca="1">E3/D3-1</f>
        <v>3.9264593474675147E-2</v>
      </c>
      <c r="H3">
        <f ca="1">H19</f>
        <v>44300.5631536605</v>
      </c>
      <c r="I3">
        <f ca="1">I19</f>
        <v>33225.422365245373</v>
      </c>
      <c r="J3">
        <f ca="1">J19</f>
        <v>28795.366049879325</v>
      </c>
      <c r="K3">
        <f ca="1">(H3*1+I3*1+J3*4)/6</f>
        <v>32117.908286403865</v>
      </c>
      <c r="L3" s="3458" t="s">
        <v>3474</v>
      </c>
      <c r="M3" s="3458" t="s">
        <v>3453</v>
      </c>
      <c r="N3" s="3458">
        <f ca="1">K3/K19</f>
        <v>0.81200000000000006</v>
      </c>
      <c r="O3">
        <f ca="1">K3*B3/10000</f>
        <v>716.67900550281581</v>
      </c>
      <c r="P3" s="3801">
        <f ca="1">E3/O3-1</f>
        <v>8.1362777546795551E-2</v>
      </c>
    </row>
    <row r="4" spans="1:16">
      <c r="A4" s="3457" t="str">
        <f>典型户型修正!A29</f>
        <v>10-18</v>
      </c>
      <c r="B4">
        <f>典型户型修正!B29</f>
        <v>153.22</v>
      </c>
      <c r="C4">
        <f ca="1">典型户型修正!R29</f>
        <v>37005</v>
      </c>
      <c r="D4">
        <f ca="1">ROUND(C4*B4/10000,2)</f>
        <v>566.99</v>
      </c>
      <c r="E4">
        <v>596.37</v>
      </c>
      <c r="F4" s="3459">
        <f t="shared" ref="F4:F5" ca="1" si="0">E4/D4-1</f>
        <v>5.1817492371999396E-2</v>
      </c>
      <c r="H4">
        <f ca="1">H19</f>
        <v>44300.5631536605</v>
      </c>
      <c r="I4">
        <f ca="1">I19</f>
        <v>33225.422365245373</v>
      </c>
      <c r="K4">
        <f ca="1">AVERAGE(H4:I4)*0.95</f>
        <v>36824.843121480291</v>
      </c>
      <c r="L4" s="3458" t="s">
        <v>3446</v>
      </c>
      <c r="M4" s="3458" t="s">
        <v>3448</v>
      </c>
      <c r="N4" s="3458">
        <f ca="1">K4/K19</f>
        <v>0.93100000000000005</v>
      </c>
      <c r="O4">
        <f ca="1">K4*B4/10000</f>
        <v>564.23024630732095</v>
      </c>
      <c r="P4" s="3801">
        <f ca="1">E4/O4-1</f>
        <v>5.6962124776227308E-2</v>
      </c>
    </row>
    <row r="5" spans="1:16">
      <c r="B5">
        <f>SUM(B3:B4)</f>
        <v>376.36</v>
      </c>
      <c r="C5">
        <f ca="1">D5/B5*10000</f>
        <v>34878.83940907642</v>
      </c>
      <c r="D5">
        <f ca="1">SUM(D3:D4)</f>
        <v>1312.7</v>
      </c>
      <c r="E5">
        <f>SUM(E3:E4)</f>
        <v>1371.3600000000001</v>
      </c>
      <c r="F5" s="3459">
        <f t="shared" ca="1" si="0"/>
        <v>4.4686523958254121E-2</v>
      </c>
    </row>
    <row r="10" spans="1:16">
      <c r="A10" s="3458" t="s">
        <v>3432</v>
      </c>
    </row>
    <row r="11" spans="1:16">
      <c r="A11" s="3458" t="s">
        <v>3437</v>
      </c>
      <c r="B11" s="3458" t="s">
        <v>3438</v>
      </c>
      <c r="C11" s="3458" t="s">
        <v>3434</v>
      </c>
      <c r="D11" s="3458" t="s">
        <v>3435</v>
      </c>
      <c r="E11" s="3458" t="s">
        <v>3429</v>
      </c>
      <c r="F11" s="3458" t="s">
        <v>3430</v>
      </c>
    </row>
    <row r="12" spans="1:16">
      <c r="A12" s="3457" t="str">
        <f>典型户型修正!A26</f>
        <v>3-4</v>
      </c>
      <c r="B12">
        <f>典型户型修正!B26</f>
        <v>201.95</v>
      </c>
      <c r="C12">
        <f ca="1">典型户型修正!R26</f>
        <v>39550</v>
      </c>
      <c r="D12">
        <f ca="1">ROUND(C12*B12/10000,2)</f>
        <v>798.71</v>
      </c>
      <c r="E12">
        <v>867.92</v>
      </c>
      <c r="F12" s="3459">
        <f ca="1">E12/D12-1</f>
        <v>8.6652226715578706E-2</v>
      </c>
      <c r="H12">
        <f ca="1">H19</f>
        <v>44300.5631536605</v>
      </c>
      <c r="I12">
        <f ca="1">I19</f>
        <v>33225.422365245373</v>
      </c>
      <c r="K12">
        <f t="shared" ref="K12:K13" ca="1" si="1">AVERAGE(H12:I12)</f>
        <v>38762.992759452936</v>
      </c>
      <c r="L12" s="3458" t="s">
        <v>3466</v>
      </c>
      <c r="M12" s="3458" t="s">
        <v>3448</v>
      </c>
      <c r="N12" s="3458">
        <f ca="1">K12/K19</f>
        <v>0.98</v>
      </c>
      <c r="O12">
        <f t="shared" ref="O12:O13" ca="1" si="2">K12*B12/10000</f>
        <v>782.81863877715193</v>
      </c>
      <c r="P12" s="3801">
        <f t="shared" ref="P12:P13" ca="1" si="3">E12/O12-1</f>
        <v>0.10871146521981845</v>
      </c>
    </row>
    <row r="13" spans="1:16">
      <c r="A13" s="3457" t="str">
        <f>典型户型修正!A27</f>
        <v>4-14</v>
      </c>
      <c r="B13">
        <f>典型户型修正!B27</f>
        <v>162.37</v>
      </c>
      <c r="C13">
        <f ca="1">典型户型修正!R27</f>
        <v>41116</v>
      </c>
      <c r="D13">
        <f ca="1">ROUND(C13*B13/10000,2)</f>
        <v>667.6</v>
      </c>
      <c r="E13">
        <v>709.24</v>
      </c>
      <c r="F13" s="3459">
        <f t="shared" ref="F13:F14" ca="1" si="4">E13/D13-1</f>
        <v>6.2372678250449454E-2</v>
      </c>
      <c r="H13">
        <f ca="1">H19</f>
        <v>44300.5631536605</v>
      </c>
      <c r="I13">
        <f ca="1">I19</f>
        <v>33225.422365245373</v>
      </c>
      <c r="K13">
        <f t="shared" ca="1" si="1"/>
        <v>38762.992759452936</v>
      </c>
      <c r="L13" s="3458" t="s">
        <v>3466</v>
      </c>
      <c r="M13" s="3458" t="s">
        <v>3448</v>
      </c>
      <c r="N13" s="3458">
        <f ca="1">K13/K19</f>
        <v>0.98</v>
      </c>
      <c r="O13">
        <f t="shared" ca="1" si="2"/>
        <v>629.39471343523735</v>
      </c>
      <c r="P13" s="3801">
        <f t="shared" ca="1" si="3"/>
        <v>0.1268604340970183</v>
      </c>
    </row>
    <row r="14" spans="1:16">
      <c r="B14">
        <f>SUM(B12:B13)</f>
        <v>364.32</v>
      </c>
      <c r="D14">
        <f ca="1">SUM(D12:D13)</f>
        <v>1466.31</v>
      </c>
      <c r="E14">
        <f>SUM(E12:E13)</f>
        <v>1577.1599999999999</v>
      </c>
      <c r="F14" s="3459">
        <f t="shared" ca="1" si="4"/>
        <v>7.5597929496491023E-2</v>
      </c>
    </row>
    <row r="17" spans="1:16">
      <c r="A17" s="3458" t="s">
        <v>3436</v>
      </c>
    </row>
    <row r="18" spans="1:16">
      <c r="A18" s="3458" t="s">
        <v>3437</v>
      </c>
      <c r="B18" s="3458" t="s">
        <v>3438</v>
      </c>
      <c r="C18" s="3458" t="s">
        <v>3434</v>
      </c>
      <c r="D18" s="3458" t="s">
        <v>3435</v>
      </c>
      <c r="E18" s="3458" t="s">
        <v>3429</v>
      </c>
      <c r="F18" s="3458" t="s">
        <v>3430</v>
      </c>
    </row>
    <row r="19" spans="1:16">
      <c r="A19" s="3457" t="str">
        <f>典型户型修正!A24</f>
        <v>2-9</v>
      </c>
      <c r="B19">
        <f>典型户型修正!B24</f>
        <v>87.01</v>
      </c>
      <c r="C19">
        <f ca="1">典型户型修正!R24</f>
        <v>39554</v>
      </c>
      <c r="D19">
        <f ca="1">ROUND(C19*B19/10000,2)</f>
        <v>344.16</v>
      </c>
      <c r="E19">
        <v>364.95</v>
      </c>
      <c r="F19" s="3459">
        <f ca="1">E19/D19-1</f>
        <v>6.0407949790794779E-2</v>
      </c>
      <c r="H19">
        <f ca="1">D19*10000/(B19*4/7+I1*B19*3/7)</f>
        <v>44300.5631536605</v>
      </c>
      <c r="I19">
        <f ca="1">H19*I1</f>
        <v>33225.422365245373</v>
      </c>
      <c r="J19">
        <f ca="1">H19*J1</f>
        <v>28795.366049879325</v>
      </c>
      <c r="K19">
        <f ca="1">(H19*B19*4/7+I19*B19*3/7)/B19</f>
        <v>39554.074244339732</v>
      </c>
      <c r="L19" s="3458" t="s">
        <v>3466</v>
      </c>
      <c r="M19" s="3458" t="s">
        <v>3452</v>
      </c>
      <c r="O19">
        <f t="shared" ref="O19:O20" ca="1" si="5">K19*B19/10000</f>
        <v>344.16</v>
      </c>
      <c r="P19" s="3801">
        <f t="shared" ref="P19:P21" ca="1" si="6">E19/O19-1</f>
        <v>6.0407949790794779E-2</v>
      </c>
    </row>
    <row r="20" spans="1:16">
      <c r="A20" s="3457" t="str">
        <f>典型户型修正!A28</f>
        <v>10-2</v>
      </c>
      <c r="B20">
        <f>典型户型修正!B28</f>
        <v>141.19999999999999</v>
      </c>
      <c r="C20">
        <f ca="1">典型户型修正!R28</f>
        <v>37988</v>
      </c>
      <c r="D20">
        <f ca="1">ROUND(C20*B20/10000,2)</f>
        <v>536.39</v>
      </c>
      <c r="E20">
        <v>572.54</v>
      </c>
      <c r="F20" s="3459">
        <f t="shared" ref="F20" ca="1" si="7">E20/D20-1</f>
        <v>6.7394992449523627E-2</v>
      </c>
      <c r="H20">
        <f ca="1">H19</f>
        <v>44300.5631536605</v>
      </c>
      <c r="I20">
        <f ca="1">I19</f>
        <v>33225.422365245373</v>
      </c>
      <c r="K20">
        <f ca="1">(H20*0.6+I20)/1.6</f>
        <v>37378.600160901042</v>
      </c>
      <c r="L20" s="3458" t="s">
        <v>3466</v>
      </c>
      <c r="M20" s="3458" t="s">
        <v>3450</v>
      </c>
      <c r="N20" s="3458">
        <f ca="1">K20/K19</f>
        <v>0.94499999999999984</v>
      </c>
      <c r="O20">
        <f t="shared" ca="1" si="5"/>
        <v>527.78583427192268</v>
      </c>
      <c r="P20" s="3801">
        <f t="shared" ca="1" si="6"/>
        <v>8.4796072236033693E-2</v>
      </c>
    </row>
    <row r="21" spans="1:16">
      <c r="A21" s="3458" t="s">
        <v>3433</v>
      </c>
      <c r="B21">
        <f>219.43</f>
        <v>219.43</v>
      </c>
      <c r="C21">
        <f>[2]结果表!$C$32</f>
        <v>25328</v>
      </c>
      <c r="D21">
        <f>ROUND(C21*B21/10000,2)</f>
        <v>555.77</v>
      </c>
      <c r="E21">
        <v>627.62</v>
      </c>
      <c r="F21" s="3459">
        <f t="shared" ref="F21" si="8">E21/D21-1</f>
        <v>0.1292800978822175</v>
      </c>
      <c r="J21">
        <f ca="1">J19</f>
        <v>28795.366049879325</v>
      </c>
      <c r="K21">
        <f ca="1">J21</f>
        <v>28795.366049879325</v>
      </c>
      <c r="L21" s="3458" t="s">
        <v>3466</v>
      </c>
      <c r="N21">
        <f ca="1">K21/K19</f>
        <v>0.72799999999999998</v>
      </c>
      <c r="O21">
        <f ca="1">K21*B21/10000</f>
        <v>631.85671723250209</v>
      </c>
      <c r="P21" s="3801">
        <f t="shared" ca="1" si="6"/>
        <v>-6.7051866617144906E-3</v>
      </c>
    </row>
    <row r="22" spans="1:16">
      <c r="B22">
        <f>SUM(B19:B21)</f>
        <v>447.64</v>
      </c>
      <c r="D22">
        <f ca="1">SUM(D19:D21)</f>
        <v>1436.32</v>
      </c>
      <c r="E22">
        <f>SUM(E19:E21)</f>
        <v>1565.1100000000001</v>
      </c>
      <c r="F22" s="3459">
        <f t="shared" ref="F22:F23" ca="1" si="9">E22/D22-1</f>
        <v>8.9666648100702018E-2</v>
      </c>
    </row>
    <row r="23" spans="1:16">
      <c r="D23">
        <f ca="1">D5+D14+D22</f>
        <v>4215.33</v>
      </c>
      <c r="E23">
        <f>E5+E14+E22</f>
        <v>4513.63</v>
      </c>
      <c r="F23" s="3459">
        <f t="shared" ca="1" si="9"/>
        <v>7.0765515392626543E-2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8" sqref="A28:XFD28"/>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9" width="2.2187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4" t="s">
        <v>2084</v>
      </c>
      <c r="D1" s="3655"/>
      <c r="E1" s="3655"/>
      <c r="F1" s="3655"/>
      <c r="G1" s="3655"/>
      <c r="H1" s="3655"/>
      <c r="I1" s="3655"/>
      <c r="J1" s="3655"/>
      <c r="K1" s="3655"/>
      <c r="L1" s="3655"/>
      <c r="M1" s="3655"/>
      <c r="N1" s="3655"/>
      <c r="O1" s="3655"/>
      <c r="P1" s="3655"/>
      <c r="Q1" s="3655"/>
      <c r="R1" s="3655"/>
      <c r="S1" s="3656"/>
      <c r="T1" s="983" t="s">
        <v>2085</v>
      </c>
    </row>
    <row r="2" spans="1:45" s="655" customFormat="1" ht="39.6">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f>'比较法-商业'!C104</f>
        <v>99</v>
      </c>
      <c r="D4" s="989">
        <f>'比较法-商业'!D104</f>
        <v>100</v>
      </c>
      <c r="E4" s="989">
        <f>'比较法-商业'!E104</f>
        <v>99</v>
      </c>
      <c r="F4" s="989">
        <f>'比较法-商业'!F104</f>
        <v>98</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802" t="s">
        <v>3454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3802" t="s">
        <v>3469</v>
      </c>
      <c r="C11" s="3803" t="s">
        <v>3470</v>
      </c>
      <c r="D11" s="3804" t="s">
        <v>3471</v>
      </c>
      <c r="E11" s="996"/>
      <c r="F11" s="996"/>
      <c r="G11" s="996"/>
      <c r="H11" s="996"/>
      <c r="I11" s="996"/>
      <c r="J11" s="996"/>
      <c r="K11" s="996"/>
      <c r="L11" s="996"/>
      <c r="M11" s="997"/>
      <c r="N11" s="1001"/>
      <c r="O11" s="1002"/>
      <c r="P11" s="1003"/>
      <c r="Q11" s="1004"/>
      <c r="R11" s="1005"/>
      <c r="S11" s="1006"/>
      <c r="T11" s="998">
        <v>5</v>
      </c>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95</v>
      </c>
      <c r="E12" s="902">
        <f t="shared" ref="E12:S12" si="10">D12-$T11</f>
        <v>90</v>
      </c>
      <c r="F12" s="902">
        <f t="shared" si="10"/>
        <v>85</v>
      </c>
      <c r="G12" s="902">
        <f t="shared" si="10"/>
        <v>80</v>
      </c>
      <c r="H12" s="902">
        <f t="shared" si="10"/>
        <v>75</v>
      </c>
      <c r="I12" s="902">
        <f t="shared" si="10"/>
        <v>70</v>
      </c>
      <c r="J12" s="902">
        <f t="shared" si="10"/>
        <v>65</v>
      </c>
      <c r="K12" s="902">
        <f t="shared" si="10"/>
        <v>60</v>
      </c>
      <c r="L12" s="902">
        <f t="shared" si="10"/>
        <v>55</v>
      </c>
      <c r="M12" s="902">
        <f t="shared" si="10"/>
        <v>50</v>
      </c>
      <c r="N12" s="902">
        <f t="shared" si="10"/>
        <v>45</v>
      </c>
      <c r="O12" s="902">
        <f t="shared" si="10"/>
        <v>40</v>
      </c>
      <c r="P12" s="902">
        <f t="shared" si="10"/>
        <v>35</v>
      </c>
      <c r="Q12" s="902">
        <f t="shared" si="10"/>
        <v>30</v>
      </c>
      <c r="R12" s="902">
        <f>Q12-$T11</f>
        <v>25</v>
      </c>
      <c r="S12" s="902">
        <f t="shared" si="10"/>
        <v>20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
      <c r="A13" s="994"/>
      <c r="B13" s="3802" t="s">
        <v>3455</v>
      </c>
      <c r="C13" s="3803" t="s">
        <v>3457</v>
      </c>
      <c r="D13" s="3804" t="s">
        <v>3459</v>
      </c>
      <c r="E13" s="3804" t="s">
        <v>3473</v>
      </c>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v>100</v>
      </c>
      <c r="D14" s="900">
        <v>90</v>
      </c>
      <c r="E14" s="900">
        <v>98</v>
      </c>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25.2">
      <c r="A15" s="994"/>
      <c r="B15" s="3802" t="s">
        <v>3460</v>
      </c>
      <c r="C15" s="3803" t="s">
        <v>3462</v>
      </c>
      <c r="D15" s="3804" t="s">
        <v>3461</v>
      </c>
      <c r="E15" s="996" t="s">
        <v>3463</v>
      </c>
      <c r="F15" s="996" t="s">
        <v>3464</v>
      </c>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v>101</v>
      </c>
      <c r="D16" s="990">
        <v>100</v>
      </c>
      <c r="E16" s="990">
        <v>99</v>
      </c>
      <c r="F16" s="990">
        <v>98</v>
      </c>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2089</v>
      </c>
      <c r="B17" s="2147" t="s">
        <v>2090</v>
      </c>
      <c r="C17" s="3455" t="s">
        <v>3426</v>
      </c>
      <c r="D17" s="3456" t="s">
        <v>3428</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8"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2091</v>
      </c>
      <c r="E19" s="1338"/>
      <c r="F19" s="1338"/>
      <c r="G19" s="1338"/>
      <c r="H19" s="1058"/>
      <c r="I19" s="159"/>
      <c r="J19" s="159"/>
      <c r="K19" s="159"/>
      <c r="L19" s="159"/>
      <c r="M19" s="159"/>
      <c r="N19" s="159"/>
      <c r="O19" s="159"/>
      <c r="P19" s="159"/>
      <c r="Q19" s="159"/>
      <c r="R19" s="718"/>
      <c r="S19" s="129"/>
    </row>
    <row r="20" spans="1:45" ht="16.2" thickBot="1">
      <c r="A20" s="662" t="s">
        <v>2092</v>
      </c>
      <c r="B20" s="294">
        <f ca="1">IF(D20="——",S22,S22-F20)</f>
        <v>3660</v>
      </c>
      <c r="C20" s="159"/>
      <c r="D20" s="2149" t="s">
        <v>43</v>
      </c>
      <c r="E20" s="1339"/>
      <c r="F20" s="983" t="e">
        <f ca="1">SUMIF(INDIRECT("'"&amp;H20&amp;"'"&amp;"!A:A"),"承租人权益价值",INDIRECT("'"&amp;H20&amp;"'"&amp;"!c:c"))</f>
        <v>#REF!</v>
      </c>
      <c r="G20" s="983" t="s">
        <v>2093</v>
      </c>
      <c r="H20" s="2150"/>
      <c r="I20" s="159"/>
      <c r="J20" s="159"/>
      <c r="K20" s="159"/>
      <c r="L20" s="159"/>
      <c r="M20" s="159"/>
      <c r="N20" s="159"/>
      <c r="O20" s="159"/>
      <c r="P20" s="159"/>
      <c r="Q20" s="159"/>
      <c r="R20" s="718"/>
      <c r="S20" s="129"/>
    </row>
    <row r="21" spans="1:45" ht="15.6">
      <c r="A21" s="662" t="s">
        <v>2094</v>
      </c>
      <c r="B21" s="294">
        <f ca="1">ROUND(B20*10000/B22,0)</f>
        <v>37775</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968.88999999999987</v>
      </c>
      <c r="C22" s="3651" t="s">
        <v>27</v>
      </c>
      <c r="D22" s="3652"/>
      <c r="E22" s="3652"/>
      <c r="F22" s="3652"/>
      <c r="G22" s="3652"/>
      <c r="H22" s="3652"/>
      <c r="I22" s="3652"/>
      <c r="J22" s="3652"/>
      <c r="K22" s="3652"/>
      <c r="L22" s="3652"/>
      <c r="M22" s="3652"/>
      <c r="N22" s="3652"/>
      <c r="O22" s="3652"/>
      <c r="P22" s="3652"/>
      <c r="Q22" s="3653"/>
      <c r="R22" s="663">
        <f ca="1">ROUND(S22*10000/B22,0)</f>
        <v>37775</v>
      </c>
      <c r="S22" s="21">
        <f ca="1">SUM(S24:S10000)</f>
        <v>3660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平面位置</v>
      </c>
      <c r="K23" s="8" t="s">
        <v>2098</v>
      </c>
      <c r="L23" s="8" t="str">
        <f>B13</f>
        <v>形状</v>
      </c>
      <c r="M23" s="8" t="s">
        <v>2098</v>
      </c>
      <c r="N23" s="8" t="str">
        <f>B15</f>
        <v>分层面积</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3419</v>
      </c>
      <c r="B24" s="665">
        <v>87.01</v>
      </c>
      <c r="C24" s="2808">
        <v>1</v>
      </c>
      <c r="D24" s="2809"/>
      <c r="E24" s="2808">
        <v>1</v>
      </c>
      <c r="F24" s="2809"/>
      <c r="G24" s="2808">
        <v>1</v>
      </c>
      <c r="H24" s="2809"/>
      <c r="I24" s="2808">
        <v>1</v>
      </c>
      <c r="J24" s="2809" t="s">
        <v>3393</v>
      </c>
      <c r="K24" s="2808">
        <v>1</v>
      </c>
      <c r="L24" s="2809" t="s">
        <v>3456</v>
      </c>
      <c r="M24" s="2808">
        <v>1</v>
      </c>
      <c r="N24" s="2809" t="s">
        <v>3451</v>
      </c>
      <c r="O24" s="2808">
        <v>1</v>
      </c>
      <c r="P24" s="2809" t="s">
        <v>3425</v>
      </c>
      <c r="Q24" s="2808">
        <v>1</v>
      </c>
      <c r="R24" s="668">
        <f ca="1">结果表!G20</f>
        <v>39554</v>
      </c>
      <c r="S24" s="666">
        <f t="shared" ref="S24:S54" ca="1" si="11">ROUND(R24*B24/10000,0)</f>
        <v>344</v>
      </c>
      <c r="T24" s="730">
        <f ca="1">S25+S29</f>
        <v>1313</v>
      </c>
      <c r="U24" s="730">
        <f>B25+B29</f>
        <v>376.36</v>
      </c>
      <c r="V24" s="730">
        <f ca="1">T24/U24</f>
        <v>3.4886810500584544</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4" t="s">
        <v>3420</v>
      </c>
      <c r="B25" s="54">
        <v>223.14</v>
      </c>
      <c r="C25" s="21">
        <f>IF(B25="",1,(LOOKUP(B25,$3:$3,$4:$4)-LOOKUP($B$24,$3:$3,$4:$4)+100)/100)</f>
        <v>1.01</v>
      </c>
      <c r="D25" s="667"/>
      <c r="E25" s="21">
        <f>(SUMIF($5:$5,D25,$6:$6)-SUMIF($5:$5,$D$24,$6:$6)+100)/100</f>
        <v>1</v>
      </c>
      <c r="F25" s="667"/>
      <c r="G25" s="21">
        <f>(SUMIF($7:$7,F25,$8:$8)-SUMIF($7:$7,$F$24,$8:$8)+100)/100</f>
        <v>1</v>
      </c>
      <c r="H25" s="667"/>
      <c r="I25" s="21">
        <f>(SUMIF($9:$9,H25,$10:$10)-SUMIF($9:$9,$H$24,$10:$10)+100)/100</f>
        <v>1</v>
      </c>
      <c r="J25" s="667" t="s">
        <v>3393</v>
      </c>
      <c r="K25" s="21">
        <f>(SUMIF($11:$11,J25,$12:$12)-SUMIF($11:$11,$J$24,$12:$12)+100)/100</f>
        <v>1</v>
      </c>
      <c r="L25" s="667" t="s">
        <v>3472</v>
      </c>
      <c r="M25" s="21">
        <f>(SUMIF($13:$13,L25,$14:$14)-SUMIF($13:$13,$L$24,$14:$14)+100)/100</f>
        <v>0.98</v>
      </c>
      <c r="N25" s="667" t="s">
        <v>3468</v>
      </c>
      <c r="O25" s="21">
        <f>(SUMIF($15:$15,N25,$16:$16)-SUMIF($15:$15,$N$24,$16:$16)+100)/100</f>
        <v>0.97</v>
      </c>
      <c r="P25" s="667" t="s">
        <v>3427</v>
      </c>
      <c r="Q25" s="21">
        <f>(SUMIF($17:$17,P25,$18:$18)-SUMIF($17:$17,$P$24,$18:$18)+100)/100</f>
        <v>0.88</v>
      </c>
      <c r="R25" s="663">
        <f ca="1">IF(B25="",0,ROUND($R$24*C25*E25*G25*I25*K25*M25*O25*Q25,0))</f>
        <v>33419</v>
      </c>
      <c r="S25" s="316">
        <f t="shared" ca="1" si="11"/>
        <v>746</v>
      </c>
    </row>
    <row r="26" spans="1:45">
      <c r="A26" s="3454" t="s">
        <v>3421</v>
      </c>
      <c r="B26" s="54">
        <v>201.95</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t="s">
        <v>3393</v>
      </c>
      <c r="K26" s="21">
        <f t="shared" ref="K26:K89" si="16">(SUMIF($11:$11,J26,$12:$12)-SUMIF($11:$11,$J$24,$12:$12)+100)/100</f>
        <v>1</v>
      </c>
      <c r="L26" s="667" t="s">
        <v>3456</v>
      </c>
      <c r="M26" s="21">
        <f t="shared" ref="M26:M89" si="17">(SUMIF($13:$13,L26,$14:$14)-SUMIF($13:$13,$L$24,$14:$14)+100)/100</f>
        <v>1</v>
      </c>
      <c r="N26" s="667" t="s">
        <v>3447</v>
      </c>
      <c r="O26" s="21">
        <f t="shared" ref="O26:O89" si="18">(SUMIF($15:$15,N26,$16:$16)-SUMIF($15:$15,$N$24,$16:$16)+100)/100</f>
        <v>0.99</v>
      </c>
      <c r="P26" s="2809" t="s">
        <v>3425</v>
      </c>
      <c r="Q26" s="21">
        <f t="shared" ref="Q26:Q89" si="19">(SUMIF($17:$17,P26,$18:$18)-SUMIF($17:$17,$P$24,$18:$18)+100)/100</f>
        <v>1</v>
      </c>
      <c r="R26" s="663">
        <f t="shared" ref="R26:R89" ca="1" si="20">IF(B26="",0,ROUND($R$24*C26*E26*G26*I26*K26*M26*O26*Q26,0))</f>
        <v>39550</v>
      </c>
      <c r="S26" s="316">
        <f t="shared" ca="1" si="11"/>
        <v>799</v>
      </c>
    </row>
    <row r="27" spans="1:45">
      <c r="A27" s="3454" t="s">
        <v>3422</v>
      </c>
      <c r="B27" s="54">
        <v>162.37</v>
      </c>
      <c r="C27" s="21">
        <f t="shared" si="12"/>
        <v>1</v>
      </c>
      <c r="D27" s="667"/>
      <c r="E27" s="21">
        <f t="shared" si="13"/>
        <v>1</v>
      </c>
      <c r="F27" s="667"/>
      <c r="G27" s="21">
        <f t="shared" si="14"/>
        <v>1</v>
      </c>
      <c r="H27" s="667"/>
      <c r="I27" s="21">
        <f t="shared" si="15"/>
        <v>1</v>
      </c>
      <c r="J27" s="667" t="s">
        <v>3394</v>
      </c>
      <c r="K27" s="21">
        <f t="shared" si="16"/>
        <v>1.05</v>
      </c>
      <c r="L27" s="667" t="s">
        <v>3456</v>
      </c>
      <c r="M27" s="21">
        <f t="shared" si="17"/>
        <v>1</v>
      </c>
      <c r="N27" s="667" t="s">
        <v>3447</v>
      </c>
      <c r="O27" s="21">
        <f t="shared" si="18"/>
        <v>0.99</v>
      </c>
      <c r="P27" s="2809" t="s">
        <v>3425</v>
      </c>
      <c r="Q27" s="21">
        <f t="shared" si="19"/>
        <v>1</v>
      </c>
      <c r="R27" s="663">
        <f t="shared" ca="1" si="20"/>
        <v>41116</v>
      </c>
      <c r="S27" s="316">
        <f t="shared" ca="1" si="11"/>
        <v>668</v>
      </c>
    </row>
    <row r="28" spans="1:45">
      <c r="A28" s="3454" t="s">
        <v>3423</v>
      </c>
      <c r="B28" s="54">
        <v>141.19999999999999</v>
      </c>
      <c r="C28" s="21">
        <f t="shared" si="12"/>
        <v>1</v>
      </c>
      <c r="D28" s="667"/>
      <c r="E28" s="21">
        <f t="shared" si="13"/>
        <v>1</v>
      </c>
      <c r="F28" s="667"/>
      <c r="G28" s="21">
        <f t="shared" si="14"/>
        <v>1</v>
      </c>
      <c r="H28" s="667"/>
      <c r="I28" s="21">
        <f t="shared" si="15"/>
        <v>1</v>
      </c>
      <c r="J28" s="667" t="s">
        <v>3393</v>
      </c>
      <c r="K28" s="21">
        <f t="shared" si="16"/>
        <v>1</v>
      </c>
      <c r="L28" s="667" t="s">
        <v>3472</v>
      </c>
      <c r="M28" s="21">
        <f t="shared" si="17"/>
        <v>0.98</v>
      </c>
      <c r="N28" s="667" t="s">
        <v>3449</v>
      </c>
      <c r="O28" s="21">
        <f t="shared" si="18"/>
        <v>0.98</v>
      </c>
      <c r="P28" s="2809" t="s">
        <v>3425</v>
      </c>
      <c r="Q28" s="21">
        <f t="shared" si="19"/>
        <v>1</v>
      </c>
      <c r="R28" s="663">
        <f t="shared" ca="1" si="20"/>
        <v>37988</v>
      </c>
      <c r="S28" s="316">
        <f t="shared" ca="1" si="11"/>
        <v>536</v>
      </c>
    </row>
    <row r="29" spans="1:45">
      <c r="A29" s="3454" t="s">
        <v>3424</v>
      </c>
      <c r="B29" s="54">
        <v>153.22</v>
      </c>
      <c r="C29" s="21">
        <f t="shared" si="12"/>
        <v>1</v>
      </c>
      <c r="D29" s="667"/>
      <c r="E29" s="21">
        <f t="shared" si="13"/>
        <v>1</v>
      </c>
      <c r="F29" s="667"/>
      <c r="G29" s="21">
        <f t="shared" si="14"/>
        <v>1</v>
      </c>
      <c r="H29" s="667"/>
      <c r="I29" s="21">
        <f t="shared" si="15"/>
        <v>1</v>
      </c>
      <c r="J29" s="667" t="s">
        <v>3394</v>
      </c>
      <c r="K29" s="21">
        <f t="shared" si="16"/>
        <v>1.05</v>
      </c>
      <c r="L29" s="667" t="s">
        <v>3458</v>
      </c>
      <c r="M29" s="21">
        <f t="shared" si="17"/>
        <v>0.9</v>
      </c>
      <c r="N29" s="667" t="s">
        <v>3447</v>
      </c>
      <c r="O29" s="21">
        <f t="shared" si="18"/>
        <v>0.99</v>
      </c>
      <c r="P29" s="2809" t="s">
        <v>3425</v>
      </c>
      <c r="Q29" s="21">
        <f t="shared" si="19"/>
        <v>1</v>
      </c>
      <c r="R29" s="663">
        <f t="shared" ca="1" si="20"/>
        <v>37005</v>
      </c>
      <c r="S29" s="316">
        <f t="shared" ca="1" si="11"/>
        <v>567</v>
      </c>
    </row>
    <row r="30" spans="1:45">
      <c r="A30" s="3454"/>
      <c r="B30" s="54"/>
      <c r="C30" s="21">
        <f t="shared" si="12"/>
        <v>1</v>
      </c>
      <c r="D30" s="667"/>
      <c r="E30" s="21">
        <f t="shared" si="13"/>
        <v>1</v>
      </c>
      <c r="F30" s="667"/>
      <c r="G30" s="21">
        <f t="shared" si="14"/>
        <v>1</v>
      </c>
      <c r="H30" s="667"/>
      <c r="I30" s="21">
        <f t="shared" si="15"/>
        <v>1</v>
      </c>
      <c r="J30" s="667"/>
      <c r="K30" s="21">
        <f t="shared" si="16"/>
        <v>0.05</v>
      </c>
      <c r="L30" s="667"/>
      <c r="M30" s="21">
        <f t="shared" si="17"/>
        <v>0</v>
      </c>
      <c r="N30" s="667"/>
      <c r="O30" s="21">
        <f t="shared" si="18"/>
        <v>-0.01</v>
      </c>
      <c r="P30" s="667"/>
      <c r="Q30" s="21">
        <f t="shared" si="19"/>
        <v>0</v>
      </c>
      <c r="R30" s="663">
        <f t="shared" si="20"/>
        <v>0</v>
      </c>
      <c r="S30" s="316">
        <f t="shared" si="11"/>
        <v>0</v>
      </c>
    </row>
    <row r="31" spans="1:45">
      <c r="A31" s="3454"/>
      <c r="B31" s="54"/>
      <c r="C31" s="21">
        <f t="shared" si="12"/>
        <v>1</v>
      </c>
      <c r="D31" s="667"/>
      <c r="E31" s="21">
        <f t="shared" si="13"/>
        <v>1</v>
      </c>
      <c r="F31" s="667"/>
      <c r="G31" s="21">
        <f t="shared" si="14"/>
        <v>1</v>
      </c>
      <c r="H31" s="667"/>
      <c r="I31" s="21">
        <f t="shared" si="15"/>
        <v>1</v>
      </c>
      <c r="J31" s="667"/>
      <c r="K31" s="21">
        <f t="shared" si="16"/>
        <v>0.05</v>
      </c>
      <c r="L31" s="667"/>
      <c r="M31" s="21">
        <f t="shared" si="17"/>
        <v>0</v>
      </c>
      <c r="N31" s="667"/>
      <c r="O31" s="21">
        <f t="shared" si="18"/>
        <v>-0.01</v>
      </c>
      <c r="P31" s="667"/>
      <c r="Q31" s="21">
        <f t="shared" si="19"/>
        <v>0</v>
      </c>
      <c r="R31" s="663">
        <f t="shared" si="20"/>
        <v>0</v>
      </c>
      <c r="S31" s="316">
        <f t="shared" si="11"/>
        <v>0</v>
      </c>
    </row>
    <row r="32" spans="1:45">
      <c r="A32" s="3454"/>
      <c r="B32" s="54"/>
      <c r="C32" s="21">
        <f t="shared" si="12"/>
        <v>1</v>
      </c>
      <c r="D32" s="667"/>
      <c r="E32" s="21">
        <f t="shared" si="13"/>
        <v>1</v>
      </c>
      <c r="F32" s="667"/>
      <c r="G32" s="21">
        <f t="shared" si="14"/>
        <v>1</v>
      </c>
      <c r="H32" s="667"/>
      <c r="I32" s="21">
        <f t="shared" si="15"/>
        <v>1</v>
      </c>
      <c r="J32" s="667"/>
      <c r="K32" s="21">
        <f t="shared" si="16"/>
        <v>0.05</v>
      </c>
      <c r="L32" s="667"/>
      <c r="M32" s="21">
        <f t="shared" si="17"/>
        <v>0</v>
      </c>
      <c r="N32" s="667"/>
      <c r="O32" s="21">
        <f t="shared" si="18"/>
        <v>-0.01</v>
      </c>
      <c r="P32" s="667"/>
      <c r="Q32" s="21">
        <f t="shared" si="19"/>
        <v>0</v>
      </c>
      <c r="R32" s="663">
        <f t="shared" si="20"/>
        <v>0</v>
      </c>
      <c r="S32" s="316">
        <f t="shared" si="11"/>
        <v>0</v>
      </c>
    </row>
    <row r="33" spans="1:19">
      <c r="A33" s="3454"/>
      <c r="B33" s="54"/>
      <c r="C33" s="21">
        <f t="shared" si="12"/>
        <v>1</v>
      </c>
      <c r="D33" s="667"/>
      <c r="E33" s="21">
        <f t="shared" si="13"/>
        <v>1</v>
      </c>
      <c r="F33" s="667"/>
      <c r="G33" s="21">
        <f t="shared" si="14"/>
        <v>1</v>
      </c>
      <c r="H33" s="667"/>
      <c r="I33" s="21">
        <f t="shared" si="15"/>
        <v>1</v>
      </c>
      <c r="J33" s="667"/>
      <c r="K33" s="21">
        <f t="shared" si="16"/>
        <v>0.05</v>
      </c>
      <c r="L33" s="667"/>
      <c r="M33" s="21">
        <f t="shared" si="17"/>
        <v>0</v>
      </c>
      <c r="N33" s="667"/>
      <c r="O33" s="21">
        <f t="shared" si="18"/>
        <v>-0.01</v>
      </c>
      <c r="P33" s="667"/>
      <c r="Q33" s="21">
        <f t="shared" si="19"/>
        <v>0</v>
      </c>
      <c r="R33" s="663">
        <f t="shared" si="20"/>
        <v>0</v>
      </c>
      <c r="S33" s="316">
        <f t="shared" si="11"/>
        <v>0</v>
      </c>
    </row>
    <row r="34" spans="1:19">
      <c r="A34" s="3454"/>
      <c r="B34" s="54"/>
      <c r="C34" s="21">
        <f t="shared" si="12"/>
        <v>1</v>
      </c>
      <c r="D34" s="667"/>
      <c r="E34" s="21">
        <f t="shared" si="13"/>
        <v>1</v>
      </c>
      <c r="F34" s="667"/>
      <c r="G34" s="21">
        <f t="shared" si="14"/>
        <v>1</v>
      </c>
      <c r="H34" s="667"/>
      <c r="I34" s="21">
        <f t="shared" si="15"/>
        <v>1</v>
      </c>
      <c r="J34" s="667"/>
      <c r="K34" s="21">
        <f t="shared" si="16"/>
        <v>0.05</v>
      </c>
      <c r="L34" s="667"/>
      <c r="M34" s="21">
        <f t="shared" si="17"/>
        <v>0</v>
      </c>
      <c r="N34" s="667"/>
      <c r="O34" s="21">
        <f t="shared" si="18"/>
        <v>-0.01</v>
      </c>
      <c r="P34" s="667"/>
      <c r="Q34" s="21">
        <f t="shared" si="19"/>
        <v>0</v>
      </c>
      <c r="R34" s="663">
        <f t="shared" si="20"/>
        <v>0</v>
      </c>
      <c r="S34" s="316">
        <f t="shared" si="11"/>
        <v>0</v>
      </c>
    </row>
    <row r="35" spans="1:19">
      <c r="A35" s="3454"/>
      <c r="B35" s="54"/>
      <c r="C35" s="21">
        <f t="shared" si="12"/>
        <v>1</v>
      </c>
      <c r="D35" s="667"/>
      <c r="E35" s="21">
        <f t="shared" si="13"/>
        <v>1</v>
      </c>
      <c r="F35" s="667"/>
      <c r="G35" s="21">
        <f t="shared" si="14"/>
        <v>1</v>
      </c>
      <c r="H35" s="667"/>
      <c r="I35" s="21">
        <f t="shared" si="15"/>
        <v>1</v>
      </c>
      <c r="J35" s="667"/>
      <c r="K35" s="21">
        <f t="shared" si="16"/>
        <v>0.05</v>
      </c>
      <c r="L35" s="667"/>
      <c r="M35" s="21">
        <f t="shared" si="17"/>
        <v>0</v>
      </c>
      <c r="N35" s="667"/>
      <c r="O35" s="21">
        <f t="shared" si="18"/>
        <v>-0.01</v>
      </c>
      <c r="P35" s="667"/>
      <c r="Q35" s="21">
        <f t="shared" si="19"/>
        <v>0</v>
      </c>
      <c r="R35" s="663">
        <f t="shared" si="20"/>
        <v>0</v>
      </c>
      <c r="S35" s="316">
        <f t="shared" si="11"/>
        <v>0</v>
      </c>
    </row>
    <row r="36" spans="1:19">
      <c r="A36" s="3454"/>
      <c r="B36" s="54"/>
      <c r="C36" s="21">
        <f t="shared" si="12"/>
        <v>1</v>
      </c>
      <c r="D36" s="667"/>
      <c r="E36" s="21">
        <f t="shared" si="13"/>
        <v>1</v>
      </c>
      <c r="F36" s="667"/>
      <c r="G36" s="21">
        <f t="shared" si="14"/>
        <v>1</v>
      </c>
      <c r="H36" s="667"/>
      <c r="I36" s="21">
        <f t="shared" si="15"/>
        <v>1</v>
      </c>
      <c r="J36" s="667"/>
      <c r="K36" s="21">
        <f t="shared" si="16"/>
        <v>0.05</v>
      </c>
      <c r="L36" s="667"/>
      <c r="M36" s="21">
        <f t="shared" si="17"/>
        <v>0</v>
      </c>
      <c r="N36" s="667"/>
      <c r="O36" s="21">
        <f t="shared" si="18"/>
        <v>-0.01</v>
      </c>
      <c r="P36" s="667"/>
      <c r="Q36" s="21">
        <f t="shared" si="19"/>
        <v>0</v>
      </c>
      <c r="R36" s="663">
        <f t="shared" si="20"/>
        <v>0</v>
      </c>
      <c r="S36" s="316">
        <f t="shared" si="11"/>
        <v>0</v>
      </c>
    </row>
    <row r="37" spans="1:19">
      <c r="A37" s="3454"/>
      <c r="B37" s="54"/>
      <c r="C37" s="21">
        <f t="shared" si="12"/>
        <v>1</v>
      </c>
      <c r="D37" s="667"/>
      <c r="E37" s="21">
        <f t="shared" si="13"/>
        <v>1</v>
      </c>
      <c r="F37" s="667"/>
      <c r="G37" s="21">
        <f t="shared" si="14"/>
        <v>1</v>
      </c>
      <c r="H37" s="667"/>
      <c r="I37" s="21">
        <f t="shared" si="15"/>
        <v>1</v>
      </c>
      <c r="J37" s="667"/>
      <c r="K37" s="21">
        <f t="shared" si="16"/>
        <v>0.05</v>
      </c>
      <c r="L37" s="667"/>
      <c r="M37" s="21">
        <f t="shared" si="17"/>
        <v>0</v>
      </c>
      <c r="N37" s="667"/>
      <c r="O37" s="21">
        <f t="shared" si="18"/>
        <v>-0.01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0.05</v>
      </c>
      <c r="L38" s="667"/>
      <c r="M38" s="21">
        <f t="shared" si="17"/>
        <v>0</v>
      </c>
      <c r="N38" s="667"/>
      <c r="O38" s="21">
        <f t="shared" si="18"/>
        <v>-0.01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0.05</v>
      </c>
      <c r="L39" s="667"/>
      <c r="M39" s="21">
        <f t="shared" si="17"/>
        <v>0</v>
      </c>
      <c r="N39" s="667"/>
      <c r="O39" s="21">
        <f t="shared" si="18"/>
        <v>-0.01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0.05</v>
      </c>
      <c r="L40" s="667"/>
      <c r="M40" s="21">
        <f t="shared" si="17"/>
        <v>0</v>
      </c>
      <c r="N40" s="667"/>
      <c r="O40" s="21">
        <f t="shared" si="18"/>
        <v>-0.01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0.05</v>
      </c>
      <c r="L41" s="667"/>
      <c r="M41" s="21">
        <f t="shared" si="17"/>
        <v>0</v>
      </c>
      <c r="N41" s="667"/>
      <c r="O41" s="21">
        <f t="shared" si="18"/>
        <v>-0.01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0.05</v>
      </c>
      <c r="L42" s="667"/>
      <c r="M42" s="21">
        <f t="shared" si="17"/>
        <v>0</v>
      </c>
      <c r="N42" s="667"/>
      <c r="O42" s="21">
        <f t="shared" si="18"/>
        <v>-0.01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0.05</v>
      </c>
      <c r="L43" s="667"/>
      <c r="M43" s="21">
        <f t="shared" si="17"/>
        <v>0</v>
      </c>
      <c r="N43" s="667"/>
      <c r="O43" s="21">
        <f t="shared" si="18"/>
        <v>-0.01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0.05</v>
      </c>
      <c r="L44" s="667"/>
      <c r="M44" s="21">
        <f t="shared" si="17"/>
        <v>0</v>
      </c>
      <c r="N44" s="667"/>
      <c r="O44" s="21">
        <f t="shared" si="18"/>
        <v>-0.01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0.05</v>
      </c>
      <c r="L45" s="667"/>
      <c r="M45" s="21">
        <f t="shared" si="17"/>
        <v>0</v>
      </c>
      <c r="N45" s="667"/>
      <c r="O45" s="21">
        <f t="shared" si="18"/>
        <v>-0.01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0.05</v>
      </c>
      <c r="L46" s="667"/>
      <c r="M46" s="21">
        <f t="shared" si="17"/>
        <v>0</v>
      </c>
      <c r="N46" s="667"/>
      <c r="O46" s="21">
        <f t="shared" si="18"/>
        <v>-0.01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0.05</v>
      </c>
      <c r="L47" s="667"/>
      <c r="M47" s="21">
        <f t="shared" si="17"/>
        <v>0</v>
      </c>
      <c r="N47" s="667"/>
      <c r="O47" s="21">
        <f t="shared" si="18"/>
        <v>-0.01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0.05</v>
      </c>
      <c r="L48" s="667"/>
      <c r="M48" s="21">
        <f t="shared" si="17"/>
        <v>0</v>
      </c>
      <c r="N48" s="667"/>
      <c r="O48" s="21">
        <f t="shared" si="18"/>
        <v>-0.01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0.05</v>
      </c>
      <c r="L49" s="667"/>
      <c r="M49" s="21">
        <f t="shared" si="17"/>
        <v>0</v>
      </c>
      <c r="N49" s="667"/>
      <c r="O49" s="21">
        <f t="shared" si="18"/>
        <v>-0.01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0.05</v>
      </c>
      <c r="L50" s="667"/>
      <c r="M50" s="21">
        <f t="shared" si="17"/>
        <v>0</v>
      </c>
      <c r="N50" s="667"/>
      <c r="O50" s="21">
        <f t="shared" si="18"/>
        <v>-0.01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0.05</v>
      </c>
      <c r="L51" s="667"/>
      <c r="M51" s="21">
        <f t="shared" si="17"/>
        <v>0</v>
      </c>
      <c r="N51" s="667"/>
      <c r="O51" s="21">
        <f t="shared" si="18"/>
        <v>-0.01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0.05</v>
      </c>
      <c r="L52" s="667"/>
      <c r="M52" s="21">
        <f t="shared" si="17"/>
        <v>0</v>
      </c>
      <c r="N52" s="667"/>
      <c r="O52" s="21">
        <f t="shared" si="18"/>
        <v>-0.01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0.05</v>
      </c>
      <c r="L53" s="667"/>
      <c r="M53" s="21">
        <f t="shared" si="17"/>
        <v>0</v>
      </c>
      <c r="N53" s="667"/>
      <c r="O53" s="21">
        <f t="shared" si="18"/>
        <v>-0.01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0.05</v>
      </c>
      <c r="L54" s="667"/>
      <c r="M54" s="21">
        <f t="shared" si="17"/>
        <v>0</v>
      </c>
      <c r="N54" s="667"/>
      <c r="O54" s="21">
        <f t="shared" si="18"/>
        <v>-0.01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0.05</v>
      </c>
      <c r="L55" s="667"/>
      <c r="M55" s="21">
        <f t="shared" si="17"/>
        <v>0</v>
      </c>
      <c r="N55" s="667"/>
      <c r="O55" s="21">
        <f t="shared" si="18"/>
        <v>-0.01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0.05</v>
      </c>
      <c r="L56" s="667"/>
      <c r="M56" s="21">
        <f t="shared" si="17"/>
        <v>0</v>
      </c>
      <c r="N56" s="667"/>
      <c r="O56" s="21">
        <f t="shared" si="18"/>
        <v>-0.01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0.05</v>
      </c>
      <c r="L57" s="667"/>
      <c r="M57" s="21">
        <f t="shared" si="17"/>
        <v>0</v>
      </c>
      <c r="N57" s="667"/>
      <c r="O57" s="21">
        <f t="shared" si="18"/>
        <v>-0.01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0.05</v>
      </c>
      <c r="L58" s="667"/>
      <c r="M58" s="21">
        <f t="shared" si="17"/>
        <v>0</v>
      </c>
      <c r="N58" s="667"/>
      <c r="O58" s="21">
        <f t="shared" si="18"/>
        <v>-0.01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0.05</v>
      </c>
      <c r="L59" s="667"/>
      <c r="M59" s="21">
        <f t="shared" si="17"/>
        <v>0</v>
      </c>
      <c r="N59" s="667"/>
      <c r="O59" s="21">
        <f t="shared" si="18"/>
        <v>-0.01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0.05</v>
      </c>
      <c r="L60" s="667"/>
      <c r="M60" s="21">
        <f t="shared" si="17"/>
        <v>0</v>
      </c>
      <c r="N60" s="667"/>
      <c r="O60" s="21">
        <f t="shared" si="18"/>
        <v>-0.01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0.05</v>
      </c>
      <c r="L61" s="667"/>
      <c r="M61" s="21">
        <f t="shared" si="17"/>
        <v>0</v>
      </c>
      <c r="N61" s="667"/>
      <c r="O61" s="21">
        <f t="shared" si="18"/>
        <v>-0.01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0.05</v>
      </c>
      <c r="L62" s="667"/>
      <c r="M62" s="21">
        <f t="shared" si="17"/>
        <v>0</v>
      </c>
      <c r="N62" s="667"/>
      <c r="O62" s="21">
        <f t="shared" si="18"/>
        <v>-0.01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0.05</v>
      </c>
      <c r="L63" s="667"/>
      <c r="M63" s="21">
        <f t="shared" si="17"/>
        <v>0</v>
      </c>
      <c r="N63" s="667"/>
      <c r="O63" s="21">
        <f t="shared" si="18"/>
        <v>-0.01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0.05</v>
      </c>
      <c r="L64" s="667"/>
      <c r="M64" s="21">
        <f t="shared" si="17"/>
        <v>0</v>
      </c>
      <c r="N64" s="667"/>
      <c r="O64" s="21">
        <f t="shared" si="18"/>
        <v>-0.01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0.05</v>
      </c>
      <c r="L65" s="667"/>
      <c r="M65" s="21">
        <f t="shared" si="17"/>
        <v>0</v>
      </c>
      <c r="N65" s="667"/>
      <c r="O65" s="21">
        <f t="shared" si="18"/>
        <v>-0.01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0.05</v>
      </c>
      <c r="L66" s="667"/>
      <c r="M66" s="21">
        <f t="shared" si="17"/>
        <v>0</v>
      </c>
      <c r="N66" s="667"/>
      <c r="O66" s="21">
        <f t="shared" si="18"/>
        <v>-0.01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0.05</v>
      </c>
      <c r="L67" s="667"/>
      <c r="M67" s="21">
        <f t="shared" si="17"/>
        <v>0</v>
      </c>
      <c r="N67" s="667"/>
      <c r="O67" s="21">
        <f t="shared" si="18"/>
        <v>-0.01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0.05</v>
      </c>
      <c r="L68" s="667"/>
      <c r="M68" s="21">
        <f t="shared" si="17"/>
        <v>0</v>
      </c>
      <c r="N68" s="667"/>
      <c r="O68" s="21">
        <f t="shared" si="18"/>
        <v>-0.01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0.05</v>
      </c>
      <c r="L69" s="667"/>
      <c r="M69" s="21">
        <f t="shared" si="17"/>
        <v>0</v>
      </c>
      <c r="N69" s="667"/>
      <c r="O69" s="21">
        <f t="shared" si="18"/>
        <v>-0.01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0.05</v>
      </c>
      <c r="L70" s="667"/>
      <c r="M70" s="21">
        <f t="shared" si="17"/>
        <v>0</v>
      </c>
      <c r="N70" s="667"/>
      <c r="O70" s="21">
        <f t="shared" si="18"/>
        <v>-0.01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0.05</v>
      </c>
      <c r="L71" s="667"/>
      <c r="M71" s="21">
        <f t="shared" si="17"/>
        <v>0</v>
      </c>
      <c r="N71" s="667"/>
      <c r="O71" s="21">
        <f t="shared" si="18"/>
        <v>-0.01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0.05</v>
      </c>
      <c r="L72" s="667"/>
      <c r="M72" s="21">
        <f t="shared" si="17"/>
        <v>0</v>
      </c>
      <c r="N72" s="667"/>
      <c r="O72" s="21">
        <f t="shared" si="18"/>
        <v>-0.01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0.05</v>
      </c>
      <c r="L73" s="667"/>
      <c r="M73" s="21">
        <f t="shared" si="17"/>
        <v>0</v>
      </c>
      <c r="N73" s="667"/>
      <c r="O73" s="21">
        <f t="shared" si="18"/>
        <v>-0.01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0.05</v>
      </c>
      <c r="L74" s="667"/>
      <c r="M74" s="21">
        <f t="shared" si="17"/>
        <v>0</v>
      </c>
      <c r="N74" s="667"/>
      <c r="O74" s="21">
        <f t="shared" si="18"/>
        <v>-0.01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0.05</v>
      </c>
      <c r="L75" s="667"/>
      <c r="M75" s="21">
        <f t="shared" si="17"/>
        <v>0</v>
      </c>
      <c r="N75" s="667"/>
      <c r="O75" s="21">
        <f t="shared" si="18"/>
        <v>-0.01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0.05</v>
      </c>
      <c r="L76" s="667"/>
      <c r="M76" s="21">
        <f t="shared" si="17"/>
        <v>0</v>
      </c>
      <c r="N76" s="667"/>
      <c r="O76" s="21">
        <f t="shared" si="18"/>
        <v>-0.01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0.05</v>
      </c>
      <c r="L77" s="667"/>
      <c r="M77" s="21">
        <f t="shared" si="17"/>
        <v>0</v>
      </c>
      <c r="N77" s="667"/>
      <c r="O77" s="21">
        <f t="shared" si="18"/>
        <v>-0.01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0.05</v>
      </c>
      <c r="L78" s="667"/>
      <c r="M78" s="21">
        <f t="shared" si="17"/>
        <v>0</v>
      </c>
      <c r="N78" s="667"/>
      <c r="O78" s="21">
        <f t="shared" si="18"/>
        <v>-0.01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0.05</v>
      </c>
      <c r="L79" s="667"/>
      <c r="M79" s="21">
        <f t="shared" si="17"/>
        <v>0</v>
      </c>
      <c r="N79" s="667"/>
      <c r="O79" s="21">
        <f t="shared" si="18"/>
        <v>-0.01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0.05</v>
      </c>
      <c r="L80" s="667"/>
      <c r="M80" s="21">
        <f t="shared" si="17"/>
        <v>0</v>
      </c>
      <c r="N80" s="667"/>
      <c r="O80" s="21">
        <f t="shared" si="18"/>
        <v>-0.01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0.05</v>
      </c>
      <c r="L81" s="667"/>
      <c r="M81" s="21">
        <f t="shared" si="17"/>
        <v>0</v>
      </c>
      <c r="N81" s="667"/>
      <c r="O81" s="21">
        <f t="shared" si="18"/>
        <v>-0.01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0.05</v>
      </c>
      <c r="L82" s="667"/>
      <c r="M82" s="21">
        <f t="shared" si="17"/>
        <v>0</v>
      </c>
      <c r="N82" s="667"/>
      <c r="O82" s="21">
        <f t="shared" si="18"/>
        <v>-0.01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0.05</v>
      </c>
      <c r="L83" s="667"/>
      <c r="M83" s="21">
        <f t="shared" si="17"/>
        <v>0</v>
      </c>
      <c r="N83" s="667"/>
      <c r="O83" s="21">
        <f t="shared" si="18"/>
        <v>-0.01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0.05</v>
      </c>
      <c r="L84" s="667"/>
      <c r="M84" s="21">
        <f t="shared" si="17"/>
        <v>0</v>
      </c>
      <c r="N84" s="667"/>
      <c r="O84" s="21">
        <f t="shared" si="18"/>
        <v>-0.01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0.05</v>
      </c>
      <c r="L85" s="667"/>
      <c r="M85" s="21">
        <f t="shared" si="17"/>
        <v>0</v>
      </c>
      <c r="N85" s="667"/>
      <c r="O85" s="21">
        <f t="shared" si="18"/>
        <v>-0.01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0.05</v>
      </c>
      <c r="L86" s="667"/>
      <c r="M86" s="21">
        <f t="shared" si="17"/>
        <v>0</v>
      </c>
      <c r="N86" s="667"/>
      <c r="O86" s="21">
        <f t="shared" si="18"/>
        <v>-0.01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0.05</v>
      </c>
      <c r="L87" s="667"/>
      <c r="M87" s="21">
        <f t="shared" si="17"/>
        <v>0</v>
      </c>
      <c r="N87" s="667"/>
      <c r="O87" s="21">
        <f t="shared" si="18"/>
        <v>-0.01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0.05</v>
      </c>
      <c r="L88" s="667"/>
      <c r="M88" s="21">
        <f t="shared" si="17"/>
        <v>0</v>
      </c>
      <c r="N88" s="667"/>
      <c r="O88" s="21">
        <f t="shared" si="18"/>
        <v>-0.01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0.05</v>
      </c>
      <c r="L89" s="667"/>
      <c r="M89" s="21">
        <f t="shared" si="17"/>
        <v>0</v>
      </c>
      <c r="N89" s="667"/>
      <c r="O89" s="21">
        <f t="shared" si="18"/>
        <v>-0.01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0.05</v>
      </c>
      <c r="L90" s="667"/>
      <c r="M90" s="21">
        <f t="shared" ref="M90:M153" si="28">(SUMIF($13:$13,L90,$14:$14)-SUMIF($13:$13,$L$24,$14:$14)+100)/100</f>
        <v>0</v>
      </c>
      <c r="N90" s="667"/>
      <c r="O90" s="21">
        <f t="shared" ref="O90:O153" si="29">(SUMIF($15:$15,N90,$16:$16)-SUMIF($15:$15,$N$24,$16:$16)+100)/100</f>
        <v>-0.01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0.05</v>
      </c>
      <c r="L91" s="667"/>
      <c r="M91" s="21">
        <f t="shared" si="28"/>
        <v>0</v>
      </c>
      <c r="N91" s="667"/>
      <c r="O91" s="21">
        <f t="shared" si="29"/>
        <v>-0.01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0.05</v>
      </c>
      <c r="L92" s="667"/>
      <c r="M92" s="21">
        <f t="shared" si="28"/>
        <v>0</v>
      </c>
      <c r="N92" s="667"/>
      <c r="O92" s="21">
        <f t="shared" si="29"/>
        <v>-0.01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0.05</v>
      </c>
      <c r="L93" s="667"/>
      <c r="M93" s="21">
        <f t="shared" si="28"/>
        <v>0</v>
      </c>
      <c r="N93" s="667"/>
      <c r="O93" s="21">
        <f t="shared" si="29"/>
        <v>-0.01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0.05</v>
      </c>
      <c r="L94" s="667"/>
      <c r="M94" s="21">
        <f t="shared" si="28"/>
        <v>0</v>
      </c>
      <c r="N94" s="667"/>
      <c r="O94" s="21">
        <f t="shared" si="29"/>
        <v>-0.01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0.05</v>
      </c>
      <c r="L95" s="667"/>
      <c r="M95" s="21">
        <f t="shared" si="28"/>
        <v>0</v>
      </c>
      <c r="N95" s="667"/>
      <c r="O95" s="21">
        <f t="shared" si="29"/>
        <v>-0.01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0.05</v>
      </c>
      <c r="L96" s="667"/>
      <c r="M96" s="21">
        <f t="shared" si="28"/>
        <v>0</v>
      </c>
      <c r="N96" s="667"/>
      <c r="O96" s="21">
        <f t="shared" si="29"/>
        <v>-0.01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0.05</v>
      </c>
      <c r="L97" s="667"/>
      <c r="M97" s="21">
        <f t="shared" si="28"/>
        <v>0</v>
      </c>
      <c r="N97" s="667"/>
      <c r="O97" s="21">
        <f t="shared" si="29"/>
        <v>-0.01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0.05</v>
      </c>
      <c r="L98" s="667"/>
      <c r="M98" s="21">
        <f t="shared" si="28"/>
        <v>0</v>
      </c>
      <c r="N98" s="667"/>
      <c r="O98" s="21">
        <f t="shared" si="29"/>
        <v>-0.01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0.05</v>
      </c>
      <c r="L99" s="667"/>
      <c r="M99" s="21">
        <f t="shared" si="28"/>
        <v>0</v>
      </c>
      <c r="N99" s="667"/>
      <c r="O99" s="21">
        <f t="shared" si="29"/>
        <v>-0.01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0.05</v>
      </c>
      <c r="L100" s="667"/>
      <c r="M100" s="21">
        <f t="shared" si="28"/>
        <v>0</v>
      </c>
      <c r="N100" s="667"/>
      <c r="O100" s="21">
        <f t="shared" si="29"/>
        <v>-0.01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0.05</v>
      </c>
      <c r="L101" s="667"/>
      <c r="M101" s="21">
        <f t="shared" si="28"/>
        <v>0</v>
      </c>
      <c r="N101" s="667"/>
      <c r="O101" s="21">
        <f t="shared" si="29"/>
        <v>-0.01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0.05</v>
      </c>
      <c r="L102" s="667"/>
      <c r="M102" s="21">
        <f t="shared" si="28"/>
        <v>0</v>
      </c>
      <c r="N102" s="667"/>
      <c r="O102" s="21">
        <f t="shared" si="29"/>
        <v>-0.01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0.05</v>
      </c>
      <c r="L103" s="667"/>
      <c r="M103" s="21">
        <f t="shared" si="28"/>
        <v>0</v>
      </c>
      <c r="N103" s="667"/>
      <c r="O103" s="21">
        <f t="shared" si="29"/>
        <v>-0.01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0.05</v>
      </c>
      <c r="L104" s="667"/>
      <c r="M104" s="21">
        <f t="shared" si="28"/>
        <v>0</v>
      </c>
      <c r="N104" s="667"/>
      <c r="O104" s="21">
        <f t="shared" si="29"/>
        <v>-0.01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0.05</v>
      </c>
      <c r="L105" s="667"/>
      <c r="M105" s="21">
        <f t="shared" si="28"/>
        <v>0</v>
      </c>
      <c r="N105" s="667"/>
      <c r="O105" s="21">
        <f t="shared" si="29"/>
        <v>-0.01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0.05</v>
      </c>
      <c r="L106" s="667"/>
      <c r="M106" s="21">
        <f t="shared" si="28"/>
        <v>0</v>
      </c>
      <c r="N106" s="667"/>
      <c r="O106" s="21">
        <f t="shared" si="29"/>
        <v>-0.01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0.05</v>
      </c>
      <c r="L107" s="667"/>
      <c r="M107" s="21">
        <f t="shared" si="28"/>
        <v>0</v>
      </c>
      <c r="N107" s="667"/>
      <c r="O107" s="21">
        <f t="shared" si="29"/>
        <v>-0.01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0.05</v>
      </c>
      <c r="L108" s="667"/>
      <c r="M108" s="21">
        <f t="shared" si="28"/>
        <v>0</v>
      </c>
      <c r="N108" s="667"/>
      <c r="O108" s="21">
        <f t="shared" si="29"/>
        <v>-0.01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0.05</v>
      </c>
      <c r="L109" s="667"/>
      <c r="M109" s="21">
        <f t="shared" si="28"/>
        <v>0</v>
      </c>
      <c r="N109" s="667"/>
      <c r="O109" s="21">
        <f t="shared" si="29"/>
        <v>-0.01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0.05</v>
      </c>
      <c r="L110" s="667"/>
      <c r="M110" s="21">
        <f t="shared" si="28"/>
        <v>0</v>
      </c>
      <c r="N110" s="667"/>
      <c r="O110" s="21">
        <f t="shared" si="29"/>
        <v>-0.01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0.05</v>
      </c>
      <c r="L111" s="667"/>
      <c r="M111" s="21">
        <f t="shared" si="28"/>
        <v>0</v>
      </c>
      <c r="N111" s="667"/>
      <c r="O111" s="21">
        <f t="shared" si="29"/>
        <v>-0.01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0.05</v>
      </c>
      <c r="L112" s="667"/>
      <c r="M112" s="21">
        <f t="shared" si="28"/>
        <v>0</v>
      </c>
      <c r="N112" s="667"/>
      <c r="O112" s="21">
        <f t="shared" si="29"/>
        <v>-0.01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0.05</v>
      </c>
      <c r="L113" s="667"/>
      <c r="M113" s="21">
        <f t="shared" si="28"/>
        <v>0</v>
      </c>
      <c r="N113" s="667"/>
      <c r="O113" s="21">
        <f t="shared" si="29"/>
        <v>-0.01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0.05</v>
      </c>
      <c r="L114" s="667"/>
      <c r="M114" s="21">
        <f t="shared" si="28"/>
        <v>0</v>
      </c>
      <c r="N114" s="667"/>
      <c r="O114" s="21">
        <f t="shared" si="29"/>
        <v>-0.01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0.05</v>
      </c>
      <c r="L115" s="667"/>
      <c r="M115" s="21">
        <f t="shared" si="28"/>
        <v>0</v>
      </c>
      <c r="N115" s="667"/>
      <c r="O115" s="21">
        <f t="shared" si="29"/>
        <v>-0.01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0.05</v>
      </c>
      <c r="L116" s="667"/>
      <c r="M116" s="21">
        <f t="shared" si="28"/>
        <v>0</v>
      </c>
      <c r="N116" s="667"/>
      <c r="O116" s="21">
        <f t="shared" si="29"/>
        <v>-0.01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0.05</v>
      </c>
      <c r="L117" s="667"/>
      <c r="M117" s="21">
        <f t="shared" si="28"/>
        <v>0</v>
      </c>
      <c r="N117" s="667"/>
      <c r="O117" s="21">
        <f t="shared" si="29"/>
        <v>-0.01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0.05</v>
      </c>
      <c r="L118" s="667"/>
      <c r="M118" s="21">
        <f t="shared" si="28"/>
        <v>0</v>
      </c>
      <c r="N118" s="667"/>
      <c r="O118" s="21">
        <f t="shared" si="29"/>
        <v>-0.01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0.05</v>
      </c>
      <c r="L119" s="667"/>
      <c r="M119" s="21">
        <f t="shared" si="28"/>
        <v>0</v>
      </c>
      <c r="N119" s="667"/>
      <c r="O119" s="21">
        <f t="shared" si="29"/>
        <v>-0.01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0.05</v>
      </c>
      <c r="L120" s="667"/>
      <c r="M120" s="21">
        <f t="shared" si="28"/>
        <v>0</v>
      </c>
      <c r="N120" s="667"/>
      <c r="O120" s="21">
        <f t="shared" si="29"/>
        <v>-0.01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0.05</v>
      </c>
      <c r="L121" s="667"/>
      <c r="M121" s="21">
        <f t="shared" si="28"/>
        <v>0</v>
      </c>
      <c r="N121" s="667"/>
      <c r="O121" s="21">
        <f t="shared" si="29"/>
        <v>-0.01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0.05</v>
      </c>
      <c r="L122" s="667"/>
      <c r="M122" s="21">
        <f t="shared" si="28"/>
        <v>0</v>
      </c>
      <c r="N122" s="667"/>
      <c r="O122" s="21">
        <f t="shared" si="29"/>
        <v>-0.01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0.05</v>
      </c>
      <c r="L123" s="667"/>
      <c r="M123" s="21">
        <f t="shared" si="28"/>
        <v>0</v>
      </c>
      <c r="N123" s="667"/>
      <c r="O123" s="21">
        <f t="shared" si="29"/>
        <v>-0.01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0.05</v>
      </c>
      <c r="L124" s="667"/>
      <c r="M124" s="21">
        <f t="shared" si="28"/>
        <v>0</v>
      </c>
      <c r="N124" s="667"/>
      <c r="O124" s="21">
        <f t="shared" si="29"/>
        <v>-0.01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0.05</v>
      </c>
      <c r="L125" s="667"/>
      <c r="M125" s="21">
        <f t="shared" si="28"/>
        <v>0</v>
      </c>
      <c r="N125" s="667"/>
      <c r="O125" s="21">
        <f t="shared" si="29"/>
        <v>-0.01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0.05</v>
      </c>
      <c r="L126" s="667"/>
      <c r="M126" s="21">
        <f t="shared" si="28"/>
        <v>0</v>
      </c>
      <c r="N126" s="667"/>
      <c r="O126" s="21">
        <f t="shared" si="29"/>
        <v>-0.01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0.05</v>
      </c>
      <c r="L127" s="667"/>
      <c r="M127" s="21">
        <f t="shared" si="28"/>
        <v>0</v>
      </c>
      <c r="N127" s="667"/>
      <c r="O127" s="21">
        <f t="shared" si="29"/>
        <v>-0.01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0.05</v>
      </c>
      <c r="L128" s="667"/>
      <c r="M128" s="21">
        <f t="shared" si="28"/>
        <v>0</v>
      </c>
      <c r="N128" s="667"/>
      <c r="O128" s="21">
        <f t="shared" si="29"/>
        <v>-0.01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0.05</v>
      </c>
      <c r="L129" s="667"/>
      <c r="M129" s="21">
        <f t="shared" si="28"/>
        <v>0</v>
      </c>
      <c r="N129" s="667"/>
      <c r="O129" s="21">
        <f t="shared" si="29"/>
        <v>-0.01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0.05</v>
      </c>
      <c r="L130" s="667"/>
      <c r="M130" s="21">
        <f t="shared" si="28"/>
        <v>0</v>
      </c>
      <c r="N130" s="667"/>
      <c r="O130" s="21">
        <f t="shared" si="29"/>
        <v>-0.01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0.05</v>
      </c>
      <c r="L131" s="667"/>
      <c r="M131" s="21">
        <f t="shared" si="28"/>
        <v>0</v>
      </c>
      <c r="N131" s="667"/>
      <c r="O131" s="21">
        <f t="shared" si="29"/>
        <v>-0.01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0.05</v>
      </c>
      <c r="L132" s="667"/>
      <c r="M132" s="21">
        <f t="shared" si="28"/>
        <v>0</v>
      </c>
      <c r="N132" s="667"/>
      <c r="O132" s="21">
        <f t="shared" si="29"/>
        <v>-0.01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0.05</v>
      </c>
      <c r="L133" s="667"/>
      <c r="M133" s="21">
        <f t="shared" si="28"/>
        <v>0</v>
      </c>
      <c r="N133" s="667"/>
      <c r="O133" s="21">
        <f t="shared" si="29"/>
        <v>-0.01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0.05</v>
      </c>
      <c r="L134" s="667"/>
      <c r="M134" s="21">
        <f t="shared" si="28"/>
        <v>0</v>
      </c>
      <c r="N134" s="667"/>
      <c r="O134" s="21">
        <f t="shared" si="29"/>
        <v>-0.01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0.05</v>
      </c>
      <c r="L135" s="667"/>
      <c r="M135" s="21">
        <f t="shared" si="28"/>
        <v>0</v>
      </c>
      <c r="N135" s="667"/>
      <c r="O135" s="21">
        <f t="shared" si="29"/>
        <v>-0.01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0.05</v>
      </c>
      <c r="L136" s="667"/>
      <c r="M136" s="21">
        <f t="shared" si="28"/>
        <v>0</v>
      </c>
      <c r="N136" s="667"/>
      <c r="O136" s="21">
        <f t="shared" si="29"/>
        <v>-0.01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0.05</v>
      </c>
      <c r="L137" s="667"/>
      <c r="M137" s="21">
        <f t="shared" si="28"/>
        <v>0</v>
      </c>
      <c r="N137" s="667"/>
      <c r="O137" s="21">
        <f t="shared" si="29"/>
        <v>-0.01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0.05</v>
      </c>
      <c r="L138" s="667"/>
      <c r="M138" s="21">
        <f t="shared" si="28"/>
        <v>0</v>
      </c>
      <c r="N138" s="667"/>
      <c r="O138" s="21">
        <f t="shared" si="29"/>
        <v>-0.01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0.05</v>
      </c>
      <c r="L139" s="667"/>
      <c r="M139" s="21">
        <f t="shared" si="28"/>
        <v>0</v>
      </c>
      <c r="N139" s="667"/>
      <c r="O139" s="21">
        <f t="shared" si="29"/>
        <v>-0.01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0.05</v>
      </c>
      <c r="L140" s="667"/>
      <c r="M140" s="21">
        <f t="shared" si="28"/>
        <v>0</v>
      </c>
      <c r="N140" s="667"/>
      <c r="O140" s="21">
        <f t="shared" si="29"/>
        <v>-0.01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0.05</v>
      </c>
      <c r="L141" s="667"/>
      <c r="M141" s="21">
        <f t="shared" si="28"/>
        <v>0</v>
      </c>
      <c r="N141" s="667"/>
      <c r="O141" s="21">
        <f t="shared" si="29"/>
        <v>-0.01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0.05</v>
      </c>
      <c r="L142" s="667"/>
      <c r="M142" s="21">
        <f t="shared" si="28"/>
        <v>0</v>
      </c>
      <c r="N142" s="667"/>
      <c r="O142" s="21">
        <f t="shared" si="29"/>
        <v>-0.01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0.05</v>
      </c>
      <c r="L143" s="667"/>
      <c r="M143" s="21">
        <f t="shared" si="28"/>
        <v>0</v>
      </c>
      <c r="N143" s="667"/>
      <c r="O143" s="21">
        <f t="shared" si="29"/>
        <v>-0.01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0.05</v>
      </c>
      <c r="L144" s="667"/>
      <c r="M144" s="21">
        <f t="shared" si="28"/>
        <v>0</v>
      </c>
      <c r="N144" s="667"/>
      <c r="O144" s="21">
        <f t="shared" si="29"/>
        <v>-0.01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0.05</v>
      </c>
      <c r="L145" s="667"/>
      <c r="M145" s="21">
        <f t="shared" si="28"/>
        <v>0</v>
      </c>
      <c r="N145" s="667"/>
      <c r="O145" s="21">
        <f t="shared" si="29"/>
        <v>-0.01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0.05</v>
      </c>
      <c r="L146" s="667"/>
      <c r="M146" s="21">
        <f t="shared" si="28"/>
        <v>0</v>
      </c>
      <c r="N146" s="667"/>
      <c r="O146" s="21">
        <f t="shared" si="29"/>
        <v>-0.01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0.05</v>
      </c>
      <c r="L147" s="667"/>
      <c r="M147" s="21">
        <f t="shared" si="28"/>
        <v>0</v>
      </c>
      <c r="N147" s="667"/>
      <c r="O147" s="21">
        <f t="shared" si="29"/>
        <v>-0.01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0.05</v>
      </c>
      <c r="L148" s="667"/>
      <c r="M148" s="21">
        <f t="shared" si="28"/>
        <v>0</v>
      </c>
      <c r="N148" s="667"/>
      <c r="O148" s="21">
        <f t="shared" si="29"/>
        <v>-0.01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0.05</v>
      </c>
      <c r="L149" s="667"/>
      <c r="M149" s="21">
        <f t="shared" si="28"/>
        <v>0</v>
      </c>
      <c r="N149" s="667"/>
      <c r="O149" s="21">
        <f t="shared" si="29"/>
        <v>-0.01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0.05</v>
      </c>
      <c r="L150" s="667"/>
      <c r="M150" s="21">
        <f t="shared" si="28"/>
        <v>0</v>
      </c>
      <c r="N150" s="667"/>
      <c r="O150" s="21">
        <f t="shared" si="29"/>
        <v>-0.01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0.05</v>
      </c>
      <c r="L151" s="667"/>
      <c r="M151" s="21">
        <f t="shared" si="28"/>
        <v>0</v>
      </c>
      <c r="N151" s="667"/>
      <c r="O151" s="21">
        <f t="shared" si="29"/>
        <v>-0.01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0.05</v>
      </c>
      <c r="L152" s="667"/>
      <c r="M152" s="21">
        <f t="shared" si="28"/>
        <v>0</v>
      </c>
      <c r="N152" s="667"/>
      <c r="O152" s="21">
        <f t="shared" si="29"/>
        <v>-0.01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0.05</v>
      </c>
      <c r="L153" s="667"/>
      <c r="M153" s="21">
        <f t="shared" si="28"/>
        <v>0</v>
      </c>
      <c r="N153" s="667"/>
      <c r="O153" s="21">
        <f t="shared" si="29"/>
        <v>-0.01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0.05</v>
      </c>
      <c r="L154" s="667"/>
      <c r="M154" s="21">
        <f t="shared" ref="M154:M217" si="38">(SUMIF($13:$13,L154,$14:$14)-SUMIF($13:$13,$L$24,$14:$14)+100)/100</f>
        <v>0</v>
      </c>
      <c r="N154" s="667"/>
      <c r="O154" s="21">
        <f t="shared" ref="O154:O217" si="39">(SUMIF($15:$15,N154,$16:$16)-SUMIF($15:$15,$N$24,$16:$16)+100)/100</f>
        <v>-0.01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0.05</v>
      </c>
      <c r="L155" s="667"/>
      <c r="M155" s="21">
        <f t="shared" si="38"/>
        <v>0</v>
      </c>
      <c r="N155" s="667"/>
      <c r="O155" s="21">
        <f t="shared" si="39"/>
        <v>-0.01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0.05</v>
      </c>
      <c r="L156" s="667"/>
      <c r="M156" s="21">
        <f t="shared" si="38"/>
        <v>0</v>
      </c>
      <c r="N156" s="667"/>
      <c r="O156" s="21">
        <f t="shared" si="39"/>
        <v>-0.01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0.05</v>
      </c>
      <c r="L157" s="667"/>
      <c r="M157" s="21">
        <f t="shared" si="38"/>
        <v>0</v>
      </c>
      <c r="N157" s="667"/>
      <c r="O157" s="21">
        <f t="shared" si="39"/>
        <v>-0.01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0.05</v>
      </c>
      <c r="L158" s="667"/>
      <c r="M158" s="21">
        <f t="shared" si="38"/>
        <v>0</v>
      </c>
      <c r="N158" s="667"/>
      <c r="O158" s="21">
        <f t="shared" si="39"/>
        <v>-0.01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0.05</v>
      </c>
      <c r="L159" s="667"/>
      <c r="M159" s="21">
        <f t="shared" si="38"/>
        <v>0</v>
      </c>
      <c r="N159" s="667"/>
      <c r="O159" s="21">
        <f t="shared" si="39"/>
        <v>-0.01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0.05</v>
      </c>
      <c r="L160" s="667"/>
      <c r="M160" s="21">
        <f t="shared" si="38"/>
        <v>0</v>
      </c>
      <c r="N160" s="667"/>
      <c r="O160" s="21">
        <f t="shared" si="39"/>
        <v>-0.01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0.05</v>
      </c>
      <c r="L161" s="667"/>
      <c r="M161" s="21">
        <f t="shared" si="38"/>
        <v>0</v>
      </c>
      <c r="N161" s="667"/>
      <c r="O161" s="21">
        <f t="shared" si="39"/>
        <v>-0.01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0.05</v>
      </c>
      <c r="L162" s="667"/>
      <c r="M162" s="21">
        <f t="shared" si="38"/>
        <v>0</v>
      </c>
      <c r="N162" s="667"/>
      <c r="O162" s="21">
        <f t="shared" si="39"/>
        <v>-0.01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0.05</v>
      </c>
      <c r="L163" s="667"/>
      <c r="M163" s="21">
        <f t="shared" si="38"/>
        <v>0</v>
      </c>
      <c r="N163" s="667"/>
      <c r="O163" s="21">
        <f t="shared" si="39"/>
        <v>-0.01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0.05</v>
      </c>
      <c r="L164" s="667"/>
      <c r="M164" s="21">
        <f t="shared" si="38"/>
        <v>0</v>
      </c>
      <c r="N164" s="667"/>
      <c r="O164" s="21">
        <f t="shared" si="39"/>
        <v>-0.01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0.05</v>
      </c>
      <c r="L165" s="667"/>
      <c r="M165" s="21">
        <f t="shared" si="38"/>
        <v>0</v>
      </c>
      <c r="N165" s="667"/>
      <c r="O165" s="21">
        <f t="shared" si="39"/>
        <v>-0.01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0.05</v>
      </c>
      <c r="L166" s="667"/>
      <c r="M166" s="21">
        <f t="shared" si="38"/>
        <v>0</v>
      </c>
      <c r="N166" s="667"/>
      <c r="O166" s="21">
        <f t="shared" si="39"/>
        <v>-0.01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0.05</v>
      </c>
      <c r="L167" s="667"/>
      <c r="M167" s="21">
        <f t="shared" si="38"/>
        <v>0</v>
      </c>
      <c r="N167" s="667"/>
      <c r="O167" s="21">
        <f t="shared" si="39"/>
        <v>-0.01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0.05</v>
      </c>
      <c r="L168" s="667"/>
      <c r="M168" s="21">
        <f t="shared" si="38"/>
        <v>0</v>
      </c>
      <c r="N168" s="667"/>
      <c r="O168" s="21">
        <f t="shared" si="39"/>
        <v>-0.01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0.05</v>
      </c>
      <c r="L169" s="667"/>
      <c r="M169" s="21">
        <f t="shared" si="38"/>
        <v>0</v>
      </c>
      <c r="N169" s="667"/>
      <c r="O169" s="21">
        <f t="shared" si="39"/>
        <v>-0.01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0.05</v>
      </c>
      <c r="L170" s="667"/>
      <c r="M170" s="21">
        <f t="shared" si="38"/>
        <v>0</v>
      </c>
      <c r="N170" s="667"/>
      <c r="O170" s="21">
        <f t="shared" si="39"/>
        <v>-0.01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0.05</v>
      </c>
      <c r="L171" s="667"/>
      <c r="M171" s="21">
        <f t="shared" si="38"/>
        <v>0</v>
      </c>
      <c r="N171" s="667"/>
      <c r="O171" s="21">
        <f t="shared" si="39"/>
        <v>-0.01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0.05</v>
      </c>
      <c r="L172" s="667"/>
      <c r="M172" s="21">
        <f t="shared" si="38"/>
        <v>0</v>
      </c>
      <c r="N172" s="667"/>
      <c r="O172" s="21">
        <f t="shared" si="39"/>
        <v>-0.01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0.05</v>
      </c>
      <c r="L173" s="667"/>
      <c r="M173" s="21">
        <f t="shared" si="38"/>
        <v>0</v>
      </c>
      <c r="N173" s="667"/>
      <c r="O173" s="21">
        <f t="shared" si="39"/>
        <v>-0.01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0.05</v>
      </c>
      <c r="L174" s="667"/>
      <c r="M174" s="21">
        <f t="shared" si="38"/>
        <v>0</v>
      </c>
      <c r="N174" s="667"/>
      <c r="O174" s="21">
        <f t="shared" si="39"/>
        <v>-0.01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0.05</v>
      </c>
      <c r="L175" s="667"/>
      <c r="M175" s="21">
        <f t="shared" si="38"/>
        <v>0</v>
      </c>
      <c r="N175" s="667"/>
      <c r="O175" s="21">
        <f t="shared" si="39"/>
        <v>-0.01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0.05</v>
      </c>
      <c r="L176" s="667"/>
      <c r="M176" s="21">
        <f t="shared" si="38"/>
        <v>0</v>
      </c>
      <c r="N176" s="667"/>
      <c r="O176" s="21">
        <f t="shared" si="39"/>
        <v>-0.01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0.05</v>
      </c>
      <c r="L177" s="667"/>
      <c r="M177" s="21">
        <f t="shared" si="38"/>
        <v>0</v>
      </c>
      <c r="N177" s="667"/>
      <c r="O177" s="21">
        <f t="shared" si="39"/>
        <v>-0.01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0.05</v>
      </c>
      <c r="L178" s="667"/>
      <c r="M178" s="21">
        <f t="shared" si="38"/>
        <v>0</v>
      </c>
      <c r="N178" s="667"/>
      <c r="O178" s="21">
        <f t="shared" si="39"/>
        <v>-0.01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0.05</v>
      </c>
      <c r="L179" s="667"/>
      <c r="M179" s="21">
        <f t="shared" si="38"/>
        <v>0</v>
      </c>
      <c r="N179" s="667"/>
      <c r="O179" s="21">
        <f t="shared" si="39"/>
        <v>-0.01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0.05</v>
      </c>
      <c r="L180" s="667"/>
      <c r="M180" s="21">
        <f t="shared" si="38"/>
        <v>0</v>
      </c>
      <c r="N180" s="667"/>
      <c r="O180" s="21">
        <f t="shared" si="39"/>
        <v>-0.01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0.05</v>
      </c>
      <c r="L181" s="667"/>
      <c r="M181" s="21">
        <f t="shared" si="38"/>
        <v>0</v>
      </c>
      <c r="N181" s="667"/>
      <c r="O181" s="21">
        <f t="shared" si="39"/>
        <v>-0.01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0.05</v>
      </c>
      <c r="L182" s="667"/>
      <c r="M182" s="21">
        <f t="shared" si="38"/>
        <v>0</v>
      </c>
      <c r="N182" s="667"/>
      <c r="O182" s="21">
        <f t="shared" si="39"/>
        <v>-0.01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0.05</v>
      </c>
      <c r="L183" s="667"/>
      <c r="M183" s="21">
        <f t="shared" si="38"/>
        <v>0</v>
      </c>
      <c r="N183" s="667"/>
      <c r="O183" s="21">
        <f t="shared" si="39"/>
        <v>-0.01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0.05</v>
      </c>
      <c r="L184" s="667"/>
      <c r="M184" s="21">
        <f t="shared" si="38"/>
        <v>0</v>
      </c>
      <c r="N184" s="667"/>
      <c r="O184" s="21">
        <f t="shared" si="39"/>
        <v>-0.01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0.05</v>
      </c>
      <c r="L185" s="667"/>
      <c r="M185" s="21">
        <f t="shared" si="38"/>
        <v>0</v>
      </c>
      <c r="N185" s="667"/>
      <c r="O185" s="21">
        <f t="shared" si="39"/>
        <v>-0.01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0.05</v>
      </c>
      <c r="L186" s="667"/>
      <c r="M186" s="21">
        <f t="shared" si="38"/>
        <v>0</v>
      </c>
      <c r="N186" s="667"/>
      <c r="O186" s="21">
        <f t="shared" si="39"/>
        <v>-0.01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0.05</v>
      </c>
      <c r="L187" s="667"/>
      <c r="M187" s="21">
        <f t="shared" si="38"/>
        <v>0</v>
      </c>
      <c r="N187" s="667"/>
      <c r="O187" s="21">
        <f t="shared" si="39"/>
        <v>-0.01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0.05</v>
      </c>
      <c r="L188" s="667"/>
      <c r="M188" s="21">
        <f t="shared" si="38"/>
        <v>0</v>
      </c>
      <c r="N188" s="667"/>
      <c r="O188" s="21">
        <f t="shared" si="39"/>
        <v>-0.01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0.05</v>
      </c>
      <c r="L189" s="667"/>
      <c r="M189" s="21">
        <f t="shared" si="38"/>
        <v>0</v>
      </c>
      <c r="N189" s="667"/>
      <c r="O189" s="21">
        <f t="shared" si="39"/>
        <v>-0.01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0.05</v>
      </c>
      <c r="L190" s="667"/>
      <c r="M190" s="21">
        <f t="shared" si="38"/>
        <v>0</v>
      </c>
      <c r="N190" s="667"/>
      <c r="O190" s="21">
        <f t="shared" si="39"/>
        <v>-0.01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0.05</v>
      </c>
      <c r="L191" s="667"/>
      <c r="M191" s="21">
        <f t="shared" si="38"/>
        <v>0</v>
      </c>
      <c r="N191" s="667"/>
      <c r="O191" s="21">
        <f t="shared" si="39"/>
        <v>-0.01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0.05</v>
      </c>
      <c r="L192" s="667"/>
      <c r="M192" s="21">
        <f t="shared" si="38"/>
        <v>0</v>
      </c>
      <c r="N192" s="667"/>
      <c r="O192" s="21">
        <f t="shared" si="39"/>
        <v>-0.01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0.05</v>
      </c>
      <c r="L193" s="667"/>
      <c r="M193" s="21">
        <f t="shared" si="38"/>
        <v>0</v>
      </c>
      <c r="N193" s="667"/>
      <c r="O193" s="21">
        <f t="shared" si="39"/>
        <v>-0.01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0.05</v>
      </c>
      <c r="L194" s="667"/>
      <c r="M194" s="21">
        <f t="shared" si="38"/>
        <v>0</v>
      </c>
      <c r="N194" s="667"/>
      <c r="O194" s="21">
        <f t="shared" si="39"/>
        <v>-0.01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0.05</v>
      </c>
      <c r="L195" s="667"/>
      <c r="M195" s="21">
        <f t="shared" si="38"/>
        <v>0</v>
      </c>
      <c r="N195" s="667"/>
      <c r="O195" s="21">
        <f t="shared" si="39"/>
        <v>-0.01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0.05</v>
      </c>
      <c r="L196" s="667"/>
      <c r="M196" s="21">
        <f t="shared" si="38"/>
        <v>0</v>
      </c>
      <c r="N196" s="667"/>
      <c r="O196" s="21">
        <f t="shared" si="39"/>
        <v>-0.01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0.05</v>
      </c>
      <c r="L197" s="667"/>
      <c r="M197" s="21">
        <f t="shared" si="38"/>
        <v>0</v>
      </c>
      <c r="N197" s="667"/>
      <c r="O197" s="21">
        <f t="shared" si="39"/>
        <v>-0.01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0.05</v>
      </c>
      <c r="L198" s="667"/>
      <c r="M198" s="21">
        <f t="shared" si="38"/>
        <v>0</v>
      </c>
      <c r="N198" s="667"/>
      <c r="O198" s="21">
        <f t="shared" si="39"/>
        <v>-0.01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0.05</v>
      </c>
      <c r="L199" s="667"/>
      <c r="M199" s="21">
        <f t="shared" si="38"/>
        <v>0</v>
      </c>
      <c r="N199" s="667"/>
      <c r="O199" s="21">
        <f t="shared" si="39"/>
        <v>-0.01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0.05</v>
      </c>
      <c r="L200" s="667"/>
      <c r="M200" s="21">
        <f t="shared" si="38"/>
        <v>0</v>
      </c>
      <c r="N200" s="667"/>
      <c r="O200" s="21">
        <f t="shared" si="39"/>
        <v>-0.01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0.05</v>
      </c>
      <c r="L201" s="667"/>
      <c r="M201" s="21">
        <f t="shared" si="38"/>
        <v>0</v>
      </c>
      <c r="N201" s="667"/>
      <c r="O201" s="21">
        <f t="shared" si="39"/>
        <v>-0.01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0.05</v>
      </c>
      <c r="L202" s="667"/>
      <c r="M202" s="21">
        <f t="shared" si="38"/>
        <v>0</v>
      </c>
      <c r="N202" s="667"/>
      <c r="O202" s="21">
        <f t="shared" si="39"/>
        <v>-0.01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0.05</v>
      </c>
      <c r="L203" s="667"/>
      <c r="M203" s="21">
        <f t="shared" si="38"/>
        <v>0</v>
      </c>
      <c r="N203" s="667"/>
      <c r="O203" s="21">
        <f t="shared" si="39"/>
        <v>-0.01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0.05</v>
      </c>
      <c r="L204" s="667"/>
      <c r="M204" s="21">
        <f t="shared" si="38"/>
        <v>0</v>
      </c>
      <c r="N204" s="667"/>
      <c r="O204" s="21">
        <f t="shared" si="39"/>
        <v>-0.01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0.05</v>
      </c>
      <c r="L205" s="667"/>
      <c r="M205" s="21">
        <f t="shared" si="38"/>
        <v>0</v>
      </c>
      <c r="N205" s="667"/>
      <c r="O205" s="21">
        <f t="shared" si="39"/>
        <v>-0.01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0.05</v>
      </c>
      <c r="L206" s="667"/>
      <c r="M206" s="21">
        <f t="shared" si="38"/>
        <v>0</v>
      </c>
      <c r="N206" s="667"/>
      <c r="O206" s="21">
        <f t="shared" si="39"/>
        <v>-0.01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0.05</v>
      </c>
      <c r="L207" s="667"/>
      <c r="M207" s="21">
        <f t="shared" si="38"/>
        <v>0</v>
      </c>
      <c r="N207" s="667"/>
      <c r="O207" s="21">
        <f t="shared" si="39"/>
        <v>-0.01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0.05</v>
      </c>
      <c r="L208" s="667"/>
      <c r="M208" s="21">
        <f t="shared" si="38"/>
        <v>0</v>
      </c>
      <c r="N208" s="667"/>
      <c r="O208" s="21">
        <f t="shared" si="39"/>
        <v>-0.01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0.05</v>
      </c>
      <c r="L209" s="667"/>
      <c r="M209" s="21">
        <f t="shared" si="38"/>
        <v>0</v>
      </c>
      <c r="N209" s="667"/>
      <c r="O209" s="21">
        <f t="shared" si="39"/>
        <v>-0.01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0.05</v>
      </c>
      <c r="L210" s="667"/>
      <c r="M210" s="21">
        <f t="shared" si="38"/>
        <v>0</v>
      </c>
      <c r="N210" s="667"/>
      <c r="O210" s="21">
        <f t="shared" si="39"/>
        <v>-0.01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0.05</v>
      </c>
      <c r="L211" s="667"/>
      <c r="M211" s="21">
        <f t="shared" si="38"/>
        <v>0</v>
      </c>
      <c r="N211" s="667"/>
      <c r="O211" s="21">
        <f t="shared" si="39"/>
        <v>-0.01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0.05</v>
      </c>
      <c r="L212" s="667"/>
      <c r="M212" s="21">
        <f t="shared" si="38"/>
        <v>0</v>
      </c>
      <c r="N212" s="667"/>
      <c r="O212" s="21">
        <f t="shared" si="39"/>
        <v>-0.01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0.05</v>
      </c>
      <c r="L213" s="667"/>
      <c r="M213" s="21">
        <f t="shared" si="38"/>
        <v>0</v>
      </c>
      <c r="N213" s="667"/>
      <c r="O213" s="21">
        <f t="shared" si="39"/>
        <v>-0.01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0.05</v>
      </c>
      <c r="L214" s="667"/>
      <c r="M214" s="21">
        <f t="shared" si="38"/>
        <v>0</v>
      </c>
      <c r="N214" s="667"/>
      <c r="O214" s="21">
        <f t="shared" si="39"/>
        <v>-0.01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0.05</v>
      </c>
      <c r="L215" s="667"/>
      <c r="M215" s="21">
        <f t="shared" si="38"/>
        <v>0</v>
      </c>
      <c r="N215" s="667"/>
      <c r="O215" s="21">
        <f t="shared" si="39"/>
        <v>-0.01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0.05</v>
      </c>
      <c r="L216" s="667"/>
      <c r="M216" s="21">
        <f t="shared" si="38"/>
        <v>0</v>
      </c>
      <c r="N216" s="667"/>
      <c r="O216" s="21">
        <f t="shared" si="39"/>
        <v>-0.01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0.05</v>
      </c>
      <c r="L217" s="667"/>
      <c r="M217" s="21">
        <f t="shared" si="38"/>
        <v>0</v>
      </c>
      <c r="N217" s="667"/>
      <c r="O217" s="21">
        <f t="shared" si="39"/>
        <v>-0.01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0.05</v>
      </c>
      <c r="L218" s="667"/>
      <c r="M218" s="21">
        <f t="shared" ref="M218:M281" si="48">(SUMIF($13:$13,L218,$14:$14)-SUMIF($13:$13,$L$24,$14:$14)+100)/100</f>
        <v>0</v>
      </c>
      <c r="N218" s="667"/>
      <c r="O218" s="21">
        <f t="shared" ref="O218:O281" si="49">(SUMIF($15:$15,N218,$16:$16)-SUMIF($15:$15,$N$24,$16:$16)+100)/100</f>
        <v>-0.01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0.05</v>
      </c>
      <c r="L219" s="667"/>
      <c r="M219" s="21">
        <f t="shared" si="48"/>
        <v>0</v>
      </c>
      <c r="N219" s="667"/>
      <c r="O219" s="21">
        <f t="shared" si="49"/>
        <v>-0.01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0.05</v>
      </c>
      <c r="L220" s="667"/>
      <c r="M220" s="21">
        <f t="shared" si="48"/>
        <v>0</v>
      </c>
      <c r="N220" s="667"/>
      <c r="O220" s="21">
        <f t="shared" si="49"/>
        <v>-0.01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0.05</v>
      </c>
      <c r="L221" s="667"/>
      <c r="M221" s="21">
        <f t="shared" si="48"/>
        <v>0</v>
      </c>
      <c r="N221" s="667"/>
      <c r="O221" s="21">
        <f t="shared" si="49"/>
        <v>-0.01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0.05</v>
      </c>
      <c r="L222" s="667"/>
      <c r="M222" s="21">
        <f t="shared" si="48"/>
        <v>0</v>
      </c>
      <c r="N222" s="667"/>
      <c r="O222" s="21">
        <f t="shared" si="49"/>
        <v>-0.01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0.05</v>
      </c>
      <c r="L223" s="667"/>
      <c r="M223" s="21">
        <f t="shared" si="48"/>
        <v>0</v>
      </c>
      <c r="N223" s="667"/>
      <c r="O223" s="21">
        <f t="shared" si="49"/>
        <v>-0.01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0.05</v>
      </c>
      <c r="L224" s="667"/>
      <c r="M224" s="21">
        <f t="shared" si="48"/>
        <v>0</v>
      </c>
      <c r="N224" s="667"/>
      <c r="O224" s="21">
        <f t="shared" si="49"/>
        <v>-0.01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0.05</v>
      </c>
      <c r="L225" s="667"/>
      <c r="M225" s="21">
        <f t="shared" si="48"/>
        <v>0</v>
      </c>
      <c r="N225" s="667"/>
      <c r="O225" s="21">
        <f t="shared" si="49"/>
        <v>-0.01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0.05</v>
      </c>
      <c r="L226" s="667"/>
      <c r="M226" s="21">
        <f t="shared" si="48"/>
        <v>0</v>
      </c>
      <c r="N226" s="667"/>
      <c r="O226" s="21">
        <f t="shared" si="49"/>
        <v>-0.01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0.05</v>
      </c>
      <c r="L227" s="667"/>
      <c r="M227" s="21">
        <f t="shared" si="48"/>
        <v>0</v>
      </c>
      <c r="N227" s="667"/>
      <c r="O227" s="21">
        <f t="shared" si="49"/>
        <v>-0.01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0.05</v>
      </c>
      <c r="L228" s="667"/>
      <c r="M228" s="21">
        <f t="shared" si="48"/>
        <v>0</v>
      </c>
      <c r="N228" s="667"/>
      <c r="O228" s="21">
        <f t="shared" si="49"/>
        <v>-0.01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0.05</v>
      </c>
      <c r="L229" s="667"/>
      <c r="M229" s="21">
        <f t="shared" si="48"/>
        <v>0</v>
      </c>
      <c r="N229" s="667"/>
      <c r="O229" s="21">
        <f t="shared" si="49"/>
        <v>-0.01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0.05</v>
      </c>
      <c r="L230" s="667"/>
      <c r="M230" s="21">
        <f t="shared" si="48"/>
        <v>0</v>
      </c>
      <c r="N230" s="667"/>
      <c r="O230" s="21">
        <f t="shared" si="49"/>
        <v>-0.01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0.05</v>
      </c>
      <c r="L231" s="667"/>
      <c r="M231" s="21">
        <f t="shared" si="48"/>
        <v>0</v>
      </c>
      <c r="N231" s="667"/>
      <c r="O231" s="21">
        <f t="shared" si="49"/>
        <v>-0.01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0.05</v>
      </c>
      <c r="L232" s="667"/>
      <c r="M232" s="21">
        <f t="shared" si="48"/>
        <v>0</v>
      </c>
      <c r="N232" s="667"/>
      <c r="O232" s="21">
        <f t="shared" si="49"/>
        <v>-0.01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0.05</v>
      </c>
      <c r="L233" s="667"/>
      <c r="M233" s="21">
        <f t="shared" si="48"/>
        <v>0</v>
      </c>
      <c r="N233" s="667"/>
      <c r="O233" s="21">
        <f t="shared" si="49"/>
        <v>-0.01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0.05</v>
      </c>
      <c r="L234" s="667"/>
      <c r="M234" s="21">
        <f t="shared" si="48"/>
        <v>0</v>
      </c>
      <c r="N234" s="667"/>
      <c r="O234" s="21">
        <f t="shared" si="49"/>
        <v>-0.01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0.05</v>
      </c>
      <c r="L235" s="667"/>
      <c r="M235" s="21">
        <f t="shared" si="48"/>
        <v>0</v>
      </c>
      <c r="N235" s="667"/>
      <c r="O235" s="21">
        <f t="shared" si="49"/>
        <v>-0.01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0.05</v>
      </c>
      <c r="L236" s="667"/>
      <c r="M236" s="21">
        <f t="shared" si="48"/>
        <v>0</v>
      </c>
      <c r="N236" s="667"/>
      <c r="O236" s="21">
        <f t="shared" si="49"/>
        <v>-0.01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0.05</v>
      </c>
      <c r="L237" s="667"/>
      <c r="M237" s="21">
        <f t="shared" si="48"/>
        <v>0</v>
      </c>
      <c r="N237" s="667"/>
      <c r="O237" s="21">
        <f t="shared" si="49"/>
        <v>-0.01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0.05</v>
      </c>
      <c r="L238" s="667"/>
      <c r="M238" s="21">
        <f t="shared" si="48"/>
        <v>0</v>
      </c>
      <c r="N238" s="667"/>
      <c r="O238" s="21">
        <f t="shared" si="49"/>
        <v>-0.01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0.05</v>
      </c>
      <c r="L239" s="667"/>
      <c r="M239" s="21">
        <f t="shared" si="48"/>
        <v>0</v>
      </c>
      <c r="N239" s="667"/>
      <c r="O239" s="21">
        <f t="shared" si="49"/>
        <v>-0.01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0.05</v>
      </c>
      <c r="L240" s="667"/>
      <c r="M240" s="21">
        <f t="shared" si="48"/>
        <v>0</v>
      </c>
      <c r="N240" s="667"/>
      <c r="O240" s="21">
        <f t="shared" si="49"/>
        <v>-0.01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0.05</v>
      </c>
      <c r="L241" s="667"/>
      <c r="M241" s="21">
        <f t="shared" si="48"/>
        <v>0</v>
      </c>
      <c r="N241" s="667"/>
      <c r="O241" s="21">
        <f t="shared" si="49"/>
        <v>-0.01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0.05</v>
      </c>
      <c r="L242" s="667"/>
      <c r="M242" s="21">
        <f t="shared" si="48"/>
        <v>0</v>
      </c>
      <c r="N242" s="667"/>
      <c r="O242" s="21">
        <f t="shared" si="49"/>
        <v>-0.01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0.05</v>
      </c>
      <c r="L243" s="667"/>
      <c r="M243" s="21">
        <f t="shared" si="48"/>
        <v>0</v>
      </c>
      <c r="N243" s="667"/>
      <c r="O243" s="21">
        <f t="shared" si="49"/>
        <v>-0.01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0.05</v>
      </c>
      <c r="L244" s="667"/>
      <c r="M244" s="21">
        <f t="shared" si="48"/>
        <v>0</v>
      </c>
      <c r="N244" s="667"/>
      <c r="O244" s="21">
        <f t="shared" si="49"/>
        <v>-0.01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0.05</v>
      </c>
      <c r="L245" s="667"/>
      <c r="M245" s="21">
        <f t="shared" si="48"/>
        <v>0</v>
      </c>
      <c r="N245" s="667"/>
      <c r="O245" s="21">
        <f t="shared" si="49"/>
        <v>-0.01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0.05</v>
      </c>
      <c r="L246" s="667"/>
      <c r="M246" s="21">
        <f t="shared" si="48"/>
        <v>0</v>
      </c>
      <c r="N246" s="667"/>
      <c r="O246" s="21">
        <f t="shared" si="49"/>
        <v>-0.01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0.05</v>
      </c>
      <c r="L247" s="667"/>
      <c r="M247" s="21">
        <f t="shared" si="48"/>
        <v>0</v>
      </c>
      <c r="N247" s="667"/>
      <c r="O247" s="21">
        <f t="shared" si="49"/>
        <v>-0.01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0.05</v>
      </c>
      <c r="L248" s="667"/>
      <c r="M248" s="21">
        <f t="shared" si="48"/>
        <v>0</v>
      </c>
      <c r="N248" s="667"/>
      <c r="O248" s="21">
        <f t="shared" si="49"/>
        <v>-0.01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0.05</v>
      </c>
      <c r="L249" s="667"/>
      <c r="M249" s="21">
        <f t="shared" si="48"/>
        <v>0</v>
      </c>
      <c r="N249" s="667"/>
      <c r="O249" s="21">
        <f t="shared" si="49"/>
        <v>-0.01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0.05</v>
      </c>
      <c r="L250" s="667"/>
      <c r="M250" s="21">
        <f t="shared" si="48"/>
        <v>0</v>
      </c>
      <c r="N250" s="667"/>
      <c r="O250" s="21">
        <f t="shared" si="49"/>
        <v>-0.01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0.05</v>
      </c>
      <c r="L251" s="667"/>
      <c r="M251" s="21">
        <f t="shared" si="48"/>
        <v>0</v>
      </c>
      <c r="N251" s="667"/>
      <c r="O251" s="21">
        <f t="shared" si="49"/>
        <v>-0.01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0.05</v>
      </c>
      <c r="L252" s="667"/>
      <c r="M252" s="21">
        <f t="shared" si="48"/>
        <v>0</v>
      </c>
      <c r="N252" s="667"/>
      <c r="O252" s="21">
        <f t="shared" si="49"/>
        <v>-0.01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0.05</v>
      </c>
      <c r="L253" s="667"/>
      <c r="M253" s="21">
        <f t="shared" si="48"/>
        <v>0</v>
      </c>
      <c r="N253" s="667"/>
      <c r="O253" s="21">
        <f t="shared" si="49"/>
        <v>-0.01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0.05</v>
      </c>
      <c r="L254" s="667"/>
      <c r="M254" s="21">
        <f t="shared" si="48"/>
        <v>0</v>
      </c>
      <c r="N254" s="667"/>
      <c r="O254" s="21">
        <f t="shared" si="49"/>
        <v>-0.01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0.05</v>
      </c>
      <c r="L255" s="667"/>
      <c r="M255" s="21">
        <f t="shared" si="48"/>
        <v>0</v>
      </c>
      <c r="N255" s="667"/>
      <c r="O255" s="21">
        <f t="shared" si="49"/>
        <v>-0.01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0.05</v>
      </c>
      <c r="L256" s="667"/>
      <c r="M256" s="21">
        <f t="shared" si="48"/>
        <v>0</v>
      </c>
      <c r="N256" s="667"/>
      <c r="O256" s="21">
        <f t="shared" si="49"/>
        <v>-0.01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0.05</v>
      </c>
      <c r="L257" s="667"/>
      <c r="M257" s="21">
        <f t="shared" si="48"/>
        <v>0</v>
      </c>
      <c r="N257" s="667"/>
      <c r="O257" s="21">
        <f t="shared" si="49"/>
        <v>-0.01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0.05</v>
      </c>
      <c r="L258" s="667"/>
      <c r="M258" s="21">
        <f t="shared" si="48"/>
        <v>0</v>
      </c>
      <c r="N258" s="667"/>
      <c r="O258" s="21">
        <f t="shared" si="49"/>
        <v>-0.01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0.05</v>
      </c>
      <c r="L259" s="667"/>
      <c r="M259" s="21">
        <f t="shared" si="48"/>
        <v>0</v>
      </c>
      <c r="N259" s="667"/>
      <c r="O259" s="21">
        <f t="shared" si="49"/>
        <v>-0.01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0.05</v>
      </c>
      <c r="L260" s="667"/>
      <c r="M260" s="21">
        <f t="shared" si="48"/>
        <v>0</v>
      </c>
      <c r="N260" s="667"/>
      <c r="O260" s="21">
        <f t="shared" si="49"/>
        <v>-0.01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0.05</v>
      </c>
      <c r="L261" s="667"/>
      <c r="M261" s="21">
        <f t="shared" si="48"/>
        <v>0</v>
      </c>
      <c r="N261" s="667"/>
      <c r="O261" s="21">
        <f t="shared" si="49"/>
        <v>-0.01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0.05</v>
      </c>
      <c r="L262" s="667"/>
      <c r="M262" s="21">
        <f t="shared" si="48"/>
        <v>0</v>
      </c>
      <c r="N262" s="667"/>
      <c r="O262" s="21">
        <f t="shared" si="49"/>
        <v>-0.01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0.05</v>
      </c>
      <c r="L263" s="667"/>
      <c r="M263" s="21">
        <f t="shared" si="48"/>
        <v>0</v>
      </c>
      <c r="N263" s="667"/>
      <c r="O263" s="21">
        <f t="shared" si="49"/>
        <v>-0.01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0.05</v>
      </c>
      <c r="L264" s="667"/>
      <c r="M264" s="21">
        <f t="shared" si="48"/>
        <v>0</v>
      </c>
      <c r="N264" s="667"/>
      <c r="O264" s="21">
        <f t="shared" si="49"/>
        <v>-0.01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0.05</v>
      </c>
      <c r="L265" s="667"/>
      <c r="M265" s="21">
        <f t="shared" si="48"/>
        <v>0</v>
      </c>
      <c r="N265" s="667"/>
      <c r="O265" s="21">
        <f t="shared" si="49"/>
        <v>-0.01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0.05</v>
      </c>
      <c r="L266" s="667"/>
      <c r="M266" s="21">
        <f t="shared" si="48"/>
        <v>0</v>
      </c>
      <c r="N266" s="667"/>
      <c r="O266" s="21">
        <f t="shared" si="49"/>
        <v>-0.01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0.05</v>
      </c>
      <c r="L267" s="667"/>
      <c r="M267" s="21">
        <f t="shared" si="48"/>
        <v>0</v>
      </c>
      <c r="N267" s="667"/>
      <c r="O267" s="21">
        <f t="shared" si="49"/>
        <v>-0.01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0.05</v>
      </c>
      <c r="L268" s="667"/>
      <c r="M268" s="21">
        <f t="shared" si="48"/>
        <v>0</v>
      </c>
      <c r="N268" s="667"/>
      <c r="O268" s="21">
        <f t="shared" si="49"/>
        <v>-0.01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0.05</v>
      </c>
      <c r="L269" s="667"/>
      <c r="M269" s="21">
        <f t="shared" si="48"/>
        <v>0</v>
      </c>
      <c r="N269" s="667"/>
      <c r="O269" s="21">
        <f t="shared" si="49"/>
        <v>-0.01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0.05</v>
      </c>
      <c r="L270" s="667"/>
      <c r="M270" s="21">
        <f t="shared" si="48"/>
        <v>0</v>
      </c>
      <c r="N270" s="667"/>
      <c r="O270" s="21">
        <f t="shared" si="49"/>
        <v>-0.01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0.05</v>
      </c>
      <c r="L271" s="667"/>
      <c r="M271" s="21">
        <f t="shared" si="48"/>
        <v>0</v>
      </c>
      <c r="N271" s="667"/>
      <c r="O271" s="21">
        <f t="shared" si="49"/>
        <v>-0.01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0.05</v>
      </c>
      <c r="L272" s="667"/>
      <c r="M272" s="21">
        <f t="shared" si="48"/>
        <v>0</v>
      </c>
      <c r="N272" s="667"/>
      <c r="O272" s="21">
        <f t="shared" si="49"/>
        <v>-0.01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0.05</v>
      </c>
      <c r="L273" s="667"/>
      <c r="M273" s="21">
        <f t="shared" si="48"/>
        <v>0</v>
      </c>
      <c r="N273" s="667"/>
      <c r="O273" s="21">
        <f t="shared" si="49"/>
        <v>-0.01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0.05</v>
      </c>
      <c r="L274" s="667"/>
      <c r="M274" s="21">
        <f t="shared" si="48"/>
        <v>0</v>
      </c>
      <c r="N274" s="667"/>
      <c r="O274" s="21">
        <f t="shared" si="49"/>
        <v>-0.01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0.05</v>
      </c>
      <c r="L275" s="667"/>
      <c r="M275" s="21">
        <f t="shared" si="48"/>
        <v>0</v>
      </c>
      <c r="N275" s="667"/>
      <c r="O275" s="21">
        <f t="shared" si="49"/>
        <v>-0.01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0.05</v>
      </c>
      <c r="L276" s="667"/>
      <c r="M276" s="21">
        <f t="shared" si="48"/>
        <v>0</v>
      </c>
      <c r="N276" s="667"/>
      <c r="O276" s="21">
        <f t="shared" si="49"/>
        <v>-0.01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0.05</v>
      </c>
      <c r="L277" s="667"/>
      <c r="M277" s="21">
        <f t="shared" si="48"/>
        <v>0</v>
      </c>
      <c r="N277" s="667"/>
      <c r="O277" s="21">
        <f t="shared" si="49"/>
        <v>-0.01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0.05</v>
      </c>
      <c r="L278" s="667"/>
      <c r="M278" s="21">
        <f t="shared" si="48"/>
        <v>0</v>
      </c>
      <c r="N278" s="667"/>
      <c r="O278" s="21">
        <f t="shared" si="49"/>
        <v>-0.01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0.05</v>
      </c>
      <c r="L279" s="667"/>
      <c r="M279" s="21">
        <f t="shared" si="48"/>
        <v>0</v>
      </c>
      <c r="N279" s="667"/>
      <c r="O279" s="21">
        <f t="shared" si="49"/>
        <v>-0.01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0.05</v>
      </c>
      <c r="L280" s="667"/>
      <c r="M280" s="21">
        <f t="shared" si="48"/>
        <v>0</v>
      </c>
      <c r="N280" s="667"/>
      <c r="O280" s="21">
        <f t="shared" si="49"/>
        <v>-0.01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0.05</v>
      </c>
      <c r="L281" s="667"/>
      <c r="M281" s="21">
        <f t="shared" si="48"/>
        <v>0</v>
      </c>
      <c r="N281" s="667"/>
      <c r="O281" s="21">
        <f t="shared" si="49"/>
        <v>-0.01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0.05</v>
      </c>
      <c r="L282" s="667"/>
      <c r="M282" s="21">
        <f t="shared" ref="M282:M345" si="58">(SUMIF($13:$13,L282,$14:$14)-SUMIF($13:$13,$L$24,$14:$14)+100)/100</f>
        <v>0</v>
      </c>
      <c r="N282" s="667"/>
      <c r="O282" s="21">
        <f t="shared" ref="O282:O345" si="59">(SUMIF($15:$15,N282,$16:$16)-SUMIF($15:$15,$N$24,$16:$16)+100)/100</f>
        <v>-0.01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0.05</v>
      </c>
      <c r="L283" s="667"/>
      <c r="M283" s="21">
        <f t="shared" si="58"/>
        <v>0</v>
      </c>
      <c r="N283" s="667"/>
      <c r="O283" s="21">
        <f t="shared" si="59"/>
        <v>-0.01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0.05</v>
      </c>
      <c r="L284" s="667"/>
      <c r="M284" s="21">
        <f t="shared" si="58"/>
        <v>0</v>
      </c>
      <c r="N284" s="667"/>
      <c r="O284" s="21">
        <f t="shared" si="59"/>
        <v>-0.01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0.05</v>
      </c>
      <c r="L285" s="667"/>
      <c r="M285" s="21">
        <f t="shared" si="58"/>
        <v>0</v>
      </c>
      <c r="N285" s="667"/>
      <c r="O285" s="21">
        <f t="shared" si="59"/>
        <v>-0.01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0.05</v>
      </c>
      <c r="L286" s="667"/>
      <c r="M286" s="21">
        <f t="shared" si="58"/>
        <v>0</v>
      </c>
      <c r="N286" s="667"/>
      <c r="O286" s="21">
        <f t="shared" si="59"/>
        <v>-0.01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0.05</v>
      </c>
      <c r="L287" s="667"/>
      <c r="M287" s="21">
        <f t="shared" si="58"/>
        <v>0</v>
      </c>
      <c r="N287" s="667"/>
      <c r="O287" s="21">
        <f t="shared" si="59"/>
        <v>-0.01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0.05</v>
      </c>
      <c r="L288" s="667"/>
      <c r="M288" s="21">
        <f t="shared" si="58"/>
        <v>0</v>
      </c>
      <c r="N288" s="667"/>
      <c r="O288" s="21">
        <f t="shared" si="59"/>
        <v>-0.01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0.05</v>
      </c>
      <c r="L289" s="667"/>
      <c r="M289" s="21">
        <f t="shared" si="58"/>
        <v>0</v>
      </c>
      <c r="N289" s="667"/>
      <c r="O289" s="21">
        <f t="shared" si="59"/>
        <v>-0.01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0.05</v>
      </c>
      <c r="L290" s="667"/>
      <c r="M290" s="21">
        <f t="shared" si="58"/>
        <v>0</v>
      </c>
      <c r="N290" s="667"/>
      <c r="O290" s="21">
        <f t="shared" si="59"/>
        <v>-0.01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0.05</v>
      </c>
      <c r="L291" s="667"/>
      <c r="M291" s="21">
        <f t="shared" si="58"/>
        <v>0</v>
      </c>
      <c r="N291" s="667"/>
      <c r="O291" s="21">
        <f t="shared" si="59"/>
        <v>-0.01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0.05</v>
      </c>
      <c r="L292" s="667"/>
      <c r="M292" s="21">
        <f t="shared" si="58"/>
        <v>0</v>
      </c>
      <c r="N292" s="667"/>
      <c r="O292" s="21">
        <f t="shared" si="59"/>
        <v>-0.01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0.05</v>
      </c>
      <c r="L293" s="667"/>
      <c r="M293" s="21">
        <f t="shared" si="58"/>
        <v>0</v>
      </c>
      <c r="N293" s="667"/>
      <c r="O293" s="21">
        <f t="shared" si="59"/>
        <v>-0.01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0.05</v>
      </c>
      <c r="L294" s="667"/>
      <c r="M294" s="21">
        <f t="shared" si="58"/>
        <v>0</v>
      </c>
      <c r="N294" s="667"/>
      <c r="O294" s="21">
        <f t="shared" si="59"/>
        <v>-0.01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0.05</v>
      </c>
      <c r="L295" s="667"/>
      <c r="M295" s="21">
        <f t="shared" si="58"/>
        <v>0</v>
      </c>
      <c r="N295" s="667"/>
      <c r="O295" s="21">
        <f t="shared" si="59"/>
        <v>-0.01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0.05</v>
      </c>
      <c r="L296" s="667"/>
      <c r="M296" s="21">
        <f t="shared" si="58"/>
        <v>0</v>
      </c>
      <c r="N296" s="667"/>
      <c r="O296" s="21">
        <f t="shared" si="59"/>
        <v>-0.01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0.05</v>
      </c>
      <c r="L297" s="667"/>
      <c r="M297" s="21">
        <f t="shared" si="58"/>
        <v>0</v>
      </c>
      <c r="N297" s="667"/>
      <c r="O297" s="21">
        <f t="shared" si="59"/>
        <v>-0.01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0.05</v>
      </c>
      <c r="L298" s="667"/>
      <c r="M298" s="21">
        <f t="shared" si="58"/>
        <v>0</v>
      </c>
      <c r="N298" s="667"/>
      <c r="O298" s="21">
        <f t="shared" si="59"/>
        <v>-0.01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0.05</v>
      </c>
      <c r="L299" s="667"/>
      <c r="M299" s="21">
        <f t="shared" si="58"/>
        <v>0</v>
      </c>
      <c r="N299" s="667"/>
      <c r="O299" s="21">
        <f t="shared" si="59"/>
        <v>-0.01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0.05</v>
      </c>
      <c r="L300" s="667"/>
      <c r="M300" s="21">
        <f t="shared" si="58"/>
        <v>0</v>
      </c>
      <c r="N300" s="667"/>
      <c r="O300" s="21">
        <f t="shared" si="59"/>
        <v>-0.01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0.05</v>
      </c>
      <c r="L301" s="667"/>
      <c r="M301" s="21">
        <f t="shared" si="58"/>
        <v>0</v>
      </c>
      <c r="N301" s="667"/>
      <c r="O301" s="21">
        <f t="shared" si="59"/>
        <v>-0.01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0.05</v>
      </c>
      <c r="L302" s="667"/>
      <c r="M302" s="21">
        <f t="shared" si="58"/>
        <v>0</v>
      </c>
      <c r="N302" s="667"/>
      <c r="O302" s="21">
        <f t="shared" si="59"/>
        <v>-0.01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0.05</v>
      </c>
      <c r="L303" s="667"/>
      <c r="M303" s="21">
        <f t="shared" si="58"/>
        <v>0</v>
      </c>
      <c r="N303" s="667"/>
      <c r="O303" s="21">
        <f t="shared" si="59"/>
        <v>-0.01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0.05</v>
      </c>
      <c r="L304" s="667"/>
      <c r="M304" s="21">
        <f t="shared" si="58"/>
        <v>0</v>
      </c>
      <c r="N304" s="667"/>
      <c r="O304" s="21">
        <f t="shared" si="59"/>
        <v>-0.01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0.05</v>
      </c>
      <c r="L305" s="667"/>
      <c r="M305" s="21">
        <f t="shared" si="58"/>
        <v>0</v>
      </c>
      <c r="N305" s="667"/>
      <c r="O305" s="21">
        <f t="shared" si="59"/>
        <v>-0.01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0.05</v>
      </c>
      <c r="L306" s="667"/>
      <c r="M306" s="21">
        <f t="shared" si="58"/>
        <v>0</v>
      </c>
      <c r="N306" s="667"/>
      <c r="O306" s="21">
        <f t="shared" si="59"/>
        <v>-0.01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0.05</v>
      </c>
      <c r="L307" s="667"/>
      <c r="M307" s="21">
        <f t="shared" si="58"/>
        <v>0</v>
      </c>
      <c r="N307" s="667"/>
      <c r="O307" s="21">
        <f t="shared" si="59"/>
        <v>-0.01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0.05</v>
      </c>
      <c r="L308" s="667"/>
      <c r="M308" s="21">
        <f t="shared" si="58"/>
        <v>0</v>
      </c>
      <c r="N308" s="667"/>
      <c r="O308" s="21">
        <f t="shared" si="59"/>
        <v>-0.01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0.05</v>
      </c>
      <c r="L309" s="667"/>
      <c r="M309" s="21">
        <f t="shared" si="58"/>
        <v>0</v>
      </c>
      <c r="N309" s="667"/>
      <c r="O309" s="21">
        <f t="shared" si="59"/>
        <v>-0.01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0.05</v>
      </c>
      <c r="L310" s="667"/>
      <c r="M310" s="21">
        <f t="shared" si="58"/>
        <v>0</v>
      </c>
      <c r="N310" s="667"/>
      <c r="O310" s="21">
        <f t="shared" si="59"/>
        <v>-0.01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0.05</v>
      </c>
      <c r="L311" s="667"/>
      <c r="M311" s="21">
        <f t="shared" si="58"/>
        <v>0</v>
      </c>
      <c r="N311" s="667"/>
      <c r="O311" s="21">
        <f t="shared" si="59"/>
        <v>-0.01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0.05</v>
      </c>
      <c r="L312" s="667"/>
      <c r="M312" s="21">
        <f t="shared" si="58"/>
        <v>0</v>
      </c>
      <c r="N312" s="667"/>
      <c r="O312" s="21">
        <f t="shared" si="59"/>
        <v>-0.01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0.05</v>
      </c>
      <c r="L313" s="667"/>
      <c r="M313" s="21">
        <f t="shared" si="58"/>
        <v>0</v>
      </c>
      <c r="N313" s="667"/>
      <c r="O313" s="21">
        <f t="shared" si="59"/>
        <v>-0.01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0.05</v>
      </c>
      <c r="L314" s="667"/>
      <c r="M314" s="21">
        <f t="shared" si="58"/>
        <v>0</v>
      </c>
      <c r="N314" s="667"/>
      <c r="O314" s="21">
        <f t="shared" si="59"/>
        <v>-0.01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0.05</v>
      </c>
      <c r="L315" s="667"/>
      <c r="M315" s="21">
        <f t="shared" si="58"/>
        <v>0</v>
      </c>
      <c r="N315" s="667"/>
      <c r="O315" s="21">
        <f t="shared" si="59"/>
        <v>-0.01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0.05</v>
      </c>
      <c r="L316" s="667"/>
      <c r="M316" s="21">
        <f t="shared" si="58"/>
        <v>0</v>
      </c>
      <c r="N316" s="667"/>
      <c r="O316" s="21">
        <f t="shared" si="59"/>
        <v>-0.01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0.05</v>
      </c>
      <c r="L317" s="667"/>
      <c r="M317" s="21">
        <f t="shared" si="58"/>
        <v>0</v>
      </c>
      <c r="N317" s="667"/>
      <c r="O317" s="21">
        <f t="shared" si="59"/>
        <v>-0.01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0.05</v>
      </c>
      <c r="L318" s="667"/>
      <c r="M318" s="21">
        <f t="shared" si="58"/>
        <v>0</v>
      </c>
      <c r="N318" s="667"/>
      <c r="O318" s="21">
        <f t="shared" si="59"/>
        <v>-0.01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0.05</v>
      </c>
      <c r="L319" s="667"/>
      <c r="M319" s="21">
        <f t="shared" si="58"/>
        <v>0</v>
      </c>
      <c r="N319" s="667"/>
      <c r="O319" s="21">
        <f t="shared" si="59"/>
        <v>-0.01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0.05</v>
      </c>
      <c r="L320" s="667"/>
      <c r="M320" s="21">
        <f t="shared" si="58"/>
        <v>0</v>
      </c>
      <c r="N320" s="667"/>
      <c r="O320" s="21">
        <f t="shared" si="59"/>
        <v>-0.01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0.05</v>
      </c>
      <c r="L321" s="667"/>
      <c r="M321" s="21">
        <f t="shared" si="58"/>
        <v>0</v>
      </c>
      <c r="N321" s="667"/>
      <c r="O321" s="21">
        <f t="shared" si="59"/>
        <v>-0.01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0.05</v>
      </c>
      <c r="L322" s="667"/>
      <c r="M322" s="21">
        <f t="shared" si="58"/>
        <v>0</v>
      </c>
      <c r="N322" s="667"/>
      <c r="O322" s="21">
        <f t="shared" si="59"/>
        <v>-0.01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0.05</v>
      </c>
      <c r="L323" s="667"/>
      <c r="M323" s="21">
        <f t="shared" si="58"/>
        <v>0</v>
      </c>
      <c r="N323" s="667"/>
      <c r="O323" s="21">
        <f t="shared" si="59"/>
        <v>-0.01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0.05</v>
      </c>
      <c r="L324" s="667"/>
      <c r="M324" s="21">
        <f t="shared" si="58"/>
        <v>0</v>
      </c>
      <c r="N324" s="667"/>
      <c r="O324" s="21">
        <f t="shared" si="59"/>
        <v>-0.01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0.05</v>
      </c>
      <c r="L325" s="667"/>
      <c r="M325" s="21">
        <f t="shared" si="58"/>
        <v>0</v>
      </c>
      <c r="N325" s="667"/>
      <c r="O325" s="21">
        <f t="shared" si="59"/>
        <v>-0.01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0.05</v>
      </c>
      <c r="L326" s="667"/>
      <c r="M326" s="21">
        <f t="shared" si="58"/>
        <v>0</v>
      </c>
      <c r="N326" s="667"/>
      <c r="O326" s="21">
        <f t="shared" si="59"/>
        <v>-0.01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0.05</v>
      </c>
      <c r="L327" s="667"/>
      <c r="M327" s="21">
        <f t="shared" si="58"/>
        <v>0</v>
      </c>
      <c r="N327" s="667"/>
      <c r="O327" s="21">
        <f t="shared" si="59"/>
        <v>-0.01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0.05</v>
      </c>
      <c r="L328" s="667"/>
      <c r="M328" s="21">
        <f t="shared" si="58"/>
        <v>0</v>
      </c>
      <c r="N328" s="667"/>
      <c r="O328" s="21">
        <f t="shared" si="59"/>
        <v>-0.01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0.05</v>
      </c>
      <c r="L329" s="667"/>
      <c r="M329" s="21">
        <f t="shared" si="58"/>
        <v>0</v>
      </c>
      <c r="N329" s="667"/>
      <c r="O329" s="21">
        <f t="shared" si="59"/>
        <v>-0.01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0.05</v>
      </c>
      <c r="L330" s="667"/>
      <c r="M330" s="21">
        <f t="shared" si="58"/>
        <v>0</v>
      </c>
      <c r="N330" s="667"/>
      <c r="O330" s="21">
        <f t="shared" si="59"/>
        <v>-0.01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0.05</v>
      </c>
      <c r="L331" s="667"/>
      <c r="M331" s="21">
        <f t="shared" si="58"/>
        <v>0</v>
      </c>
      <c r="N331" s="667"/>
      <c r="O331" s="21">
        <f t="shared" si="59"/>
        <v>-0.01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0.05</v>
      </c>
      <c r="L332" s="667"/>
      <c r="M332" s="21">
        <f t="shared" si="58"/>
        <v>0</v>
      </c>
      <c r="N332" s="667"/>
      <c r="O332" s="21">
        <f t="shared" si="59"/>
        <v>-0.01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0.05</v>
      </c>
      <c r="L333" s="667"/>
      <c r="M333" s="21">
        <f t="shared" si="58"/>
        <v>0</v>
      </c>
      <c r="N333" s="667"/>
      <c r="O333" s="21">
        <f t="shared" si="59"/>
        <v>-0.01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0.05</v>
      </c>
      <c r="L334" s="667"/>
      <c r="M334" s="21">
        <f t="shared" si="58"/>
        <v>0</v>
      </c>
      <c r="N334" s="667"/>
      <c r="O334" s="21">
        <f t="shared" si="59"/>
        <v>-0.01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0.05</v>
      </c>
      <c r="L335" s="667"/>
      <c r="M335" s="21">
        <f t="shared" si="58"/>
        <v>0</v>
      </c>
      <c r="N335" s="667"/>
      <c r="O335" s="21">
        <f t="shared" si="59"/>
        <v>-0.01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0.05</v>
      </c>
      <c r="L336" s="667"/>
      <c r="M336" s="21">
        <f t="shared" si="58"/>
        <v>0</v>
      </c>
      <c r="N336" s="667"/>
      <c r="O336" s="21">
        <f t="shared" si="59"/>
        <v>-0.01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0.05</v>
      </c>
      <c r="L337" s="667"/>
      <c r="M337" s="21">
        <f t="shared" si="58"/>
        <v>0</v>
      </c>
      <c r="N337" s="667"/>
      <c r="O337" s="21">
        <f t="shared" si="59"/>
        <v>-0.01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0.05</v>
      </c>
      <c r="L338" s="667"/>
      <c r="M338" s="21">
        <f t="shared" si="58"/>
        <v>0</v>
      </c>
      <c r="N338" s="667"/>
      <c r="O338" s="21">
        <f t="shared" si="59"/>
        <v>-0.01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0.05</v>
      </c>
      <c r="L339" s="667"/>
      <c r="M339" s="21">
        <f t="shared" si="58"/>
        <v>0</v>
      </c>
      <c r="N339" s="667"/>
      <c r="O339" s="21">
        <f t="shared" si="59"/>
        <v>-0.01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0.05</v>
      </c>
      <c r="L340" s="667"/>
      <c r="M340" s="21">
        <f t="shared" si="58"/>
        <v>0</v>
      </c>
      <c r="N340" s="667"/>
      <c r="O340" s="21">
        <f t="shared" si="59"/>
        <v>-0.01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0.05</v>
      </c>
      <c r="L341" s="667"/>
      <c r="M341" s="21">
        <f t="shared" si="58"/>
        <v>0</v>
      </c>
      <c r="N341" s="667"/>
      <c r="O341" s="21">
        <f t="shared" si="59"/>
        <v>-0.01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0.05</v>
      </c>
      <c r="L342" s="667"/>
      <c r="M342" s="21">
        <f t="shared" si="58"/>
        <v>0</v>
      </c>
      <c r="N342" s="667"/>
      <c r="O342" s="21">
        <f t="shared" si="59"/>
        <v>-0.01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0.05</v>
      </c>
      <c r="L343" s="667"/>
      <c r="M343" s="21">
        <f t="shared" si="58"/>
        <v>0</v>
      </c>
      <c r="N343" s="667"/>
      <c r="O343" s="21">
        <f t="shared" si="59"/>
        <v>-0.01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0.05</v>
      </c>
      <c r="L344" s="667"/>
      <c r="M344" s="21">
        <f t="shared" si="58"/>
        <v>0</v>
      </c>
      <c r="N344" s="667"/>
      <c r="O344" s="21">
        <f t="shared" si="59"/>
        <v>-0.01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0.05</v>
      </c>
      <c r="L345" s="667"/>
      <c r="M345" s="21">
        <f t="shared" si="58"/>
        <v>0</v>
      </c>
      <c r="N345" s="667"/>
      <c r="O345" s="21">
        <f t="shared" si="59"/>
        <v>-0.01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0.05</v>
      </c>
      <c r="L346" s="667"/>
      <c r="M346" s="21">
        <f t="shared" ref="M346:M409" si="69">(SUMIF($13:$13,L346,$14:$14)-SUMIF($13:$13,$L$24,$14:$14)+100)/100</f>
        <v>0</v>
      </c>
      <c r="N346" s="667"/>
      <c r="O346" s="21">
        <f t="shared" ref="O346:O409" si="70">(SUMIF($15:$15,N346,$16:$16)-SUMIF($15:$15,$N$24,$16:$16)+100)/100</f>
        <v>-0.01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0.05</v>
      </c>
      <c r="L347" s="667"/>
      <c r="M347" s="21">
        <f t="shared" si="69"/>
        <v>0</v>
      </c>
      <c r="N347" s="667"/>
      <c r="O347" s="21">
        <f t="shared" si="70"/>
        <v>-0.01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0.05</v>
      </c>
      <c r="L348" s="667"/>
      <c r="M348" s="21">
        <f t="shared" si="69"/>
        <v>0</v>
      </c>
      <c r="N348" s="667"/>
      <c r="O348" s="21">
        <f t="shared" si="70"/>
        <v>-0.01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0.05</v>
      </c>
      <c r="L349" s="667"/>
      <c r="M349" s="21">
        <f t="shared" si="69"/>
        <v>0</v>
      </c>
      <c r="N349" s="667"/>
      <c r="O349" s="21">
        <f t="shared" si="70"/>
        <v>-0.01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0.05</v>
      </c>
      <c r="L350" s="667"/>
      <c r="M350" s="21">
        <f t="shared" si="69"/>
        <v>0</v>
      </c>
      <c r="N350" s="667"/>
      <c r="O350" s="21">
        <f t="shared" si="70"/>
        <v>-0.01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0.05</v>
      </c>
      <c r="L351" s="667"/>
      <c r="M351" s="21">
        <f t="shared" si="69"/>
        <v>0</v>
      </c>
      <c r="N351" s="667"/>
      <c r="O351" s="21">
        <f t="shared" si="70"/>
        <v>-0.01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0.05</v>
      </c>
      <c r="L352" s="667"/>
      <c r="M352" s="21">
        <f t="shared" si="69"/>
        <v>0</v>
      </c>
      <c r="N352" s="667"/>
      <c r="O352" s="21">
        <f t="shared" si="70"/>
        <v>-0.01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0.05</v>
      </c>
      <c r="L353" s="667"/>
      <c r="M353" s="21">
        <f t="shared" si="69"/>
        <v>0</v>
      </c>
      <c r="N353" s="667"/>
      <c r="O353" s="21">
        <f t="shared" si="70"/>
        <v>-0.01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0.05</v>
      </c>
      <c r="L354" s="667"/>
      <c r="M354" s="21">
        <f t="shared" si="69"/>
        <v>0</v>
      </c>
      <c r="N354" s="667"/>
      <c r="O354" s="21">
        <f t="shared" si="70"/>
        <v>-0.01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0.05</v>
      </c>
      <c r="L355" s="667"/>
      <c r="M355" s="21">
        <f t="shared" si="69"/>
        <v>0</v>
      </c>
      <c r="N355" s="667"/>
      <c r="O355" s="21">
        <f t="shared" si="70"/>
        <v>-0.01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0.05</v>
      </c>
      <c r="L356" s="667"/>
      <c r="M356" s="21">
        <f t="shared" si="69"/>
        <v>0</v>
      </c>
      <c r="N356" s="667"/>
      <c r="O356" s="21">
        <f t="shared" si="70"/>
        <v>-0.01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0.05</v>
      </c>
      <c r="L357" s="667"/>
      <c r="M357" s="21">
        <f t="shared" si="69"/>
        <v>0</v>
      </c>
      <c r="N357" s="667"/>
      <c r="O357" s="21">
        <f t="shared" si="70"/>
        <v>-0.01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0.05</v>
      </c>
      <c r="L358" s="667"/>
      <c r="M358" s="21">
        <f t="shared" si="69"/>
        <v>0</v>
      </c>
      <c r="N358" s="667"/>
      <c r="O358" s="21">
        <f t="shared" si="70"/>
        <v>-0.01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0.05</v>
      </c>
      <c r="L359" s="667"/>
      <c r="M359" s="21">
        <f t="shared" si="69"/>
        <v>0</v>
      </c>
      <c r="N359" s="667"/>
      <c r="O359" s="21">
        <f t="shared" si="70"/>
        <v>-0.01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0.05</v>
      </c>
      <c r="L360" s="667"/>
      <c r="M360" s="21">
        <f t="shared" si="69"/>
        <v>0</v>
      </c>
      <c r="N360" s="667"/>
      <c r="O360" s="21">
        <f t="shared" si="70"/>
        <v>-0.01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0.05</v>
      </c>
      <c r="L361" s="667"/>
      <c r="M361" s="21">
        <f t="shared" si="69"/>
        <v>0</v>
      </c>
      <c r="N361" s="667"/>
      <c r="O361" s="21">
        <f t="shared" si="70"/>
        <v>-0.01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0.05</v>
      </c>
      <c r="L362" s="667"/>
      <c r="M362" s="21">
        <f t="shared" si="69"/>
        <v>0</v>
      </c>
      <c r="N362" s="667"/>
      <c r="O362" s="21">
        <f t="shared" si="70"/>
        <v>-0.01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0.05</v>
      </c>
      <c r="L363" s="667"/>
      <c r="M363" s="21">
        <f t="shared" si="69"/>
        <v>0</v>
      </c>
      <c r="N363" s="667"/>
      <c r="O363" s="21">
        <f t="shared" si="70"/>
        <v>-0.01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0.05</v>
      </c>
      <c r="L364" s="667"/>
      <c r="M364" s="21">
        <f t="shared" si="69"/>
        <v>0</v>
      </c>
      <c r="N364" s="667"/>
      <c r="O364" s="21">
        <f t="shared" si="70"/>
        <v>-0.01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0.05</v>
      </c>
      <c r="L365" s="667"/>
      <c r="M365" s="21">
        <f t="shared" si="69"/>
        <v>0</v>
      </c>
      <c r="N365" s="667"/>
      <c r="O365" s="21">
        <f t="shared" si="70"/>
        <v>-0.01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0.05</v>
      </c>
      <c r="L366" s="667"/>
      <c r="M366" s="21">
        <f t="shared" si="69"/>
        <v>0</v>
      </c>
      <c r="N366" s="667"/>
      <c r="O366" s="21">
        <f t="shared" si="70"/>
        <v>-0.01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0.05</v>
      </c>
      <c r="L367" s="667"/>
      <c r="M367" s="21">
        <f t="shared" si="69"/>
        <v>0</v>
      </c>
      <c r="N367" s="667"/>
      <c r="O367" s="21">
        <f t="shared" si="70"/>
        <v>-0.01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0.05</v>
      </c>
      <c r="L368" s="667"/>
      <c r="M368" s="21">
        <f t="shared" si="69"/>
        <v>0</v>
      </c>
      <c r="N368" s="667"/>
      <c r="O368" s="21">
        <f t="shared" si="70"/>
        <v>-0.01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0.05</v>
      </c>
      <c r="L369" s="667"/>
      <c r="M369" s="21">
        <f t="shared" si="69"/>
        <v>0</v>
      </c>
      <c r="N369" s="667"/>
      <c r="O369" s="21">
        <f t="shared" si="70"/>
        <v>-0.01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0.05</v>
      </c>
      <c r="L370" s="667"/>
      <c r="M370" s="21">
        <f t="shared" si="69"/>
        <v>0</v>
      </c>
      <c r="N370" s="667"/>
      <c r="O370" s="21">
        <f t="shared" si="70"/>
        <v>-0.01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0.05</v>
      </c>
      <c r="L371" s="667"/>
      <c r="M371" s="21">
        <f t="shared" si="69"/>
        <v>0</v>
      </c>
      <c r="N371" s="667"/>
      <c r="O371" s="21">
        <f t="shared" si="70"/>
        <v>-0.01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0.05</v>
      </c>
      <c r="L372" s="667"/>
      <c r="M372" s="21">
        <f t="shared" si="69"/>
        <v>0</v>
      </c>
      <c r="N372" s="667"/>
      <c r="O372" s="21">
        <f t="shared" si="70"/>
        <v>-0.01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0.05</v>
      </c>
      <c r="L373" s="667"/>
      <c r="M373" s="21">
        <f t="shared" si="69"/>
        <v>0</v>
      </c>
      <c r="N373" s="667"/>
      <c r="O373" s="21">
        <f t="shared" si="70"/>
        <v>-0.01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0.05</v>
      </c>
      <c r="L374" s="667"/>
      <c r="M374" s="21">
        <f t="shared" si="69"/>
        <v>0</v>
      </c>
      <c r="N374" s="667"/>
      <c r="O374" s="21">
        <f t="shared" si="70"/>
        <v>-0.01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0.05</v>
      </c>
      <c r="L375" s="667"/>
      <c r="M375" s="21">
        <f t="shared" si="69"/>
        <v>0</v>
      </c>
      <c r="N375" s="667"/>
      <c r="O375" s="21">
        <f t="shared" si="70"/>
        <v>-0.01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0.05</v>
      </c>
      <c r="L376" s="667"/>
      <c r="M376" s="21">
        <f t="shared" si="69"/>
        <v>0</v>
      </c>
      <c r="N376" s="667"/>
      <c r="O376" s="21">
        <f t="shared" si="70"/>
        <v>-0.01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0.05</v>
      </c>
      <c r="L377" s="667"/>
      <c r="M377" s="21">
        <f t="shared" si="69"/>
        <v>0</v>
      </c>
      <c r="N377" s="667"/>
      <c r="O377" s="21">
        <f t="shared" si="70"/>
        <v>-0.01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0.05</v>
      </c>
      <c r="L378" s="667"/>
      <c r="M378" s="21">
        <f t="shared" si="69"/>
        <v>0</v>
      </c>
      <c r="N378" s="667"/>
      <c r="O378" s="21">
        <f t="shared" si="70"/>
        <v>-0.01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0.05</v>
      </c>
      <c r="L379" s="667"/>
      <c r="M379" s="21">
        <f t="shared" si="69"/>
        <v>0</v>
      </c>
      <c r="N379" s="667"/>
      <c r="O379" s="21">
        <f t="shared" si="70"/>
        <v>-0.01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0.05</v>
      </c>
      <c r="L380" s="667"/>
      <c r="M380" s="21">
        <f t="shared" si="69"/>
        <v>0</v>
      </c>
      <c r="N380" s="667"/>
      <c r="O380" s="21">
        <f t="shared" si="70"/>
        <v>-0.01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0.05</v>
      </c>
      <c r="L381" s="667"/>
      <c r="M381" s="21">
        <f t="shared" si="69"/>
        <v>0</v>
      </c>
      <c r="N381" s="667"/>
      <c r="O381" s="21">
        <f t="shared" si="70"/>
        <v>-0.01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0.05</v>
      </c>
      <c r="L382" s="667"/>
      <c r="M382" s="21">
        <f t="shared" si="69"/>
        <v>0</v>
      </c>
      <c r="N382" s="667"/>
      <c r="O382" s="21">
        <f t="shared" si="70"/>
        <v>-0.01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0.05</v>
      </c>
      <c r="L383" s="667"/>
      <c r="M383" s="21">
        <f t="shared" si="69"/>
        <v>0</v>
      </c>
      <c r="N383" s="667"/>
      <c r="O383" s="21">
        <f t="shared" si="70"/>
        <v>-0.01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0.05</v>
      </c>
      <c r="L384" s="667"/>
      <c r="M384" s="21">
        <f t="shared" si="69"/>
        <v>0</v>
      </c>
      <c r="N384" s="667"/>
      <c r="O384" s="21">
        <f t="shared" si="70"/>
        <v>-0.01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0.05</v>
      </c>
      <c r="L385" s="667"/>
      <c r="M385" s="21">
        <f t="shared" si="69"/>
        <v>0</v>
      </c>
      <c r="N385" s="667"/>
      <c r="O385" s="21">
        <f t="shared" si="70"/>
        <v>-0.01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0.05</v>
      </c>
      <c r="L386" s="667"/>
      <c r="M386" s="21">
        <f t="shared" si="69"/>
        <v>0</v>
      </c>
      <c r="N386" s="667"/>
      <c r="O386" s="21">
        <f t="shared" si="70"/>
        <v>-0.01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0.05</v>
      </c>
      <c r="L387" s="667"/>
      <c r="M387" s="21">
        <f t="shared" si="69"/>
        <v>0</v>
      </c>
      <c r="N387" s="667"/>
      <c r="O387" s="21">
        <f t="shared" si="70"/>
        <v>-0.01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0.05</v>
      </c>
      <c r="L388" s="667"/>
      <c r="M388" s="21">
        <f t="shared" si="69"/>
        <v>0</v>
      </c>
      <c r="N388" s="667"/>
      <c r="O388" s="21">
        <f t="shared" si="70"/>
        <v>-0.01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0.05</v>
      </c>
      <c r="L389" s="667"/>
      <c r="M389" s="21">
        <f t="shared" si="69"/>
        <v>0</v>
      </c>
      <c r="N389" s="667"/>
      <c r="O389" s="21">
        <f t="shared" si="70"/>
        <v>-0.01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0.05</v>
      </c>
      <c r="L390" s="667"/>
      <c r="M390" s="21">
        <f t="shared" si="69"/>
        <v>0</v>
      </c>
      <c r="N390" s="667"/>
      <c r="O390" s="21">
        <f t="shared" si="70"/>
        <v>-0.01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0.05</v>
      </c>
      <c r="L391" s="667"/>
      <c r="M391" s="21">
        <f t="shared" si="69"/>
        <v>0</v>
      </c>
      <c r="N391" s="667"/>
      <c r="O391" s="21">
        <f t="shared" si="70"/>
        <v>-0.01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0.05</v>
      </c>
      <c r="L392" s="667"/>
      <c r="M392" s="21">
        <f t="shared" si="69"/>
        <v>0</v>
      </c>
      <c r="N392" s="667"/>
      <c r="O392" s="21">
        <f t="shared" si="70"/>
        <v>-0.01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0.05</v>
      </c>
      <c r="L393" s="667"/>
      <c r="M393" s="21">
        <f t="shared" si="69"/>
        <v>0</v>
      </c>
      <c r="N393" s="667"/>
      <c r="O393" s="21">
        <f t="shared" si="70"/>
        <v>-0.01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0.05</v>
      </c>
      <c r="L394" s="667"/>
      <c r="M394" s="21">
        <f t="shared" si="69"/>
        <v>0</v>
      </c>
      <c r="N394" s="667"/>
      <c r="O394" s="21">
        <f t="shared" si="70"/>
        <v>-0.01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0.05</v>
      </c>
      <c r="L395" s="667"/>
      <c r="M395" s="21">
        <f t="shared" si="69"/>
        <v>0</v>
      </c>
      <c r="N395" s="667"/>
      <c r="O395" s="21">
        <f t="shared" si="70"/>
        <v>-0.01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0.05</v>
      </c>
      <c r="L396" s="667"/>
      <c r="M396" s="21">
        <f t="shared" si="69"/>
        <v>0</v>
      </c>
      <c r="N396" s="667"/>
      <c r="O396" s="21">
        <f t="shared" si="70"/>
        <v>-0.01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0.05</v>
      </c>
      <c r="L397" s="667"/>
      <c r="M397" s="21">
        <f t="shared" si="69"/>
        <v>0</v>
      </c>
      <c r="N397" s="667"/>
      <c r="O397" s="21">
        <f t="shared" si="70"/>
        <v>-0.01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0.05</v>
      </c>
      <c r="L398" s="667"/>
      <c r="M398" s="21">
        <f t="shared" si="69"/>
        <v>0</v>
      </c>
      <c r="N398" s="667"/>
      <c r="O398" s="21">
        <f t="shared" si="70"/>
        <v>-0.01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0.05</v>
      </c>
      <c r="L399" s="667"/>
      <c r="M399" s="21">
        <f t="shared" si="69"/>
        <v>0</v>
      </c>
      <c r="N399" s="667"/>
      <c r="O399" s="21">
        <f t="shared" si="70"/>
        <v>-0.01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0.05</v>
      </c>
      <c r="L400" s="667"/>
      <c r="M400" s="21">
        <f t="shared" si="69"/>
        <v>0</v>
      </c>
      <c r="N400" s="667"/>
      <c r="O400" s="21">
        <f t="shared" si="70"/>
        <v>-0.01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0.05</v>
      </c>
      <c r="L401" s="667"/>
      <c r="M401" s="21">
        <f t="shared" si="69"/>
        <v>0</v>
      </c>
      <c r="N401" s="667"/>
      <c r="O401" s="21">
        <f t="shared" si="70"/>
        <v>-0.01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0.05</v>
      </c>
      <c r="L402" s="667"/>
      <c r="M402" s="21">
        <f t="shared" si="69"/>
        <v>0</v>
      </c>
      <c r="N402" s="667"/>
      <c r="O402" s="21">
        <f t="shared" si="70"/>
        <v>-0.01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0.05</v>
      </c>
      <c r="L403" s="667"/>
      <c r="M403" s="21">
        <f t="shared" si="69"/>
        <v>0</v>
      </c>
      <c r="N403" s="667"/>
      <c r="O403" s="21">
        <f t="shared" si="70"/>
        <v>-0.01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0.05</v>
      </c>
      <c r="L404" s="667"/>
      <c r="M404" s="21">
        <f t="shared" si="69"/>
        <v>0</v>
      </c>
      <c r="N404" s="667"/>
      <c r="O404" s="21">
        <f t="shared" si="70"/>
        <v>-0.01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0.05</v>
      </c>
      <c r="L405" s="667"/>
      <c r="M405" s="21">
        <f t="shared" si="69"/>
        <v>0</v>
      </c>
      <c r="N405" s="667"/>
      <c r="O405" s="21">
        <f t="shared" si="70"/>
        <v>-0.01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0.05</v>
      </c>
      <c r="L406" s="667"/>
      <c r="M406" s="21">
        <f t="shared" si="69"/>
        <v>0</v>
      </c>
      <c r="N406" s="667"/>
      <c r="O406" s="21">
        <f t="shared" si="70"/>
        <v>-0.01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0.05</v>
      </c>
      <c r="L407" s="667"/>
      <c r="M407" s="21">
        <f t="shared" si="69"/>
        <v>0</v>
      </c>
      <c r="N407" s="667"/>
      <c r="O407" s="21">
        <f t="shared" si="70"/>
        <v>-0.01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0.05</v>
      </c>
      <c r="L408" s="667"/>
      <c r="M408" s="21">
        <f t="shared" si="69"/>
        <v>0</v>
      </c>
      <c r="N408" s="667"/>
      <c r="O408" s="21">
        <f t="shared" si="70"/>
        <v>-0.01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0.05</v>
      </c>
      <c r="L409" s="667"/>
      <c r="M409" s="21">
        <f t="shared" si="69"/>
        <v>0</v>
      </c>
      <c r="N409" s="667"/>
      <c r="O409" s="21">
        <f t="shared" si="70"/>
        <v>-0.01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0.05</v>
      </c>
      <c r="L410" s="667"/>
      <c r="M410" s="21">
        <f t="shared" ref="M410:M473" si="79">(SUMIF($13:$13,L410,$14:$14)-SUMIF($13:$13,$L$24,$14:$14)+100)/100</f>
        <v>0</v>
      </c>
      <c r="N410" s="667"/>
      <c r="O410" s="21">
        <f t="shared" ref="O410:O473" si="80">(SUMIF($15:$15,N410,$16:$16)-SUMIF($15:$15,$N$24,$16:$16)+100)/100</f>
        <v>-0.01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0.05</v>
      </c>
      <c r="L411" s="667"/>
      <c r="M411" s="21">
        <f t="shared" si="79"/>
        <v>0</v>
      </c>
      <c r="N411" s="667"/>
      <c r="O411" s="21">
        <f t="shared" si="80"/>
        <v>-0.01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0.05</v>
      </c>
      <c r="L412" s="667"/>
      <c r="M412" s="21">
        <f t="shared" si="79"/>
        <v>0</v>
      </c>
      <c r="N412" s="667"/>
      <c r="O412" s="21">
        <f t="shared" si="80"/>
        <v>-0.01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0.05</v>
      </c>
      <c r="L413" s="667"/>
      <c r="M413" s="21">
        <f t="shared" si="79"/>
        <v>0</v>
      </c>
      <c r="N413" s="667"/>
      <c r="O413" s="21">
        <f t="shared" si="80"/>
        <v>-0.01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0.05</v>
      </c>
      <c r="L414" s="667"/>
      <c r="M414" s="21">
        <f t="shared" si="79"/>
        <v>0</v>
      </c>
      <c r="N414" s="667"/>
      <c r="O414" s="21">
        <f t="shared" si="80"/>
        <v>-0.01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0.05</v>
      </c>
      <c r="L415" s="667"/>
      <c r="M415" s="21">
        <f t="shared" si="79"/>
        <v>0</v>
      </c>
      <c r="N415" s="667"/>
      <c r="O415" s="21">
        <f t="shared" si="80"/>
        <v>-0.01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0.05</v>
      </c>
      <c r="L416" s="667"/>
      <c r="M416" s="21">
        <f t="shared" si="79"/>
        <v>0</v>
      </c>
      <c r="N416" s="667"/>
      <c r="O416" s="21">
        <f t="shared" si="80"/>
        <v>-0.01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0.05</v>
      </c>
      <c r="L417" s="667"/>
      <c r="M417" s="21">
        <f t="shared" si="79"/>
        <v>0</v>
      </c>
      <c r="N417" s="667"/>
      <c r="O417" s="21">
        <f t="shared" si="80"/>
        <v>-0.01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0.05</v>
      </c>
      <c r="L418" s="667"/>
      <c r="M418" s="21">
        <f t="shared" si="79"/>
        <v>0</v>
      </c>
      <c r="N418" s="667"/>
      <c r="O418" s="21">
        <f t="shared" si="80"/>
        <v>-0.01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0.05</v>
      </c>
      <c r="L419" s="667"/>
      <c r="M419" s="21">
        <f t="shared" si="79"/>
        <v>0</v>
      </c>
      <c r="N419" s="667"/>
      <c r="O419" s="21">
        <f t="shared" si="80"/>
        <v>-0.01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0.05</v>
      </c>
      <c r="L420" s="667"/>
      <c r="M420" s="21">
        <f t="shared" si="79"/>
        <v>0</v>
      </c>
      <c r="N420" s="667"/>
      <c r="O420" s="21">
        <f t="shared" si="80"/>
        <v>-0.01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0.05</v>
      </c>
      <c r="L421" s="667"/>
      <c r="M421" s="21">
        <f t="shared" si="79"/>
        <v>0</v>
      </c>
      <c r="N421" s="667"/>
      <c r="O421" s="21">
        <f t="shared" si="80"/>
        <v>-0.01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0.05</v>
      </c>
      <c r="L422" s="667"/>
      <c r="M422" s="21">
        <f t="shared" si="79"/>
        <v>0</v>
      </c>
      <c r="N422" s="667"/>
      <c r="O422" s="21">
        <f t="shared" si="80"/>
        <v>-0.01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0.05</v>
      </c>
      <c r="L423" s="667"/>
      <c r="M423" s="21">
        <f t="shared" si="79"/>
        <v>0</v>
      </c>
      <c r="N423" s="667"/>
      <c r="O423" s="21">
        <f t="shared" si="80"/>
        <v>-0.01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0.05</v>
      </c>
      <c r="L424" s="667"/>
      <c r="M424" s="21">
        <f t="shared" si="79"/>
        <v>0</v>
      </c>
      <c r="N424" s="667"/>
      <c r="O424" s="21">
        <f t="shared" si="80"/>
        <v>-0.01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0.05</v>
      </c>
      <c r="L425" s="667"/>
      <c r="M425" s="21">
        <f t="shared" si="79"/>
        <v>0</v>
      </c>
      <c r="N425" s="667"/>
      <c r="O425" s="21">
        <f t="shared" si="80"/>
        <v>-0.01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0.05</v>
      </c>
      <c r="L426" s="667"/>
      <c r="M426" s="21">
        <f t="shared" si="79"/>
        <v>0</v>
      </c>
      <c r="N426" s="667"/>
      <c r="O426" s="21">
        <f t="shared" si="80"/>
        <v>-0.01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0.05</v>
      </c>
      <c r="L427" s="667"/>
      <c r="M427" s="21">
        <f t="shared" si="79"/>
        <v>0</v>
      </c>
      <c r="N427" s="667"/>
      <c r="O427" s="21">
        <f t="shared" si="80"/>
        <v>-0.01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0.05</v>
      </c>
      <c r="L428" s="667"/>
      <c r="M428" s="21">
        <f t="shared" si="79"/>
        <v>0</v>
      </c>
      <c r="N428" s="667"/>
      <c r="O428" s="21">
        <f t="shared" si="80"/>
        <v>-0.01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0.05</v>
      </c>
      <c r="L429" s="667"/>
      <c r="M429" s="21">
        <f t="shared" si="79"/>
        <v>0</v>
      </c>
      <c r="N429" s="667"/>
      <c r="O429" s="21">
        <f t="shared" si="80"/>
        <v>-0.01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0.05</v>
      </c>
      <c r="L430" s="667"/>
      <c r="M430" s="21">
        <f t="shared" si="79"/>
        <v>0</v>
      </c>
      <c r="N430" s="667"/>
      <c r="O430" s="21">
        <f t="shared" si="80"/>
        <v>-0.01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0.05</v>
      </c>
      <c r="L431" s="667"/>
      <c r="M431" s="21">
        <f t="shared" si="79"/>
        <v>0</v>
      </c>
      <c r="N431" s="667"/>
      <c r="O431" s="21">
        <f t="shared" si="80"/>
        <v>-0.01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0.05</v>
      </c>
      <c r="L432" s="667"/>
      <c r="M432" s="21">
        <f t="shared" si="79"/>
        <v>0</v>
      </c>
      <c r="N432" s="667"/>
      <c r="O432" s="21">
        <f t="shared" si="80"/>
        <v>-0.01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0.05</v>
      </c>
      <c r="L433" s="667"/>
      <c r="M433" s="21">
        <f t="shared" si="79"/>
        <v>0</v>
      </c>
      <c r="N433" s="667"/>
      <c r="O433" s="21">
        <f t="shared" si="80"/>
        <v>-0.01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0.05</v>
      </c>
      <c r="L434" s="667"/>
      <c r="M434" s="21">
        <f t="shared" si="79"/>
        <v>0</v>
      </c>
      <c r="N434" s="667"/>
      <c r="O434" s="21">
        <f t="shared" si="80"/>
        <v>-0.01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0.05</v>
      </c>
      <c r="L435" s="667"/>
      <c r="M435" s="21">
        <f t="shared" si="79"/>
        <v>0</v>
      </c>
      <c r="N435" s="667"/>
      <c r="O435" s="21">
        <f t="shared" si="80"/>
        <v>-0.01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0.05</v>
      </c>
      <c r="L436" s="667"/>
      <c r="M436" s="21">
        <f t="shared" si="79"/>
        <v>0</v>
      </c>
      <c r="N436" s="667"/>
      <c r="O436" s="21">
        <f t="shared" si="80"/>
        <v>-0.01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0.05</v>
      </c>
      <c r="L437" s="667"/>
      <c r="M437" s="21">
        <f t="shared" si="79"/>
        <v>0</v>
      </c>
      <c r="N437" s="667"/>
      <c r="O437" s="21">
        <f t="shared" si="80"/>
        <v>-0.01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0.05</v>
      </c>
      <c r="L438" s="667"/>
      <c r="M438" s="21">
        <f t="shared" si="79"/>
        <v>0</v>
      </c>
      <c r="N438" s="667"/>
      <c r="O438" s="21">
        <f t="shared" si="80"/>
        <v>-0.01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0.05</v>
      </c>
      <c r="L439" s="667"/>
      <c r="M439" s="21">
        <f t="shared" si="79"/>
        <v>0</v>
      </c>
      <c r="N439" s="667"/>
      <c r="O439" s="21">
        <f t="shared" si="80"/>
        <v>-0.01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0.05</v>
      </c>
      <c r="L440" s="667"/>
      <c r="M440" s="21">
        <f t="shared" si="79"/>
        <v>0</v>
      </c>
      <c r="N440" s="667"/>
      <c r="O440" s="21">
        <f t="shared" si="80"/>
        <v>-0.01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0.05</v>
      </c>
      <c r="L441" s="667"/>
      <c r="M441" s="21">
        <f t="shared" si="79"/>
        <v>0</v>
      </c>
      <c r="N441" s="667"/>
      <c r="O441" s="21">
        <f t="shared" si="80"/>
        <v>-0.01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0.05</v>
      </c>
      <c r="L442" s="667"/>
      <c r="M442" s="21">
        <f t="shared" si="79"/>
        <v>0</v>
      </c>
      <c r="N442" s="667"/>
      <c r="O442" s="21">
        <f t="shared" si="80"/>
        <v>-0.01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0.05</v>
      </c>
      <c r="L443" s="667"/>
      <c r="M443" s="21">
        <f t="shared" si="79"/>
        <v>0</v>
      </c>
      <c r="N443" s="667"/>
      <c r="O443" s="21">
        <f t="shared" si="80"/>
        <v>-0.01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0.05</v>
      </c>
      <c r="L444" s="667"/>
      <c r="M444" s="21">
        <f t="shared" si="79"/>
        <v>0</v>
      </c>
      <c r="N444" s="667"/>
      <c r="O444" s="21">
        <f t="shared" si="80"/>
        <v>-0.01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0.05</v>
      </c>
      <c r="L445" s="667"/>
      <c r="M445" s="21">
        <f t="shared" si="79"/>
        <v>0</v>
      </c>
      <c r="N445" s="667"/>
      <c r="O445" s="21">
        <f t="shared" si="80"/>
        <v>-0.01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0.05</v>
      </c>
      <c r="L446" s="667"/>
      <c r="M446" s="21">
        <f t="shared" si="79"/>
        <v>0</v>
      </c>
      <c r="N446" s="667"/>
      <c r="O446" s="21">
        <f t="shared" si="80"/>
        <v>-0.01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0.05</v>
      </c>
      <c r="L447" s="667"/>
      <c r="M447" s="21">
        <f t="shared" si="79"/>
        <v>0</v>
      </c>
      <c r="N447" s="667"/>
      <c r="O447" s="21">
        <f t="shared" si="80"/>
        <v>-0.01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0.05</v>
      </c>
      <c r="L448" s="667"/>
      <c r="M448" s="21">
        <f t="shared" si="79"/>
        <v>0</v>
      </c>
      <c r="N448" s="667"/>
      <c r="O448" s="21">
        <f t="shared" si="80"/>
        <v>-0.01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0.05</v>
      </c>
      <c r="L449" s="667"/>
      <c r="M449" s="21">
        <f t="shared" si="79"/>
        <v>0</v>
      </c>
      <c r="N449" s="667"/>
      <c r="O449" s="21">
        <f t="shared" si="80"/>
        <v>-0.01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0.05</v>
      </c>
      <c r="L450" s="667"/>
      <c r="M450" s="21">
        <f t="shared" si="79"/>
        <v>0</v>
      </c>
      <c r="N450" s="667"/>
      <c r="O450" s="21">
        <f t="shared" si="80"/>
        <v>-0.01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0.05</v>
      </c>
      <c r="L451" s="667"/>
      <c r="M451" s="21">
        <f t="shared" si="79"/>
        <v>0</v>
      </c>
      <c r="N451" s="667"/>
      <c r="O451" s="21">
        <f t="shared" si="80"/>
        <v>-0.01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0.05</v>
      </c>
      <c r="L452" s="667"/>
      <c r="M452" s="21">
        <f t="shared" si="79"/>
        <v>0</v>
      </c>
      <c r="N452" s="667"/>
      <c r="O452" s="21">
        <f t="shared" si="80"/>
        <v>-0.01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0.05</v>
      </c>
      <c r="L453" s="667"/>
      <c r="M453" s="21">
        <f t="shared" si="79"/>
        <v>0</v>
      </c>
      <c r="N453" s="667"/>
      <c r="O453" s="21">
        <f t="shared" si="80"/>
        <v>-0.01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0.05</v>
      </c>
      <c r="L454" s="667"/>
      <c r="M454" s="21">
        <f t="shared" si="79"/>
        <v>0</v>
      </c>
      <c r="N454" s="667"/>
      <c r="O454" s="21">
        <f t="shared" si="80"/>
        <v>-0.01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0.05</v>
      </c>
      <c r="L455" s="667"/>
      <c r="M455" s="21">
        <f t="shared" si="79"/>
        <v>0</v>
      </c>
      <c r="N455" s="667"/>
      <c r="O455" s="21">
        <f t="shared" si="80"/>
        <v>-0.01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0.05</v>
      </c>
      <c r="L456" s="667"/>
      <c r="M456" s="21">
        <f t="shared" si="79"/>
        <v>0</v>
      </c>
      <c r="N456" s="667"/>
      <c r="O456" s="21">
        <f t="shared" si="80"/>
        <v>-0.01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0.05</v>
      </c>
      <c r="L457" s="667"/>
      <c r="M457" s="21">
        <f t="shared" si="79"/>
        <v>0</v>
      </c>
      <c r="N457" s="667"/>
      <c r="O457" s="21">
        <f t="shared" si="80"/>
        <v>-0.01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0.05</v>
      </c>
      <c r="L458" s="667"/>
      <c r="M458" s="21">
        <f t="shared" si="79"/>
        <v>0</v>
      </c>
      <c r="N458" s="667"/>
      <c r="O458" s="21">
        <f t="shared" si="80"/>
        <v>-0.01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0.05</v>
      </c>
      <c r="L459" s="667"/>
      <c r="M459" s="21">
        <f t="shared" si="79"/>
        <v>0</v>
      </c>
      <c r="N459" s="667"/>
      <c r="O459" s="21">
        <f t="shared" si="80"/>
        <v>-0.01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0.05</v>
      </c>
      <c r="L460" s="667"/>
      <c r="M460" s="21">
        <f t="shared" si="79"/>
        <v>0</v>
      </c>
      <c r="N460" s="667"/>
      <c r="O460" s="21">
        <f t="shared" si="80"/>
        <v>-0.01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0.05</v>
      </c>
      <c r="L461" s="667"/>
      <c r="M461" s="21">
        <f t="shared" si="79"/>
        <v>0</v>
      </c>
      <c r="N461" s="667"/>
      <c r="O461" s="21">
        <f t="shared" si="80"/>
        <v>-0.01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0.05</v>
      </c>
      <c r="L462" s="667"/>
      <c r="M462" s="21">
        <f t="shared" si="79"/>
        <v>0</v>
      </c>
      <c r="N462" s="667"/>
      <c r="O462" s="21">
        <f t="shared" si="80"/>
        <v>-0.01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0.05</v>
      </c>
      <c r="L463" s="667"/>
      <c r="M463" s="21">
        <f t="shared" si="79"/>
        <v>0</v>
      </c>
      <c r="N463" s="667"/>
      <c r="O463" s="21">
        <f t="shared" si="80"/>
        <v>-0.01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0.05</v>
      </c>
      <c r="L464" s="667"/>
      <c r="M464" s="21">
        <f t="shared" si="79"/>
        <v>0</v>
      </c>
      <c r="N464" s="667"/>
      <c r="O464" s="21">
        <f t="shared" si="80"/>
        <v>-0.01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0.05</v>
      </c>
      <c r="L465" s="667"/>
      <c r="M465" s="21">
        <f t="shared" si="79"/>
        <v>0</v>
      </c>
      <c r="N465" s="667"/>
      <c r="O465" s="21">
        <f t="shared" si="80"/>
        <v>-0.01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0.05</v>
      </c>
      <c r="L466" s="667"/>
      <c r="M466" s="21">
        <f t="shared" si="79"/>
        <v>0</v>
      </c>
      <c r="N466" s="667"/>
      <c r="O466" s="21">
        <f t="shared" si="80"/>
        <v>-0.01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0.05</v>
      </c>
      <c r="L467" s="667"/>
      <c r="M467" s="21">
        <f t="shared" si="79"/>
        <v>0</v>
      </c>
      <c r="N467" s="667"/>
      <c r="O467" s="21">
        <f t="shared" si="80"/>
        <v>-0.01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0.05</v>
      </c>
      <c r="L468" s="667"/>
      <c r="M468" s="21">
        <f t="shared" si="79"/>
        <v>0</v>
      </c>
      <c r="N468" s="667"/>
      <c r="O468" s="21">
        <f t="shared" si="80"/>
        <v>-0.01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0.05</v>
      </c>
      <c r="L469" s="667"/>
      <c r="M469" s="21">
        <f t="shared" si="79"/>
        <v>0</v>
      </c>
      <c r="N469" s="667"/>
      <c r="O469" s="21">
        <f t="shared" si="80"/>
        <v>-0.01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0.05</v>
      </c>
      <c r="L470" s="667"/>
      <c r="M470" s="21">
        <f t="shared" si="79"/>
        <v>0</v>
      </c>
      <c r="N470" s="667"/>
      <c r="O470" s="21">
        <f t="shared" si="80"/>
        <v>-0.01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0.05</v>
      </c>
      <c r="L471" s="667"/>
      <c r="M471" s="21">
        <f t="shared" si="79"/>
        <v>0</v>
      </c>
      <c r="N471" s="667"/>
      <c r="O471" s="21">
        <f t="shared" si="80"/>
        <v>-0.01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0.05</v>
      </c>
      <c r="L472" s="667"/>
      <c r="M472" s="21">
        <f t="shared" si="79"/>
        <v>0</v>
      </c>
      <c r="N472" s="667"/>
      <c r="O472" s="21">
        <f t="shared" si="80"/>
        <v>-0.01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0.05</v>
      </c>
      <c r="L473" s="667"/>
      <c r="M473" s="21">
        <f t="shared" si="79"/>
        <v>0</v>
      </c>
      <c r="N473" s="667"/>
      <c r="O473" s="21">
        <f t="shared" si="80"/>
        <v>-0.01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0.05</v>
      </c>
      <c r="L474" s="667"/>
      <c r="M474" s="21">
        <f t="shared" ref="M474:M524" si="90">(SUMIF($13:$13,L474,$14:$14)-SUMIF($13:$13,$L$24,$14:$14)+100)/100</f>
        <v>0</v>
      </c>
      <c r="N474" s="667"/>
      <c r="O474" s="21">
        <f t="shared" ref="O474:O524" si="91">(SUMIF($15:$15,N474,$16:$16)-SUMIF($15:$15,$N$24,$16:$16)+100)/100</f>
        <v>-0.01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0.05</v>
      </c>
      <c r="L475" s="667"/>
      <c r="M475" s="21">
        <f t="shared" si="90"/>
        <v>0</v>
      </c>
      <c r="N475" s="667"/>
      <c r="O475" s="21">
        <f t="shared" si="91"/>
        <v>-0.01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0.05</v>
      </c>
      <c r="L476" s="667"/>
      <c r="M476" s="21">
        <f t="shared" si="90"/>
        <v>0</v>
      </c>
      <c r="N476" s="667"/>
      <c r="O476" s="21">
        <f t="shared" si="91"/>
        <v>-0.01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0.05</v>
      </c>
      <c r="L477" s="667"/>
      <c r="M477" s="21">
        <f t="shared" si="90"/>
        <v>0</v>
      </c>
      <c r="N477" s="667"/>
      <c r="O477" s="21">
        <f t="shared" si="91"/>
        <v>-0.01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0.05</v>
      </c>
      <c r="L478" s="667"/>
      <c r="M478" s="21">
        <f t="shared" si="90"/>
        <v>0</v>
      </c>
      <c r="N478" s="667"/>
      <c r="O478" s="21">
        <f t="shared" si="91"/>
        <v>-0.01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0.05</v>
      </c>
      <c r="L479" s="667"/>
      <c r="M479" s="21">
        <f t="shared" si="90"/>
        <v>0</v>
      </c>
      <c r="N479" s="667"/>
      <c r="O479" s="21">
        <f t="shared" si="91"/>
        <v>-0.01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0.05</v>
      </c>
      <c r="L480" s="667"/>
      <c r="M480" s="21">
        <f t="shared" si="90"/>
        <v>0</v>
      </c>
      <c r="N480" s="667"/>
      <c r="O480" s="21">
        <f t="shared" si="91"/>
        <v>-0.01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0.05</v>
      </c>
      <c r="L481" s="667"/>
      <c r="M481" s="21">
        <f t="shared" si="90"/>
        <v>0</v>
      </c>
      <c r="N481" s="667"/>
      <c r="O481" s="21">
        <f t="shared" si="91"/>
        <v>-0.01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0.05</v>
      </c>
      <c r="L482" s="667"/>
      <c r="M482" s="21">
        <f t="shared" si="90"/>
        <v>0</v>
      </c>
      <c r="N482" s="667"/>
      <c r="O482" s="21">
        <f t="shared" si="91"/>
        <v>-0.01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0.05</v>
      </c>
      <c r="L483" s="667"/>
      <c r="M483" s="21">
        <f t="shared" si="90"/>
        <v>0</v>
      </c>
      <c r="N483" s="667"/>
      <c r="O483" s="21">
        <f t="shared" si="91"/>
        <v>-0.01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0.05</v>
      </c>
      <c r="L484" s="667"/>
      <c r="M484" s="21">
        <f t="shared" si="90"/>
        <v>0</v>
      </c>
      <c r="N484" s="667"/>
      <c r="O484" s="21">
        <f t="shared" si="91"/>
        <v>-0.01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0.05</v>
      </c>
      <c r="L485" s="667"/>
      <c r="M485" s="21">
        <f t="shared" si="90"/>
        <v>0</v>
      </c>
      <c r="N485" s="667"/>
      <c r="O485" s="21">
        <f t="shared" si="91"/>
        <v>-0.01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0.05</v>
      </c>
      <c r="L486" s="667"/>
      <c r="M486" s="21">
        <f t="shared" si="90"/>
        <v>0</v>
      </c>
      <c r="N486" s="667"/>
      <c r="O486" s="21">
        <f t="shared" si="91"/>
        <v>-0.01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0.05</v>
      </c>
      <c r="L487" s="667"/>
      <c r="M487" s="21">
        <f t="shared" si="90"/>
        <v>0</v>
      </c>
      <c r="N487" s="667"/>
      <c r="O487" s="21">
        <f t="shared" si="91"/>
        <v>-0.01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0.05</v>
      </c>
      <c r="L488" s="667"/>
      <c r="M488" s="21">
        <f t="shared" si="90"/>
        <v>0</v>
      </c>
      <c r="N488" s="667"/>
      <c r="O488" s="21">
        <f t="shared" si="91"/>
        <v>-0.01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0.05</v>
      </c>
      <c r="L489" s="667"/>
      <c r="M489" s="21">
        <f t="shared" si="90"/>
        <v>0</v>
      </c>
      <c r="N489" s="667"/>
      <c r="O489" s="21">
        <f t="shared" si="91"/>
        <v>-0.01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0.05</v>
      </c>
      <c r="L490" s="667"/>
      <c r="M490" s="21">
        <f t="shared" si="90"/>
        <v>0</v>
      </c>
      <c r="N490" s="667"/>
      <c r="O490" s="21">
        <f t="shared" si="91"/>
        <v>-0.01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0.05</v>
      </c>
      <c r="L491" s="667"/>
      <c r="M491" s="21">
        <f t="shared" si="90"/>
        <v>0</v>
      </c>
      <c r="N491" s="667"/>
      <c r="O491" s="21">
        <f t="shared" si="91"/>
        <v>-0.01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0.05</v>
      </c>
      <c r="L492" s="667"/>
      <c r="M492" s="21">
        <f t="shared" si="90"/>
        <v>0</v>
      </c>
      <c r="N492" s="667"/>
      <c r="O492" s="21">
        <f t="shared" si="91"/>
        <v>-0.01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0.05</v>
      </c>
      <c r="L493" s="667"/>
      <c r="M493" s="21">
        <f t="shared" si="90"/>
        <v>0</v>
      </c>
      <c r="N493" s="667"/>
      <c r="O493" s="21">
        <f t="shared" si="91"/>
        <v>-0.01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0.05</v>
      </c>
      <c r="L494" s="667"/>
      <c r="M494" s="21">
        <f t="shared" si="90"/>
        <v>0</v>
      </c>
      <c r="N494" s="667"/>
      <c r="O494" s="21">
        <f t="shared" si="91"/>
        <v>-0.01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0.05</v>
      </c>
      <c r="L495" s="667"/>
      <c r="M495" s="21">
        <f t="shared" si="90"/>
        <v>0</v>
      </c>
      <c r="N495" s="667"/>
      <c r="O495" s="21">
        <f t="shared" si="91"/>
        <v>-0.01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0.05</v>
      </c>
      <c r="L496" s="667"/>
      <c r="M496" s="21">
        <f t="shared" si="90"/>
        <v>0</v>
      </c>
      <c r="N496" s="667"/>
      <c r="O496" s="21">
        <f t="shared" si="91"/>
        <v>-0.01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0.05</v>
      </c>
      <c r="L497" s="667"/>
      <c r="M497" s="21">
        <f t="shared" si="90"/>
        <v>0</v>
      </c>
      <c r="N497" s="667"/>
      <c r="O497" s="21">
        <f t="shared" si="91"/>
        <v>-0.01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0.05</v>
      </c>
      <c r="L498" s="667"/>
      <c r="M498" s="21">
        <f t="shared" si="90"/>
        <v>0</v>
      </c>
      <c r="N498" s="667"/>
      <c r="O498" s="21">
        <f t="shared" si="91"/>
        <v>-0.01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0.05</v>
      </c>
      <c r="L499" s="667"/>
      <c r="M499" s="21">
        <f t="shared" si="90"/>
        <v>0</v>
      </c>
      <c r="N499" s="667"/>
      <c r="O499" s="21">
        <f t="shared" si="91"/>
        <v>-0.01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0.05</v>
      </c>
      <c r="L500" s="667"/>
      <c r="M500" s="21">
        <f t="shared" si="90"/>
        <v>0</v>
      </c>
      <c r="N500" s="667"/>
      <c r="O500" s="21">
        <f t="shared" si="91"/>
        <v>-0.01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0.05</v>
      </c>
      <c r="L501" s="667"/>
      <c r="M501" s="21">
        <f t="shared" si="90"/>
        <v>0</v>
      </c>
      <c r="N501" s="667"/>
      <c r="O501" s="21">
        <f t="shared" si="91"/>
        <v>-0.01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0.05</v>
      </c>
      <c r="L502" s="667"/>
      <c r="M502" s="21">
        <f t="shared" si="90"/>
        <v>0</v>
      </c>
      <c r="N502" s="667"/>
      <c r="O502" s="21">
        <f t="shared" si="91"/>
        <v>-0.01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0.05</v>
      </c>
      <c r="L503" s="667"/>
      <c r="M503" s="21">
        <f t="shared" si="90"/>
        <v>0</v>
      </c>
      <c r="N503" s="667"/>
      <c r="O503" s="21">
        <f t="shared" si="91"/>
        <v>-0.01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0.05</v>
      </c>
      <c r="L504" s="667"/>
      <c r="M504" s="21">
        <f t="shared" si="90"/>
        <v>0</v>
      </c>
      <c r="N504" s="667"/>
      <c r="O504" s="21">
        <f t="shared" si="91"/>
        <v>-0.01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0.05</v>
      </c>
      <c r="L505" s="667"/>
      <c r="M505" s="21">
        <f t="shared" si="90"/>
        <v>0</v>
      </c>
      <c r="N505" s="667"/>
      <c r="O505" s="21">
        <f t="shared" si="91"/>
        <v>-0.01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0.05</v>
      </c>
      <c r="L506" s="667"/>
      <c r="M506" s="21">
        <f t="shared" si="90"/>
        <v>0</v>
      </c>
      <c r="N506" s="667"/>
      <c r="O506" s="21">
        <f t="shared" si="91"/>
        <v>-0.01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0.05</v>
      </c>
      <c r="L507" s="667"/>
      <c r="M507" s="21">
        <f t="shared" si="90"/>
        <v>0</v>
      </c>
      <c r="N507" s="667"/>
      <c r="O507" s="21">
        <f t="shared" si="91"/>
        <v>-0.01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0.05</v>
      </c>
      <c r="L508" s="667"/>
      <c r="M508" s="21">
        <f t="shared" si="90"/>
        <v>0</v>
      </c>
      <c r="N508" s="667"/>
      <c r="O508" s="21">
        <f t="shared" si="91"/>
        <v>-0.01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0.05</v>
      </c>
      <c r="L509" s="667"/>
      <c r="M509" s="21">
        <f t="shared" si="90"/>
        <v>0</v>
      </c>
      <c r="N509" s="667"/>
      <c r="O509" s="21">
        <f t="shared" si="91"/>
        <v>-0.01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0.05</v>
      </c>
      <c r="L510" s="667"/>
      <c r="M510" s="21">
        <f t="shared" si="90"/>
        <v>0</v>
      </c>
      <c r="N510" s="667"/>
      <c r="O510" s="21">
        <f t="shared" si="91"/>
        <v>-0.01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0.05</v>
      </c>
      <c r="L511" s="667"/>
      <c r="M511" s="21">
        <f t="shared" si="90"/>
        <v>0</v>
      </c>
      <c r="N511" s="667"/>
      <c r="O511" s="21">
        <f t="shared" si="91"/>
        <v>-0.01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0.05</v>
      </c>
      <c r="L512" s="667"/>
      <c r="M512" s="21">
        <f t="shared" si="90"/>
        <v>0</v>
      </c>
      <c r="N512" s="667"/>
      <c r="O512" s="21">
        <f t="shared" si="91"/>
        <v>-0.01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0.05</v>
      </c>
      <c r="L513" s="667"/>
      <c r="M513" s="21">
        <f t="shared" si="90"/>
        <v>0</v>
      </c>
      <c r="N513" s="667"/>
      <c r="O513" s="21">
        <f t="shared" si="91"/>
        <v>-0.01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0.05</v>
      </c>
      <c r="L514" s="667"/>
      <c r="M514" s="21">
        <f t="shared" si="90"/>
        <v>0</v>
      </c>
      <c r="N514" s="667"/>
      <c r="O514" s="21">
        <f t="shared" si="91"/>
        <v>-0.01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0.05</v>
      </c>
      <c r="L515" s="667"/>
      <c r="M515" s="21">
        <f t="shared" si="90"/>
        <v>0</v>
      </c>
      <c r="N515" s="667"/>
      <c r="O515" s="21">
        <f t="shared" si="91"/>
        <v>-0.01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0.05</v>
      </c>
      <c r="L516" s="667"/>
      <c r="M516" s="21">
        <f t="shared" si="90"/>
        <v>0</v>
      </c>
      <c r="N516" s="667"/>
      <c r="O516" s="21">
        <f t="shared" si="91"/>
        <v>-0.01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0.05</v>
      </c>
      <c r="L517" s="667"/>
      <c r="M517" s="21">
        <f t="shared" si="90"/>
        <v>0</v>
      </c>
      <c r="N517" s="667"/>
      <c r="O517" s="21">
        <f t="shared" si="91"/>
        <v>-0.01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0.05</v>
      </c>
      <c r="L518" s="667"/>
      <c r="M518" s="21">
        <f t="shared" si="90"/>
        <v>0</v>
      </c>
      <c r="N518" s="667"/>
      <c r="O518" s="21">
        <f t="shared" si="91"/>
        <v>-0.01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0.05</v>
      </c>
      <c r="L519" s="667"/>
      <c r="M519" s="21">
        <f t="shared" si="90"/>
        <v>0</v>
      </c>
      <c r="N519" s="667"/>
      <c r="O519" s="21">
        <f t="shared" si="91"/>
        <v>-0.01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0.05</v>
      </c>
      <c r="L520" s="667"/>
      <c r="M520" s="21">
        <f t="shared" si="90"/>
        <v>0</v>
      </c>
      <c r="N520" s="667"/>
      <c r="O520" s="21">
        <f t="shared" si="91"/>
        <v>-0.01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0.05</v>
      </c>
      <c r="L521" s="667"/>
      <c r="M521" s="21">
        <f t="shared" si="90"/>
        <v>0</v>
      </c>
      <c r="N521" s="667"/>
      <c r="O521" s="21">
        <f t="shared" si="91"/>
        <v>-0.01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0.05</v>
      </c>
      <c r="L522" s="667"/>
      <c r="M522" s="21">
        <f t="shared" si="90"/>
        <v>0</v>
      </c>
      <c r="N522" s="667"/>
      <c r="O522" s="21">
        <f t="shared" si="91"/>
        <v>-0.01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0.05</v>
      </c>
      <c r="L523" s="667"/>
      <c r="M523" s="21">
        <f t="shared" si="90"/>
        <v>0</v>
      </c>
      <c r="N523" s="667"/>
      <c r="O523" s="21">
        <f t="shared" si="91"/>
        <v>-0.01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0.05</v>
      </c>
      <c r="L524" s="667"/>
      <c r="M524" s="21">
        <f t="shared" si="90"/>
        <v>0</v>
      </c>
      <c r="N524" s="667"/>
      <c r="O524" s="21">
        <f t="shared" si="91"/>
        <v>-0.01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80" zoomScaleNormal="70" zoomScaleSheetLayoutView="80" workbookViewId="0">
      <selection activeCell="D104" sqref="D10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6" t="s">
        <v>1766</v>
      </c>
      <c r="C1" s="1237" t="s">
        <v>1662</v>
      </c>
      <c r="D1" s="1224" t="s">
        <v>673</v>
      </c>
      <c r="E1" s="3424" t="s">
        <v>3389</v>
      </c>
      <c r="F1" s="1877" t="s">
        <v>3390</v>
      </c>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f>IF(E1="项目模式",IF(C2="——",ROUND(C49*D3/10000,0),ROUND(C49*D3/10000,0)-D2),IF(E1="单套模式",IF(C2="——",ROUND(C49*D3/10000,4),ROUND(C49*D3/10000,4)-D2)))</f>
        <v>394.12920000000003</v>
      </c>
      <c r="C2" s="1879" t="s">
        <v>43</v>
      </c>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45297</v>
      </c>
      <c r="C3" s="354" t="s">
        <v>1768</v>
      </c>
      <c r="D3" s="353">
        <f>IF(D1="",'数据-汇总表'!E3,SUMIF('数据-汇总表'!$C19:$C33,D1,'数据-汇总表'!$E19:$E33))</f>
        <v>87.01</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3" t="s">
        <v>1771</v>
      </c>
      <c r="S4" s="3664"/>
      <c r="T4" s="3663" t="s">
        <v>1772</v>
      </c>
      <c r="U4" s="3664"/>
      <c r="V4" s="3660" t="s">
        <v>1773</v>
      </c>
      <c r="W4" s="3660"/>
      <c r="X4" s="1353"/>
      <c r="Y4" s="3663" t="s">
        <v>1775</v>
      </c>
      <c r="Z4" s="3664"/>
      <c r="AA4" s="3657" t="s">
        <v>1771</v>
      </c>
      <c r="AB4" s="3660" t="s">
        <v>1772</v>
      </c>
      <c r="AC4" s="3657" t="s">
        <v>1773</v>
      </c>
    </row>
    <row r="5" spans="1:29">
      <c r="A5" s="358"/>
      <c r="B5" s="359"/>
      <c r="C5" s="3669" t="s">
        <v>3412</v>
      </c>
      <c r="D5" s="3670"/>
      <c r="E5" s="3667" t="s">
        <v>3413</v>
      </c>
      <c r="F5" s="3668"/>
      <c r="G5" s="3673" t="s">
        <v>1675</v>
      </c>
      <c r="H5" s="3670"/>
      <c r="I5" s="3673" t="s">
        <v>1676</v>
      </c>
      <c r="J5" s="3670"/>
      <c r="K5" s="559"/>
      <c r="L5" s="2713"/>
      <c r="M5" s="2714"/>
      <c r="N5" s="2714"/>
      <c r="O5" s="2714"/>
      <c r="P5" s="3683"/>
      <c r="Q5" s="3684"/>
      <c r="R5" s="3665"/>
      <c r="S5" s="3666"/>
      <c r="T5" s="3665"/>
      <c r="U5" s="3666"/>
      <c r="V5" s="3660"/>
      <c r="W5" s="3660"/>
      <c r="X5" s="1353"/>
      <c r="Y5" s="3665"/>
      <c r="Z5" s="3666"/>
      <c r="AA5" s="3658"/>
      <c r="AB5" s="3660"/>
      <c r="AC5" s="3658"/>
    </row>
    <row r="6" spans="1:29" ht="15" thickBot="1">
      <c r="A6" s="360"/>
      <c r="B6" s="361"/>
      <c r="C6" s="3671" t="s">
        <v>1677</v>
      </c>
      <c r="D6" s="3672"/>
      <c r="E6" s="3674" t="s">
        <v>1677</v>
      </c>
      <c r="F6" s="3675"/>
      <c r="G6" s="3671" t="s">
        <v>1677</v>
      </c>
      <c r="H6" s="3672"/>
      <c r="I6" s="3671" t="s">
        <v>1677</v>
      </c>
      <c r="J6" s="3672"/>
      <c r="K6" s="559" t="s">
        <v>1678</v>
      </c>
      <c r="L6" s="2713"/>
      <c r="M6" s="2714"/>
      <c r="N6" s="2714"/>
      <c r="O6" s="2714"/>
      <c r="P6" s="3685"/>
      <c r="Q6" s="3686"/>
      <c r="R6" s="3665"/>
      <c r="S6" s="3666"/>
      <c r="T6" s="3687"/>
      <c r="U6" s="3688"/>
      <c r="V6" s="3660"/>
      <c r="W6" s="3660"/>
      <c r="X6" s="1353"/>
      <c r="Y6" s="3687"/>
      <c r="Z6" s="3688"/>
      <c r="AA6" s="3659"/>
      <c r="AB6" s="3660"/>
      <c r="AC6" s="3659"/>
    </row>
    <row r="7" spans="1:29" s="108" customFormat="1" ht="15" thickBot="1">
      <c r="A7" s="362" t="s">
        <v>1679</v>
      </c>
      <c r="B7" s="363"/>
      <c r="C7" s="364">
        <f>'数据-取费表'!B2</f>
        <v>45322</v>
      </c>
      <c r="D7" s="365">
        <v>100</v>
      </c>
      <c r="E7" s="366">
        <v>45292</v>
      </c>
      <c r="F7" s="367">
        <f>SUMIF(58:58,YEAR(E7)&amp;"-"&amp;MONTH(E7),59:59)</f>
        <v>100</v>
      </c>
      <c r="G7" s="366">
        <v>45292</v>
      </c>
      <c r="H7" s="365">
        <f>SUMIF(58:58,YEAR(G7)&amp;"-"&amp;MONTH(G7),59:59)</f>
        <v>100</v>
      </c>
      <c r="I7" s="366">
        <v>45292</v>
      </c>
      <c r="J7" s="365">
        <f>SUMIF(58:58,YEAR(I7)&amp;"-"&amp;MONTH(I7),59:59)</f>
        <v>100</v>
      </c>
      <c r="K7" s="560"/>
      <c r="L7" s="2715"/>
      <c r="M7" s="2716"/>
      <c r="N7" s="2716"/>
      <c r="O7" s="2716"/>
      <c r="P7" s="3661" t="s">
        <v>1680</v>
      </c>
      <c r="Q7" s="3689"/>
      <c r="R7" s="701" t="s">
        <v>14</v>
      </c>
      <c r="S7" s="702">
        <f t="shared" ref="S7:S15" si="0">F7</f>
        <v>100</v>
      </c>
      <c r="T7" s="701" t="s">
        <v>14</v>
      </c>
      <c r="U7" s="702">
        <f t="shared" ref="U7:U15" si="1">H7</f>
        <v>100</v>
      </c>
      <c r="V7" s="701" t="s">
        <v>14</v>
      </c>
      <c r="W7" s="702">
        <f t="shared" ref="W7:W15" si="2">J7</f>
        <v>100</v>
      </c>
      <c r="X7" s="703"/>
      <c r="Y7" s="3661" t="s">
        <v>1680</v>
      </c>
      <c r="Z7" s="3662"/>
      <c r="AA7" s="704">
        <f>D7/F7</f>
        <v>1</v>
      </c>
      <c r="AB7" s="704">
        <f>D7/H7</f>
        <v>1</v>
      </c>
      <c r="AC7" s="704">
        <f>D7/J7</f>
        <v>1</v>
      </c>
    </row>
    <row r="8" spans="1:29" s="108" customFormat="1" ht="15" thickBot="1">
      <c r="A8" s="362" t="s">
        <v>1681</v>
      </c>
      <c r="B8" s="363"/>
      <c r="C8" s="368" t="s">
        <v>3391</v>
      </c>
      <c r="D8" s="365">
        <v>100</v>
      </c>
      <c r="E8" s="368" t="s">
        <v>3414</v>
      </c>
      <c r="F8" s="367">
        <f>SUMIF(61:61,E8,62:62)-SUMIF(61:61,C8,62:62)+100</f>
        <v>102</v>
      </c>
      <c r="G8" s="368" t="s">
        <v>3414</v>
      </c>
      <c r="H8" s="365">
        <f>SUMIF(61:61,G8,62:62)-SUMIF(61:61,C8,62:62)+100</f>
        <v>102</v>
      </c>
      <c r="I8" s="368" t="s">
        <v>3414</v>
      </c>
      <c r="J8" s="365">
        <f>SUMIF(61:61,I8,62:62)-SUMIF(61:61,C8,62:62)+100</f>
        <v>102</v>
      </c>
      <c r="K8" s="560"/>
      <c r="L8" s="2715"/>
      <c r="M8" s="2716"/>
      <c r="N8" s="2716"/>
      <c r="O8" s="2716"/>
      <c r="P8" s="3661" t="s">
        <v>1683</v>
      </c>
      <c r="Q8" s="3662"/>
      <c r="R8" s="701" t="s">
        <v>14</v>
      </c>
      <c r="S8" s="702">
        <f t="shared" si="0"/>
        <v>102</v>
      </c>
      <c r="T8" s="701" t="s">
        <v>14</v>
      </c>
      <c r="U8" s="702">
        <f t="shared" si="1"/>
        <v>102</v>
      </c>
      <c r="V8" s="701" t="s">
        <v>14</v>
      </c>
      <c r="W8" s="702">
        <f t="shared" si="2"/>
        <v>102</v>
      </c>
      <c r="X8" s="703"/>
      <c r="Y8" s="3661" t="s">
        <v>1683</v>
      </c>
      <c r="Z8" s="3662"/>
      <c r="AA8" s="704">
        <f t="shared" ref="AA8:AA46" si="3">D8/F8</f>
        <v>0.98039215686274506</v>
      </c>
      <c r="AB8" s="704">
        <f t="shared" ref="AB8:AB46" si="4">D8/H8</f>
        <v>0.98039215686274506</v>
      </c>
      <c r="AC8" s="704">
        <f t="shared" ref="AC8:AC46" si="5">D8/J8</f>
        <v>0.98039215686274506</v>
      </c>
    </row>
    <row r="9" spans="1:29" s="108" customFormat="1" ht="14.4">
      <c r="A9" s="369" t="s">
        <v>1684</v>
      </c>
      <c r="B9" s="63" t="s">
        <v>1685</v>
      </c>
      <c r="C9" s="3449" t="s">
        <v>3392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6"/>
      <c r="Q11" s="1341"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1">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1">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1">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0" t="s">
        <v>1691</v>
      </c>
      <c r="Q15" s="1350" t="str">
        <f t="shared" si="6"/>
        <v>商业繁华度</v>
      </c>
      <c r="R15" s="705" t="s">
        <v>14</v>
      </c>
      <c r="S15" s="706">
        <f t="shared" si="0"/>
        <v>100</v>
      </c>
      <c r="T15" s="705" t="s">
        <v>14</v>
      </c>
      <c r="U15" s="706">
        <f t="shared" si="1"/>
        <v>100</v>
      </c>
      <c r="V15" s="705" t="s">
        <v>14</v>
      </c>
      <c r="W15" s="706">
        <f t="shared" si="2"/>
        <v>100</v>
      </c>
      <c r="X15" s="1353"/>
      <c r="Y15" s="3692"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691"/>
      <c r="Q16" s="1350"/>
      <c r="R16" s="705"/>
      <c r="S16" s="706"/>
      <c r="T16" s="705"/>
      <c r="U16" s="706"/>
      <c r="V16" s="705"/>
      <c r="W16" s="706"/>
      <c r="X16" s="1353"/>
      <c r="Y16" s="3693"/>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1"/>
      <c r="Q17" s="1350" t="str">
        <f>B17</f>
        <v>交通便捷度</v>
      </c>
      <c r="R17" s="705" t="s">
        <v>14</v>
      </c>
      <c r="S17" s="706">
        <f>F17</f>
        <v>100</v>
      </c>
      <c r="T17" s="705" t="s">
        <v>14</v>
      </c>
      <c r="U17" s="706">
        <f>H17</f>
        <v>100</v>
      </c>
      <c r="V17" s="705" t="s">
        <v>14</v>
      </c>
      <c r="W17" s="706">
        <f>J17</f>
        <v>100</v>
      </c>
      <c r="X17" s="1353"/>
      <c r="Y17" s="3693"/>
      <c r="Z17" s="1354" t="str">
        <f>Q17</f>
        <v>交通便捷度</v>
      </c>
      <c r="AA17" s="1351">
        <f t="shared" si="3"/>
        <v>1</v>
      </c>
      <c r="AB17" s="1351">
        <f t="shared" si="4"/>
        <v>1</v>
      </c>
      <c r="AC17" s="1351">
        <f t="shared" si="5"/>
        <v>1</v>
      </c>
    </row>
    <row r="18" spans="1:29" ht="15">
      <c r="A18" s="379"/>
      <c r="B18" s="407"/>
      <c r="C18" s="1899" t="s">
        <v>3394</v>
      </c>
      <c r="D18" s="401"/>
      <c r="E18" s="1899" t="s">
        <v>3394</v>
      </c>
      <c r="F18" s="404"/>
      <c r="G18" s="1899" t="s">
        <v>3394</v>
      </c>
      <c r="H18" s="399"/>
      <c r="I18" s="1899" t="s">
        <v>3394</v>
      </c>
      <c r="J18" s="399"/>
      <c r="K18" s="564"/>
      <c r="L18" s="2720"/>
      <c r="M18" s="2714"/>
      <c r="N18" s="2714"/>
      <c r="O18" s="2714"/>
      <c r="P18" s="3691"/>
      <c r="Q18" s="1350"/>
      <c r="R18" s="705"/>
      <c r="S18" s="706"/>
      <c r="T18" s="705"/>
      <c r="U18" s="706"/>
      <c r="V18" s="705"/>
      <c r="W18" s="706"/>
      <c r="X18" s="1353"/>
      <c r="Y18" s="3693"/>
      <c r="Z18" s="1354"/>
      <c r="AA18" s="1351">
        <v>1</v>
      </c>
      <c r="AB18" s="1351">
        <v>1</v>
      </c>
      <c r="AC18" s="1351">
        <v>1</v>
      </c>
    </row>
    <row r="19" spans="1:29" ht="41.4">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1"/>
      <c r="Q19" s="1350" t="str">
        <f>B19</f>
        <v>公共配套设施</v>
      </c>
      <c r="R19" s="705" t="s">
        <v>14</v>
      </c>
      <c r="S19" s="706">
        <f>F19</f>
        <v>100</v>
      </c>
      <c r="T19" s="705" t="s">
        <v>14</v>
      </c>
      <c r="U19" s="706">
        <f>H19</f>
        <v>100</v>
      </c>
      <c r="V19" s="705" t="s">
        <v>14</v>
      </c>
      <c r="W19" s="706">
        <f>J19</f>
        <v>100</v>
      </c>
      <c r="X19" s="1353"/>
      <c r="Y19" s="3693"/>
      <c r="Z19" s="1354" t="str">
        <f>Q19</f>
        <v>公共配套设施</v>
      </c>
      <c r="AA19" s="1351">
        <f t="shared" si="3"/>
        <v>1</v>
      </c>
      <c r="AB19" s="1351">
        <f t="shared" si="4"/>
        <v>1</v>
      </c>
      <c r="AC19" s="1351">
        <f t="shared" si="5"/>
        <v>1</v>
      </c>
    </row>
    <row r="20" spans="1:29" ht="15">
      <c r="A20" s="379"/>
      <c r="B20" s="407"/>
      <c r="C20" s="398" t="s">
        <v>3394</v>
      </c>
      <c r="D20" s="399"/>
      <c r="E20" s="1899" t="s">
        <v>3394</v>
      </c>
      <c r="F20" s="400"/>
      <c r="G20" s="1899" t="s">
        <v>3394</v>
      </c>
      <c r="H20" s="399"/>
      <c r="I20" s="1899" t="s">
        <v>3394</v>
      </c>
      <c r="J20" s="399"/>
      <c r="K20" s="564"/>
      <c r="L20" s="2720"/>
      <c r="M20" s="2714"/>
      <c r="N20" s="2714"/>
      <c r="O20" s="2714"/>
      <c r="P20" s="3691"/>
      <c r="Q20" s="1350"/>
      <c r="R20" s="705"/>
      <c r="S20" s="706"/>
      <c r="T20" s="705"/>
      <c r="U20" s="706"/>
      <c r="V20" s="705"/>
      <c r="W20" s="706"/>
      <c r="X20" s="1353"/>
      <c r="Y20" s="3693"/>
      <c r="Z20" s="1354"/>
      <c r="AA20" s="1351">
        <v>1</v>
      </c>
      <c r="AB20" s="1351">
        <v>1</v>
      </c>
      <c r="AC20" s="1351">
        <v>1</v>
      </c>
    </row>
    <row r="21" spans="1:29" ht="27.6">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1"/>
      <c r="Q21" s="1350" t="str">
        <f>B21</f>
        <v>基础设施水平</v>
      </c>
      <c r="R21" s="705" t="s">
        <v>14</v>
      </c>
      <c r="S21" s="706">
        <f>F21</f>
        <v>100</v>
      </c>
      <c r="T21" s="705" t="s">
        <v>14</v>
      </c>
      <c r="U21" s="706">
        <f>H21</f>
        <v>100</v>
      </c>
      <c r="V21" s="705" t="s">
        <v>14</v>
      </c>
      <c r="W21" s="706">
        <f>J21</f>
        <v>100</v>
      </c>
      <c r="X21" s="1353"/>
      <c r="Y21" s="3693"/>
      <c r="Z21" s="1354" t="str">
        <f>Q21</f>
        <v>基础设施水平</v>
      </c>
      <c r="AA21" s="1351">
        <f t="shared" ref="AA21" si="8">D21/F21</f>
        <v>1</v>
      </c>
      <c r="AB21" s="1351">
        <f t="shared" ref="AB21" si="9">D21/H21</f>
        <v>1</v>
      </c>
      <c r="AC21" s="1351">
        <f t="shared" ref="AC21" si="10">D21/J21</f>
        <v>1</v>
      </c>
    </row>
    <row r="22" spans="1:29" ht="15">
      <c r="A22" s="379"/>
      <c r="B22" s="1130"/>
      <c r="C22" s="1899" t="s">
        <v>3395</v>
      </c>
      <c r="D22" s="399"/>
      <c r="E22" s="398" t="s">
        <v>3395</v>
      </c>
      <c r="F22" s="400"/>
      <c r="G22" s="398" t="s">
        <v>3395</v>
      </c>
      <c r="H22" s="399"/>
      <c r="I22" s="398" t="s">
        <v>3395</v>
      </c>
      <c r="J22" s="399"/>
      <c r="K22" s="1129"/>
      <c r="L22" s="2720"/>
      <c r="M22" s="2714"/>
      <c r="N22" s="2714"/>
      <c r="O22" s="2714"/>
      <c r="P22" s="3691"/>
      <c r="Q22" s="1350"/>
      <c r="R22" s="705"/>
      <c r="S22" s="706"/>
      <c r="T22" s="705"/>
      <c r="U22" s="706"/>
      <c r="V22" s="705"/>
      <c r="W22" s="706"/>
      <c r="X22" s="1353"/>
      <c r="Y22" s="3693"/>
      <c r="Z22" s="1354"/>
      <c r="AA22" s="1351">
        <v>1</v>
      </c>
      <c r="AB22" s="1351">
        <v>1</v>
      </c>
      <c r="AC22" s="1351">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1"/>
      <c r="Q23" s="1350" t="str">
        <f>B23</f>
        <v>自然及人文环境</v>
      </c>
      <c r="R23" s="705" t="s">
        <v>14</v>
      </c>
      <c r="S23" s="706">
        <f>F23</f>
        <v>100</v>
      </c>
      <c r="T23" s="705" t="s">
        <v>14</v>
      </c>
      <c r="U23" s="706">
        <f>H23</f>
        <v>100</v>
      </c>
      <c r="V23" s="705" t="s">
        <v>14</v>
      </c>
      <c r="W23" s="706">
        <f>J23</f>
        <v>100</v>
      </c>
      <c r="X23" s="1353"/>
      <c r="Y23" s="3693"/>
      <c r="Z23" s="1354" t="str">
        <f>Q23</f>
        <v>自然及人文环境</v>
      </c>
      <c r="AA23" s="1351">
        <f t="shared" si="3"/>
        <v>1</v>
      </c>
      <c r="AB23" s="1351">
        <f t="shared" si="4"/>
        <v>1</v>
      </c>
      <c r="AC23" s="1351">
        <f t="shared" si="5"/>
        <v>1</v>
      </c>
    </row>
    <row r="24" spans="1:29" ht="15">
      <c r="A24" s="379"/>
      <c r="B24" s="407"/>
      <c r="C24" s="398" t="s">
        <v>3394</v>
      </c>
      <c r="D24" s="399"/>
      <c r="E24" s="1899" t="s">
        <v>3394</v>
      </c>
      <c r="F24" s="400"/>
      <c r="G24" s="1899" t="s">
        <v>3394</v>
      </c>
      <c r="H24" s="399"/>
      <c r="I24" s="1899" t="s">
        <v>3394</v>
      </c>
      <c r="J24" s="399"/>
      <c r="K24" s="564"/>
      <c r="L24" s="2720"/>
      <c r="M24" s="2714"/>
      <c r="N24" s="2714"/>
      <c r="O24" s="2714"/>
      <c r="P24" s="3691"/>
      <c r="Q24" s="1350"/>
      <c r="R24" s="705"/>
      <c r="S24" s="706"/>
      <c r="T24" s="705"/>
      <c r="U24" s="706"/>
      <c r="V24" s="705"/>
      <c r="W24" s="706"/>
      <c r="X24" s="1353"/>
      <c r="Y24" s="3693"/>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1"/>
      <c r="Q25" s="1350" t="str">
        <f t="shared" ref="Q25:Q46" si="11">B25</f>
        <v>临街状况</v>
      </c>
      <c r="R25" s="705" t="s">
        <v>14</v>
      </c>
      <c r="S25" s="706">
        <f>F25</f>
        <v>100</v>
      </c>
      <c r="T25" s="705" t="s">
        <v>14</v>
      </c>
      <c r="U25" s="706">
        <f>H25</f>
        <v>100</v>
      </c>
      <c r="V25" s="705" t="s">
        <v>14</v>
      </c>
      <c r="W25" s="706">
        <f>J25</f>
        <v>100</v>
      </c>
      <c r="X25" s="1353"/>
      <c r="Y25" s="3693"/>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1"/>
      <c r="Q26" s="1350" t="str">
        <f t="shared" si="11"/>
        <v>平面位置/可视性</v>
      </c>
      <c r="R26" s="705" t="s">
        <v>14</v>
      </c>
      <c r="S26" s="706">
        <f>F26</f>
        <v>100</v>
      </c>
      <c r="T26" s="705" t="s">
        <v>14</v>
      </c>
      <c r="U26" s="706">
        <f>H26</f>
        <v>100</v>
      </c>
      <c r="V26" s="705" t="s">
        <v>14</v>
      </c>
      <c r="W26" s="706">
        <f>J26</f>
        <v>100</v>
      </c>
      <c r="X26" s="1353"/>
      <c r="Y26" s="3693"/>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1"/>
      <c r="Q27" s="1341" t="str">
        <f t="shared" si="11"/>
        <v>人流量</v>
      </c>
      <c r="R27" s="701" t="s">
        <v>14</v>
      </c>
      <c r="S27" s="702">
        <f>F27</f>
        <v>100</v>
      </c>
      <c r="T27" s="701" t="s">
        <v>14</v>
      </c>
      <c r="U27" s="702">
        <f>H27</f>
        <v>100</v>
      </c>
      <c r="V27" s="701" t="s">
        <v>14</v>
      </c>
      <c r="W27" s="702">
        <f>J27</f>
        <v>100</v>
      </c>
      <c r="X27" s="703"/>
      <c r="Y27" s="3693"/>
      <c r="Z27" s="52" t="str">
        <f>Q27</f>
        <v>人流量</v>
      </c>
      <c r="AA27" s="1351">
        <f>D27/F27</f>
        <v>1</v>
      </c>
      <c r="AB27" s="1351">
        <f>D27/H27</f>
        <v>1</v>
      </c>
      <c r="AC27" s="1351">
        <f>D27/J27</f>
        <v>1</v>
      </c>
    </row>
    <row r="28" spans="1:29" ht="15">
      <c r="A28" s="379"/>
      <c r="B28" s="375" t="s">
        <v>1783</v>
      </c>
      <c r="C28" s="565" t="s">
        <v>3410</v>
      </c>
      <c r="D28" s="386">
        <v>100</v>
      </c>
      <c r="E28" s="565" t="s">
        <v>3411</v>
      </c>
      <c r="F28" s="412">
        <f>SUMIF(92:92,E28,93:93)-SUMIF(92:92,C28,93:93)+100</f>
        <v>112</v>
      </c>
      <c r="G28" s="565" t="s">
        <v>3411</v>
      </c>
      <c r="H28" s="386">
        <f>SUMIF(92:92,G28,93:93)-SUMIF(92:92,C28,93:93)+100</f>
        <v>112</v>
      </c>
      <c r="I28" s="565" t="s">
        <v>3411</v>
      </c>
      <c r="J28" s="386">
        <f>SUMIF(92:92,I28,93:93)-SUMIF(92:92,C28,93:93)+100</f>
        <v>112</v>
      </c>
      <c r="K28" s="562"/>
      <c r="L28" s="2720"/>
      <c r="M28" s="2714"/>
      <c r="N28" s="2714"/>
      <c r="O28" s="2714"/>
      <c r="P28" s="3691"/>
      <c r="Q28" s="1350" t="str">
        <f t="shared" si="11"/>
        <v>楼层</v>
      </c>
      <c r="R28" s="705" t="s">
        <v>14</v>
      </c>
      <c r="S28" s="706">
        <f t="shared" ref="S28:S46" si="12">F28</f>
        <v>112</v>
      </c>
      <c r="T28" s="705" t="s">
        <v>14</v>
      </c>
      <c r="U28" s="706">
        <f t="shared" ref="U28:U46" si="13">H28</f>
        <v>112</v>
      </c>
      <c r="V28" s="705" t="s">
        <v>14</v>
      </c>
      <c r="W28" s="706">
        <f t="shared" ref="W28:W46" si="14">J28</f>
        <v>112</v>
      </c>
      <c r="X28" s="1353"/>
      <c r="Y28" s="3693"/>
      <c r="Z28" s="1354" t="str">
        <f t="shared" ref="Z28:Z46" si="15">Q28</f>
        <v>楼层</v>
      </c>
      <c r="AA28" s="1351">
        <f t="shared" si="3"/>
        <v>0.8928571428571429</v>
      </c>
      <c r="AB28" s="1351">
        <f t="shared" si="4"/>
        <v>0.8928571428571429</v>
      </c>
      <c r="AC28" s="1351">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1"/>
      <c r="Q29" s="1350">
        <f t="shared" si="11"/>
        <v>111</v>
      </c>
      <c r="R29" s="705" t="s">
        <v>14</v>
      </c>
      <c r="S29" s="706">
        <f t="shared" si="12"/>
        <v>100</v>
      </c>
      <c r="T29" s="705" t="s">
        <v>14</v>
      </c>
      <c r="U29" s="706">
        <f t="shared" si="13"/>
        <v>100</v>
      </c>
      <c r="V29" s="705" t="s">
        <v>14</v>
      </c>
      <c r="W29" s="706">
        <f t="shared" si="14"/>
        <v>100</v>
      </c>
      <c r="X29" s="1353"/>
      <c r="Y29" s="3693"/>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1"/>
      <c r="Q30" s="1350">
        <f t="shared" si="11"/>
        <v>111</v>
      </c>
      <c r="R30" s="705" t="s">
        <v>14</v>
      </c>
      <c r="S30" s="706">
        <f t="shared" si="12"/>
        <v>100</v>
      </c>
      <c r="T30" s="705" t="s">
        <v>14</v>
      </c>
      <c r="U30" s="706">
        <f t="shared" si="13"/>
        <v>100</v>
      </c>
      <c r="V30" s="705" t="s">
        <v>14</v>
      </c>
      <c r="W30" s="706">
        <f t="shared" si="14"/>
        <v>100</v>
      </c>
      <c r="X30" s="1353"/>
      <c r="Y30" s="3693"/>
      <c r="Z30" s="1354">
        <f t="shared" si="15"/>
        <v>111</v>
      </c>
      <c r="AA30" s="1351">
        <f t="shared" si="3"/>
        <v>1</v>
      </c>
      <c r="AB30" s="1351">
        <f t="shared" si="4"/>
        <v>1</v>
      </c>
      <c r="AC30" s="1351">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1"/>
      <c r="Q31" s="1350">
        <f t="shared" si="11"/>
        <v>111</v>
      </c>
      <c r="R31" s="705" t="s">
        <v>14</v>
      </c>
      <c r="S31" s="706">
        <f t="shared" si="12"/>
        <v>100</v>
      </c>
      <c r="T31" s="705" t="s">
        <v>14</v>
      </c>
      <c r="U31" s="706">
        <f t="shared" si="13"/>
        <v>100</v>
      </c>
      <c r="V31" s="705" t="s">
        <v>14</v>
      </c>
      <c r="W31" s="706">
        <f t="shared" si="14"/>
        <v>100</v>
      </c>
      <c r="X31" s="1353"/>
      <c r="Y31" s="3693"/>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4" t="s">
        <v>1696</v>
      </c>
      <c r="Q32" s="1350" t="str">
        <f t="shared" si="11"/>
        <v>商业类型</v>
      </c>
      <c r="R32" s="705" t="s">
        <v>14</v>
      </c>
      <c r="S32" s="706">
        <f t="shared" si="12"/>
        <v>100</v>
      </c>
      <c r="T32" s="705" t="s">
        <v>14</v>
      </c>
      <c r="U32" s="706">
        <f t="shared" si="13"/>
        <v>100</v>
      </c>
      <c r="V32" s="705" t="s">
        <v>14</v>
      </c>
      <c r="W32" s="706">
        <f t="shared" si="14"/>
        <v>100</v>
      </c>
      <c r="X32" s="1353"/>
      <c r="Y32" s="3697"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101</v>
      </c>
      <c r="I33" s="380">
        <v>163.33000000000001</v>
      </c>
      <c r="J33" s="127">
        <f>LOOKUP(I33,103:103,104:104)-LOOKUP(C33,103:103,104:104)+100</f>
        <v>101</v>
      </c>
      <c r="K33" s="562"/>
      <c r="L33" s="2719"/>
      <c r="M33" s="2721"/>
      <c r="N33" s="2721"/>
      <c r="O33" s="2721"/>
      <c r="P33" s="3695"/>
      <c r="Q33" s="707" t="str">
        <f t="shared" si="11"/>
        <v>项目建筑规模</v>
      </c>
      <c r="R33" s="708" t="s">
        <v>14</v>
      </c>
      <c r="S33" s="709">
        <f t="shared" si="12"/>
        <v>100</v>
      </c>
      <c r="T33" s="708" t="s">
        <v>14</v>
      </c>
      <c r="U33" s="709">
        <f t="shared" si="13"/>
        <v>101</v>
      </c>
      <c r="V33" s="708" t="s">
        <v>14</v>
      </c>
      <c r="W33" s="709">
        <f t="shared" si="14"/>
        <v>101</v>
      </c>
      <c r="X33" s="710"/>
      <c r="Y33" s="3697"/>
      <c r="Z33" s="711" t="str">
        <f t="shared" si="15"/>
        <v>项目建筑规模</v>
      </c>
      <c r="AA33" s="1351">
        <f t="shared" si="3"/>
        <v>1</v>
      </c>
      <c r="AB33" s="1351">
        <f t="shared" si="4"/>
        <v>0.99009900990099009</v>
      </c>
      <c r="AC33" s="1351">
        <f t="shared" si="5"/>
        <v>0.99009900990099009</v>
      </c>
    </row>
    <row r="34" spans="1:29" ht="15">
      <c r="A34" s="423"/>
      <c r="B34" s="375" t="s">
        <v>1698</v>
      </c>
      <c r="C34" s="1910" t="s">
        <v>3399</v>
      </c>
      <c r="D34" s="386">
        <v>100</v>
      </c>
      <c r="E34" s="1910" t="s">
        <v>3399</v>
      </c>
      <c r="F34" s="412">
        <f>SUMIF(105:105,E34,106:106)-SUMIF(105:105,C34,106:106)+100</f>
        <v>100</v>
      </c>
      <c r="G34" s="1910" t="s">
        <v>3399</v>
      </c>
      <c r="H34" s="386">
        <f>SUMIF(105:105,G34,106:106)-SUMIF(105:105,C34,106:106)+100</f>
        <v>100</v>
      </c>
      <c r="I34" s="1910" t="s">
        <v>3399</v>
      </c>
      <c r="J34" s="386">
        <f>SUMIF(105:105,I34,106:106)-SUMIF(105:105,C34,106:106)+100</f>
        <v>100</v>
      </c>
      <c r="K34" s="561"/>
      <c r="L34" s="2720"/>
      <c r="M34" s="2714"/>
      <c r="N34" s="2714"/>
      <c r="O34" s="2714"/>
      <c r="P34" s="3695"/>
      <c r="Q34" s="1350" t="str">
        <f t="shared" si="11"/>
        <v>建筑结构</v>
      </c>
      <c r="R34" s="705" t="s">
        <v>14</v>
      </c>
      <c r="S34" s="706">
        <f t="shared" si="12"/>
        <v>100</v>
      </c>
      <c r="T34" s="705" t="s">
        <v>14</v>
      </c>
      <c r="U34" s="706">
        <f t="shared" si="13"/>
        <v>100</v>
      </c>
      <c r="V34" s="705" t="s">
        <v>14</v>
      </c>
      <c r="W34" s="706">
        <f t="shared" si="14"/>
        <v>100</v>
      </c>
      <c r="X34" s="1353"/>
      <c r="Y34" s="3697"/>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5"/>
      <c r="Q35" s="1350" t="str">
        <f t="shared" si="11"/>
        <v>公共部分装修</v>
      </c>
      <c r="R35" s="705" t="s">
        <v>14</v>
      </c>
      <c r="S35" s="706">
        <f t="shared" si="12"/>
        <v>100</v>
      </c>
      <c r="T35" s="705" t="s">
        <v>14</v>
      </c>
      <c r="U35" s="706">
        <f t="shared" si="13"/>
        <v>100</v>
      </c>
      <c r="V35" s="705" t="s">
        <v>14</v>
      </c>
      <c r="W35" s="706">
        <f t="shared" si="14"/>
        <v>100</v>
      </c>
      <c r="X35" s="1353"/>
      <c r="Y35" s="3697"/>
      <c r="Z35" s="1354" t="str">
        <f t="shared" si="15"/>
        <v>公共部分装修</v>
      </c>
      <c r="AA35" s="1351">
        <f t="shared" si="3"/>
        <v>1</v>
      </c>
      <c r="AB35" s="1351">
        <f t="shared" si="4"/>
        <v>1</v>
      </c>
      <c r="AC35" s="1351">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695"/>
      <c r="Q36" s="1350" t="str">
        <f t="shared" si="11"/>
        <v>成新度</v>
      </c>
      <c r="R36" s="705" t="s">
        <v>14</v>
      </c>
      <c r="S36" s="706">
        <f t="shared" si="12"/>
        <v>100</v>
      </c>
      <c r="T36" s="705" t="s">
        <v>14</v>
      </c>
      <c r="U36" s="706">
        <f t="shared" si="13"/>
        <v>100</v>
      </c>
      <c r="V36" s="705" t="s">
        <v>14</v>
      </c>
      <c r="W36" s="706">
        <f t="shared" si="14"/>
        <v>100</v>
      </c>
      <c r="X36" s="1353"/>
      <c r="Y36" s="3697"/>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5"/>
      <c r="Q37" s="1341" t="str">
        <f t="shared" si="11"/>
        <v>市政基础设施</v>
      </c>
      <c r="R37" s="701" t="s">
        <v>14</v>
      </c>
      <c r="S37" s="702">
        <f t="shared" si="12"/>
        <v>100</v>
      </c>
      <c r="T37" s="701" t="s">
        <v>14</v>
      </c>
      <c r="U37" s="702">
        <f t="shared" si="13"/>
        <v>100</v>
      </c>
      <c r="V37" s="701" t="s">
        <v>14</v>
      </c>
      <c r="W37" s="702">
        <f t="shared" si="14"/>
        <v>100</v>
      </c>
      <c r="X37" s="703"/>
      <c r="Y37" s="369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5" t="s">
        <v>1696</v>
      </c>
      <c r="Q38" s="1350" t="str">
        <f t="shared" si="11"/>
        <v>业态</v>
      </c>
      <c r="R38" s="705" t="s">
        <v>14</v>
      </c>
      <c r="S38" s="706">
        <f t="shared" si="12"/>
        <v>100</v>
      </c>
      <c r="T38" s="705" t="s">
        <v>14</v>
      </c>
      <c r="U38" s="706">
        <f t="shared" si="13"/>
        <v>100</v>
      </c>
      <c r="V38" s="705" t="s">
        <v>14</v>
      </c>
      <c r="W38" s="706">
        <f t="shared" si="14"/>
        <v>100</v>
      </c>
      <c r="X38" s="1353"/>
      <c r="Y38" s="3697"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5"/>
      <c r="Q39" s="1350" t="str">
        <f t="shared" si="11"/>
        <v>层高</v>
      </c>
      <c r="R39" s="705" t="s">
        <v>14</v>
      </c>
      <c r="S39" s="706">
        <f t="shared" si="12"/>
        <v>100</v>
      </c>
      <c r="T39" s="705" t="s">
        <v>14</v>
      </c>
      <c r="U39" s="706">
        <f t="shared" si="13"/>
        <v>100</v>
      </c>
      <c r="V39" s="705" t="s">
        <v>14</v>
      </c>
      <c r="W39" s="706">
        <f t="shared" si="14"/>
        <v>100</v>
      </c>
      <c r="X39" s="1353"/>
      <c r="Y39" s="3697"/>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5"/>
      <c r="Q40" s="1350" t="str">
        <f t="shared" si="11"/>
        <v>单套建筑面积</v>
      </c>
      <c r="R40" s="705" t="s">
        <v>14</v>
      </c>
      <c r="S40" s="706">
        <f t="shared" si="12"/>
        <v>100</v>
      </c>
      <c r="T40" s="705" t="s">
        <v>14</v>
      </c>
      <c r="U40" s="706">
        <f t="shared" si="13"/>
        <v>100</v>
      </c>
      <c r="V40" s="705" t="s">
        <v>14</v>
      </c>
      <c r="W40" s="706">
        <f t="shared" si="14"/>
        <v>100</v>
      </c>
      <c r="X40" s="1353"/>
      <c r="Y40" s="3697"/>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5"/>
      <c r="Q42" s="1350" t="str">
        <f t="shared" si="11"/>
        <v>内部装修</v>
      </c>
      <c r="R42" s="705" t="s">
        <v>14</v>
      </c>
      <c r="S42" s="706">
        <f t="shared" si="12"/>
        <v>100</v>
      </c>
      <c r="T42" s="705" t="s">
        <v>14</v>
      </c>
      <c r="U42" s="706">
        <f t="shared" si="13"/>
        <v>100</v>
      </c>
      <c r="V42" s="705" t="s">
        <v>14</v>
      </c>
      <c r="W42" s="706">
        <f t="shared" si="14"/>
        <v>100</v>
      </c>
      <c r="X42" s="1353"/>
      <c r="Y42" s="3697"/>
      <c r="Z42" s="1354" t="str">
        <f t="shared" si="15"/>
        <v>内部装修</v>
      </c>
      <c r="AA42" s="1351">
        <f t="shared" si="3"/>
        <v>1</v>
      </c>
      <c r="AB42" s="1351">
        <f t="shared" si="4"/>
        <v>1</v>
      </c>
      <c r="AC42" s="1351">
        <f t="shared" si="5"/>
        <v>1</v>
      </c>
    </row>
    <row r="43" spans="1:29" ht="28.8">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5"/>
      <c r="Q43" s="1350" t="str">
        <f t="shared" si="11"/>
        <v>内部装修维护情况</v>
      </c>
      <c r="R43" s="705" t="s">
        <v>14</v>
      </c>
      <c r="S43" s="706">
        <f t="shared" si="12"/>
        <v>100</v>
      </c>
      <c r="T43" s="705" t="s">
        <v>14</v>
      </c>
      <c r="U43" s="706">
        <f t="shared" si="13"/>
        <v>100</v>
      </c>
      <c r="V43" s="705" t="s">
        <v>14</v>
      </c>
      <c r="W43" s="706">
        <f t="shared" si="14"/>
        <v>100</v>
      </c>
      <c r="X43" s="1353"/>
      <c r="Y43" s="3697"/>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5"/>
      <c r="Q44" s="1341">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5"/>
      <c r="Q45" s="1350">
        <f t="shared" si="11"/>
        <v>111</v>
      </c>
      <c r="R45" s="705" t="s">
        <v>14</v>
      </c>
      <c r="S45" s="706">
        <f t="shared" si="12"/>
        <v>100</v>
      </c>
      <c r="T45" s="705" t="s">
        <v>14</v>
      </c>
      <c r="U45" s="706">
        <f t="shared" si="13"/>
        <v>100</v>
      </c>
      <c r="V45" s="705" t="s">
        <v>14</v>
      </c>
      <c r="W45" s="706">
        <f t="shared" si="14"/>
        <v>100</v>
      </c>
      <c r="X45" s="1353"/>
      <c r="Y45" s="3697"/>
      <c r="Z45" s="1354">
        <f t="shared" si="15"/>
        <v>111</v>
      </c>
      <c r="AA45" s="1351">
        <f t="shared" si="3"/>
        <v>1</v>
      </c>
      <c r="AB45" s="1351">
        <f t="shared" si="4"/>
        <v>1</v>
      </c>
      <c r="AC45" s="1351">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6"/>
      <c r="Q46" s="1350">
        <f t="shared" si="11"/>
        <v>111</v>
      </c>
      <c r="R46" s="705" t="s">
        <v>14</v>
      </c>
      <c r="S46" s="706">
        <f t="shared" si="12"/>
        <v>100</v>
      </c>
      <c r="T46" s="705" t="s">
        <v>14</v>
      </c>
      <c r="U46" s="706">
        <f t="shared" si="13"/>
        <v>100</v>
      </c>
      <c r="V46" s="705" t="s">
        <v>14</v>
      </c>
      <c r="W46" s="706">
        <f t="shared" si="14"/>
        <v>100</v>
      </c>
      <c r="X46" s="1353"/>
      <c r="Y46" s="3698"/>
      <c r="Z46" s="1354">
        <f t="shared" si="15"/>
        <v>111</v>
      </c>
      <c r="AA46" s="1351">
        <f t="shared" si="3"/>
        <v>1</v>
      </c>
      <c r="AB46" s="1351">
        <f t="shared" si="4"/>
        <v>1</v>
      </c>
      <c r="AC46" s="1351">
        <f t="shared" si="5"/>
        <v>1</v>
      </c>
    </row>
    <row r="47" spans="1:29" ht="14.4">
      <c r="A47" s="430" t="s">
        <v>1708</v>
      </c>
      <c r="B47" s="431"/>
      <c r="C47" s="1153" t="s">
        <v>0</v>
      </c>
      <c r="D47" s="1154"/>
      <c r="E47" s="1155">
        <v>53725</v>
      </c>
      <c r="F47" s="1156"/>
      <c r="G47" s="1157">
        <v>48656</v>
      </c>
      <c r="H47" s="1158"/>
      <c r="I47" s="1155">
        <v>53878</v>
      </c>
      <c r="J47" s="1158"/>
      <c r="K47" s="714"/>
      <c r="L47" s="2722"/>
      <c r="M47" s="2723"/>
      <c r="N47" s="2714"/>
      <c r="O47" s="2723"/>
      <c r="P47" s="3699" t="str">
        <f>A47</f>
        <v>成交单价（元/平方米）</v>
      </c>
      <c r="Q47" s="3699"/>
      <c r="R47" s="3660">
        <f>E47</f>
        <v>53725</v>
      </c>
      <c r="S47" s="3660"/>
      <c r="T47" s="3660">
        <f>G47</f>
        <v>48656</v>
      </c>
      <c r="U47" s="3660"/>
      <c r="V47" s="3660">
        <f>I47</f>
        <v>53878</v>
      </c>
      <c r="W47" s="3660"/>
      <c r="X47" s="690"/>
      <c r="Y47" s="712"/>
      <c r="Z47" s="690"/>
      <c r="AA47" s="690"/>
      <c r="AB47" s="690"/>
      <c r="AC47" s="690"/>
    </row>
    <row r="48" spans="1:29" ht="15" thickBot="1">
      <c r="A48" s="437" t="s">
        <v>1793</v>
      </c>
      <c r="B48" s="438"/>
      <c r="C48" s="1159">
        <f>R49</f>
        <v>45297</v>
      </c>
      <c r="D48" s="2315" t="s">
        <v>2133</v>
      </c>
      <c r="E48" s="1160">
        <f>R48</f>
        <v>47028</v>
      </c>
      <c r="F48" s="2316"/>
      <c r="G48" s="1159">
        <f>T48</f>
        <v>42169</v>
      </c>
      <c r="H48" s="2316"/>
      <c r="I48" s="1160">
        <f>V48</f>
        <v>46695</v>
      </c>
      <c r="J48" s="2316"/>
      <c r="K48" s="2318">
        <f>F48+H48+J48</f>
        <v>0</v>
      </c>
      <c r="L48" s="2722"/>
      <c r="M48" s="2723"/>
      <c r="N48" s="2714"/>
      <c r="O48" s="2723"/>
      <c r="P48" s="3699" t="str">
        <f>A48</f>
        <v>比较价值（元/平方米）</v>
      </c>
      <c r="Q48" s="3699"/>
      <c r="R48" s="3700">
        <f>IF(F1="售价",ROUND(PRODUCT(R47,AA7:AA46),0),ROUND(PRODUCT(R47,AA7:AA46),1))</f>
        <v>47028</v>
      </c>
      <c r="S48" s="3700"/>
      <c r="T48" s="3700">
        <f>IF(F1="售价",ROUND(PRODUCT(T47,AB7:AB46),0),ROUND(PRODUCT(T47,AB7:AB46),1))</f>
        <v>42169</v>
      </c>
      <c r="U48" s="3700"/>
      <c r="V48" s="3700">
        <f>IF(F1="售价",ROUND(PRODUCT(V47,AC7:AC46),0),ROUND(PRODUCT(V47,AC7:AC46),1))</f>
        <v>46695</v>
      </c>
      <c r="W48" s="3700"/>
      <c r="X48" s="690"/>
      <c r="Y48" s="690"/>
      <c r="Z48" s="690"/>
      <c r="AA48" s="690"/>
      <c r="AB48" s="690"/>
      <c r="AC48" s="690"/>
    </row>
    <row r="49" spans="1:29" ht="15" thickBot="1">
      <c r="A49" s="441" t="s">
        <v>1794</v>
      </c>
      <c r="B49" s="442"/>
      <c r="C49" s="1162">
        <f>R49</f>
        <v>45297</v>
      </c>
      <c r="D49" s="1162"/>
      <c r="E49" s="1162"/>
      <c r="F49" s="1162"/>
      <c r="G49" s="1162"/>
      <c r="H49" s="1162"/>
      <c r="I49" s="1162"/>
      <c r="J49" s="1162"/>
      <c r="K49" s="715"/>
      <c r="L49" s="2722"/>
      <c r="M49" s="2723"/>
      <c r="N49" s="2714"/>
      <c r="O49" s="2723"/>
      <c r="P49" s="3701" t="str">
        <f>A49</f>
        <v>估价对象XX用房的比较价值（楼面单价，元/平方米）</v>
      </c>
      <c r="Q49" s="3702"/>
      <c r="R49" s="3703">
        <f>IF(F1="售价",ROUND(IF(D48="简单平均",AVERAGE(R48:V48),R48*F48+T48*H48+V48*J48),0),ROUND(IF(D48="简单平均",AVERAGE(R48:V48),R48*F48+T48*H48+V48*J48),1))</f>
        <v>45297</v>
      </c>
      <c r="S49" s="3703"/>
      <c r="T49" s="3703"/>
      <c r="U49" s="3703"/>
      <c r="V49" s="3703"/>
      <c r="W49" s="370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0.14240452496385125</v>
      </c>
      <c r="F52" s="449" t="str">
        <f>IF(OR(E52&gt;=0.3,E52&lt;=-0.3),"超过30%","")</f>
        <v/>
      </c>
      <c r="G52" s="448">
        <f>IF(G47&lt;G48,G48/G47-1,G47/G48-1)</f>
        <v>0.1538333847138893</v>
      </c>
      <c r="H52" s="449" t="str">
        <f>IF(OR(G52&gt;=0.3,G52&lt;=-0.3),"超过30%","")</f>
        <v/>
      </c>
      <c r="I52" s="448">
        <f>IF(I47&lt;I48,I48/I47-1,I47/I48-1)</f>
        <v>0.15382803297997638</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0.11522682539306128</v>
      </c>
      <c r="F53" s="449" t="str">
        <f>IF(OR(E53&gt;=0.2,E53&lt;=-0.2),"超过20%","")</f>
        <v/>
      </c>
      <c r="G53" s="448">
        <f>IF(G48&lt;I48,I48/G48-1,G48/I48-1)</f>
        <v>0.10733002916834633</v>
      </c>
      <c r="H53" s="449" t="str">
        <f>IF(OR(G53&gt;=0.2,G53&lt;=-0.2),"超过20%","")</f>
        <v/>
      </c>
      <c r="I53" s="448">
        <f>IF(I48&lt;E48,E48/I48-1,I48/E48-1)</f>
        <v>7.131384516543493E-3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8"/>
      <c r="Q58" s="2739"/>
      <c r="R58" s="2739"/>
      <c r="S58" s="2739"/>
      <c r="T58" s="2739"/>
      <c r="U58" s="2739"/>
      <c r="V58" s="2739"/>
      <c r="W58" s="2739"/>
      <c r="X58" s="2739"/>
      <c r="Y58" s="2739"/>
      <c r="Z58" s="2739"/>
      <c r="AA58" s="2739"/>
      <c r="AB58" s="2739"/>
      <c r="AC58" s="2739"/>
    </row>
    <row r="59" spans="1:29" s="108" customFormat="1">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3452" t="s">
        <v>3415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 thickTop="1">
      <c r="A90" s="502"/>
      <c r="B90" s="487" t="str">
        <f>B27</f>
        <v>人流量</v>
      </c>
      <c r="C90" s="3450"/>
      <c r="D90" s="3450"/>
      <c r="E90" s="3450"/>
      <c r="F90" s="3450"/>
      <c r="G90" s="3450"/>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 thickTop="1">
      <c r="A92" s="483"/>
      <c r="B92" s="487" t="str">
        <f>B28</f>
        <v>楼层</v>
      </c>
      <c r="C92" s="503" t="s">
        <v>3396</v>
      </c>
      <c r="D92" s="503" t="s">
        <v>3397</v>
      </c>
      <c r="E92" s="503" t="s">
        <v>3398</v>
      </c>
      <c r="F92" s="503" t="s">
        <v>3442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v>100</v>
      </c>
      <c r="D93" s="485">
        <v>88</v>
      </c>
      <c r="E93" s="485">
        <v>80</v>
      </c>
      <c r="F93" s="485">
        <v>75</v>
      </c>
      <c r="G93" s="485">
        <v>65</v>
      </c>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3451"/>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v>99</v>
      </c>
      <c r="D104" s="485">
        <v>100</v>
      </c>
      <c r="E104" s="485">
        <f t="shared" ref="E104:F104" si="24">D104-1</f>
        <v>99</v>
      </c>
      <c r="F104" s="485">
        <f t="shared" si="24"/>
        <v>98</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0" t="s">
        <v>3400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3395</v>
      </c>
      <c r="D112" s="503" t="s">
        <v>3401</v>
      </c>
      <c r="E112" s="503" t="s">
        <v>3402</v>
      </c>
      <c r="F112" s="503" t="s">
        <v>3403</v>
      </c>
      <c r="G112" s="503" t="s">
        <v>3404</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50" t="s">
        <v>3406</v>
      </c>
      <c r="D114" s="3450" t="s">
        <v>3405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0" t="s">
        <v>3407</v>
      </c>
      <c r="D122" s="3450" t="s">
        <v>3408</v>
      </c>
      <c r="E122" s="3450" t="s">
        <v>3409</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70" zoomScaleNormal="70" zoomScaleSheetLayoutView="70" workbookViewId="0">
      <selection activeCell="I37" sqref="I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t="s">
        <v>673</v>
      </c>
      <c r="D1" s="1360" t="s">
        <v>43</v>
      </c>
      <c r="E1" s="1361" t="s">
        <v>678</v>
      </c>
      <c r="F1" s="1061">
        <f ca="1">J53</f>
        <v>30.78</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227.5557</v>
      </c>
      <c r="C2" s="1385" t="s">
        <v>879</v>
      </c>
      <c r="D2" s="1469">
        <f ca="1">C40+J29+L46</f>
        <v>2275557</v>
      </c>
      <c r="E2" s="1386" t="s">
        <v>880</v>
      </c>
      <c r="F2" s="1387"/>
      <c r="G2" s="2704"/>
      <c r="H2" s="2693"/>
      <c r="I2" s="2693"/>
      <c r="J2" s="2693"/>
      <c r="K2" s="2694"/>
      <c r="L2" s="2693"/>
      <c r="M2" s="2693"/>
    </row>
    <row r="3" spans="1:37" ht="18" customHeight="1" thickBot="1">
      <c r="A3" s="1388" t="s">
        <v>881</v>
      </c>
      <c r="B3" s="1389">
        <f ca="1">IF(ISERROR(D2/F43),0,ROUND(D2/F43,0))</f>
        <v>26153</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143093</v>
      </c>
      <c r="D5" s="1362" t="s">
        <v>889</v>
      </c>
      <c r="E5" s="1070"/>
      <c r="F5" s="1071"/>
      <c r="G5" s="1382"/>
      <c r="H5" s="299">
        <v>1</v>
      </c>
      <c r="I5" s="300" t="s">
        <v>888</v>
      </c>
      <c r="J5" s="1069">
        <f ca="1">J6+J10+J12</f>
        <v>0</v>
      </c>
      <c r="K5" s="1362" t="s">
        <v>889</v>
      </c>
      <c r="L5" s="1070"/>
      <c r="M5" s="1071"/>
    </row>
    <row r="6" spans="1:37" ht="18" customHeight="1">
      <c r="A6" s="1068" t="s">
        <v>398</v>
      </c>
      <c r="B6" s="3648" t="s">
        <v>694</v>
      </c>
      <c r="C6" s="1073">
        <f ca="1">ROUND(F6*F8*F7*(1-F9),0)</f>
        <v>142914</v>
      </c>
      <c r="D6" s="155" t="s">
        <v>2101</v>
      </c>
      <c r="E6" s="302" t="s">
        <v>696</v>
      </c>
      <c r="F6" s="303">
        <f ca="1">INDIRECT("'数据-取费表'!u"&amp;$G$1)</f>
        <v>5</v>
      </c>
      <c r="G6" s="1382"/>
      <c r="H6" s="1068" t="s">
        <v>398</v>
      </c>
      <c r="I6" s="3648" t="s">
        <v>694</v>
      </c>
      <c r="J6" s="301">
        <f ca="1">ROUND(M6*M8*M7*(1-M9),0)</f>
        <v>0</v>
      </c>
      <c r="K6" s="1374" t="s">
        <v>2102</v>
      </c>
      <c r="L6" s="302" t="s">
        <v>696</v>
      </c>
      <c r="M6" s="303">
        <f ca="1">INDIRECT("'数据-取费表'!z"&amp;$G$1)</f>
        <v>0</v>
      </c>
    </row>
    <row r="7" spans="1:37" ht="18" customHeight="1">
      <c r="A7" s="1072"/>
      <c r="B7" s="3649"/>
      <c r="C7" s="1074"/>
      <c r="D7" s="307"/>
      <c r="E7" s="1075" t="s">
        <v>697</v>
      </c>
      <c r="F7" s="303">
        <f ca="1">IF(INDIRECT("'数据-取费表'!ah"&amp;$G$1)="",INDIRECT("'数据-取费表'!k"&amp;$G$1),INDIRECT("'数据-取费表'!ah"&amp;$G$1))</f>
        <v>87.01</v>
      </c>
      <c r="G7" s="1382"/>
      <c r="H7" s="304"/>
      <c r="I7" s="3649"/>
      <c r="J7" s="306"/>
      <c r="K7" s="307"/>
      <c r="L7" s="302" t="s">
        <v>697</v>
      </c>
      <c r="M7" s="303">
        <f ca="1">F7</f>
        <v>87.01</v>
      </c>
    </row>
    <row r="8" spans="1:37" ht="18" customHeight="1">
      <c r="A8" s="304"/>
      <c r="B8" s="3649"/>
      <c r="C8" s="306"/>
      <c r="D8" s="307"/>
      <c r="E8" s="302" t="s">
        <v>698</v>
      </c>
      <c r="F8" s="303">
        <f ca="1">INDIRECT("'数据-取费表'!ai"&amp;$G$1)</f>
        <v>365</v>
      </c>
      <c r="G8" s="1382"/>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2"/>
      <c r="H9" s="304"/>
      <c r="I9" s="3650"/>
      <c r="J9" s="306"/>
      <c r="K9" s="307"/>
      <c r="L9" s="313" t="s">
        <v>699</v>
      </c>
      <c r="M9" s="314">
        <f ca="1">INDIRECT("'数据-取费表'!ab"&amp;$G$1)</f>
        <v>0</v>
      </c>
    </row>
    <row r="10" spans="1:37" ht="18" customHeight="1">
      <c r="A10" s="1068" t="s">
        <v>402</v>
      </c>
      <c r="B10" s="1363" t="s">
        <v>700</v>
      </c>
      <c r="C10" s="316">
        <f ca="1">ROUND(IF(F10="押一",C6/12*F11,IF(F10="押二",C6/12*2*F11,IF(F10="押三",C6/12*3*F11,C11*F11))),0)</f>
        <v>179</v>
      </c>
      <c r="D10" s="1364" t="s">
        <v>2111</v>
      </c>
      <c r="E10" s="313" t="s">
        <v>701</v>
      </c>
      <c r="F10" s="1115" t="s">
        <v>3417</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391545</v>
      </c>
      <c r="D14" s="1343" t="s">
        <v>708</v>
      </c>
      <c r="E14" s="1340"/>
      <c r="F14" s="319"/>
      <c r="G14" s="1382"/>
      <c r="H14" s="982" t="s">
        <v>398</v>
      </c>
      <c r="I14" s="302" t="s">
        <v>709</v>
      </c>
      <c r="J14" s="21">
        <f ca="1">C29</f>
        <v>582567</v>
      </c>
      <c r="K14" s="12"/>
      <c r="L14" s="807"/>
      <c r="M14" s="808"/>
    </row>
    <row r="15" spans="1:37" s="1395" customFormat="1" ht="18" customHeight="1" thickBot="1">
      <c r="A15" s="982" t="s">
        <v>399</v>
      </c>
      <c r="B15" s="302" t="s">
        <v>710</v>
      </c>
      <c r="C15" s="21">
        <f ca="1">ROUND(C14*F15,0)</f>
        <v>11746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2913</v>
      </c>
      <c r="K16" s="1086" t="s">
        <v>715</v>
      </c>
      <c r="L16" s="1087"/>
      <c r="M16" s="1071"/>
    </row>
    <row r="17" spans="1:37" s="1395" customFormat="1" ht="18" customHeight="1">
      <c r="A17" s="982" t="s">
        <v>681</v>
      </c>
      <c r="B17" s="302" t="s">
        <v>716</v>
      </c>
      <c r="C17" s="21">
        <f ca="1">ROUND(F17*(F43+INDIRECT("'数据-取费表'!S"&amp;$G$1)),0)</f>
        <v>17402</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5873</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426566</v>
      </c>
      <c r="D19" s="131" t="s">
        <v>726</v>
      </c>
      <c r="E19" s="1358"/>
      <c r="F19" s="23"/>
      <c r="G19" s="1382"/>
      <c r="H19" s="982"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2" t="s">
        <v>402</v>
      </c>
      <c r="B20" s="302" t="s">
        <v>728</v>
      </c>
      <c r="C20" s="21">
        <f ca="1">ROUND(C19*F20,0)</f>
        <v>8531</v>
      </c>
      <c r="D20" s="323" t="s">
        <v>729</v>
      </c>
      <c r="E20" s="302" t="s">
        <v>712</v>
      </c>
      <c r="F20" s="322">
        <f>'数据-取费表'!B37</f>
        <v>0.02</v>
      </c>
      <c r="G20" s="1394"/>
      <c r="H20" s="982"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2913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582567</v>
      </c>
      <c r="D29" s="1091"/>
      <c r="E29" s="1089"/>
      <c r="F29" s="1092"/>
      <c r="G29" s="1394"/>
      <c r="H29" s="334" t="s">
        <v>396</v>
      </c>
      <c r="I29" s="335" t="s">
        <v>768</v>
      </c>
      <c r="J29" s="336">
        <f ca="1">ROUND(J26/(1+F40)^F41,0)</f>
        <v>0</v>
      </c>
      <c r="K29" s="337" t="s">
        <v>769</v>
      </c>
      <c r="L29" s="338"/>
      <c r="M29" s="339">
        <f ca="1">INDIRECT("'数据-取费表'!k"&amp;$G$1)</f>
        <v>87.01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28387</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23955</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IF(项目基本情况!B11="自然人","——",ROUND(C6*F32/(1+'数据-取费表'!C42),0))</f>
        <v>7622</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2913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804</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715</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114706</v>
      </c>
      <c r="D39" s="1094" t="s">
        <v>773</v>
      </c>
      <c r="E39" s="1095"/>
      <c r="F39" s="1096"/>
      <c r="G39" s="1382"/>
      <c r="H39" s="2698">
        <f ca="1">C39/C5</f>
        <v>0.80161852781058474</v>
      </c>
      <c r="I39" s="1396"/>
      <c r="J39" s="1397"/>
      <c r="K39" s="2702"/>
      <c r="L39" s="2698"/>
      <c r="M39" s="2698"/>
    </row>
    <row r="40" spans="1:18" ht="18" customHeight="1">
      <c r="A40" s="299" t="s">
        <v>395</v>
      </c>
      <c r="B40" s="300" t="s">
        <v>774</v>
      </c>
      <c r="C40" s="301">
        <f ca="1">ROUND(C39*(1-((1+F42)/(1+F40))^F41)/(F40-F42),0)</f>
        <v>2250149</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30.78</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25861</v>
      </c>
      <c r="D43" s="337" t="s">
        <v>777</v>
      </c>
      <c r="E43" s="338" t="s">
        <v>778</v>
      </c>
      <c r="F43" s="339">
        <f ca="1">INDIRECT("'数据-取费表'!k"&amp;$G$1)</f>
        <v>87.01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3351</v>
      </c>
      <c r="B45" s="1398"/>
      <c r="C45" s="1470">
        <f ca="1">ROUND((C68-C40)/10000,4)</f>
        <v>-230.4726</v>
      </c>
      <c r="D45" s="3430" t="s">
        <v>3352</v>
      </c>
      <c r="E45" s="1398"/>
      <c r="F45" s="1398"/>
      <c r="O45" s="1401" t="s">
        <v>808</v>
      </c>
      <c r="P45" s="1459"/>
      <c r="Q45" s="1459"/>
      <c r="R45" s="1459"/>
    </row>
    <row r="46" spans="1:18" s="1382" customFormat="1" ht="13.8" thickBot="1">
      <c r="A46" s="1402" t="s">
        <v>809</v>
      </c>
      <c r="C46" s="1403">
        <f ca="1">ROUND(C45,0)</f>
        <v>-230</v>
      </c>
      <c r="D46" s="1404" t="str">
        <f>C2</f>
        <v>万元</v>
      </c>
      <c r="I46" s="1405" t="s">
        <v>810</v>
      </c>
      <c r="J46" s="1406"/>
      <c r="K46" s="1407"/>
      <c r="L46" s="1408">
        <f ca="1">IF(M47="住宅",0,IF(L48&gt;J51,L60,J60))</f>
        <v>25408</v>
      </c>
      <c r="O46" s="1409" t="s">
        <v>811</v>
      </c>
      <c r="P46" s="1410" t="s">
        <v>812</v>
      </c>
      <c r="Q46" s="1411" t="s">
        <v>813</v>
      </c>
      <c r="R46" s="1411" t="s">
        <v>814</v>
      </c>
    </row>
    <row r="47" spans="1:18" s="1382" customFormat="1" ht="13.8" thickBot="1">
      <c r="A47" s="946" t="s">
        <v>687</v>
      </c>
      <c r="B47" s="978" t="s">
        <v>688</v>
      </c>
      <c r="C47" s="978" t="s">
        <v>689</v>
      </c>
      <c r="D47" s="978" t="s">
        <v>690</v>
      </c>
      <c r="E47" s="1057" t="s">
        <v>691</v>
      </c>
      <c r="F47" s="1058"/>
      <c r="G47" s="722"/>
      <c r="I47" s="1412" t="s">
        <v>815</v>
      </c>
      <c r="J47" s="1413" t="s">
        <v>3399</v>
      </c>
      <c r="K47" s="1414" t="s">
        <v>816</v>
      </c>
      <c r="L47" s="1415">
        <f ca="1">INDIRECT("'数据-取费表'!d"&amp;$G$1)</f>
        <v>40</v>
      </c>
      <c r="M47" s="1378" t="str">
        <f>IF(ISNUMBER(FIND("住宅",C1)),"住宅","非住宅")</f>
        <v>非住宅</v>
      </c>
      <c r="O47" s="1416" t="s">
        <v>403</v>
      </c>
      <c r="P47" s="1417" t="s">
        <v>817</v>
      </c>
      <c r="Q47" s="1418">
        <f ca="1">C40+J29</f>
        <v>2250149</v>
      </c>
      <c r="R47" s="1418" t="s">
        <v>818</v>
      </c>
    </row>
    <row r="48" spans="1:18" s="1382" customFormat="1" ht="40.200000000000003" thickBot="1">
      <c r="A48" s="1109" t="s">
        <v>438</v>
      </c>
      <c r="B48" s="300" t="s">
        <v>692</v>
      </c>
      <c r="C48" s="1357">
        <f ca="1">C49+C53+C55</f>
        <v>0</v>
      </c>
      <c r="D48" s="1111"/>
      <c r="E48" s="1112"/>
      <c r="F48" s="962"/>
      <c r="G48" s="722"/>
      <c r="H48" s="723"/>
      <c r="I48" s="1419" t="s">
        <v>819</v>
      </c>
      <c r="J48" s="1420" t="s">
        <v>3418</v>
      </c>
      <c r="K48" s="1421" t="s">
        <v>820</v>
      </c>
      <c r="L48" s="1422">
        <f ca="1">INDIRECT("'数据-取费表'!f"&amp;$G$1)</f>
        <v>30.78</v>
      </c>
      <c r="O48" s="1416" t="s">
        <v>404</v>
      </c>
      <c r="P48" s="1417" t="s">
        <v>821</v>
      </c>
      <c r="Q48" s="1418">
        <f ca="1">J60</f>
        <v>25408</v>
      </c>
      <c r="R48" s="1418" t="s">
        <v>822</v>
      </c>
    </row>
    <row r="49" spans="1:18" s="1382" customFormat="1" ht="13.8" thickBot="1">
      <c r="A49" s="975" t="s">
        <v>439</v>
      </c>
      <c r="B49" s="1369" t="s">
        <v>779</v>
      </c>
      <c r="C49" s="1113">
        <f ca="1">ROUND(F49*F51*F50*(1-F52),0)</f>
        <v>0</v>
      </c>
      <c r="D49" s="1054" t="s">
        <v>695</v>
      </c>
      <c r="E49" s="1370" t="s">
        <v>780</v>
      </c>
      <c r="F49" s="1059"/>
      <c r="G49" s="1423"/>
      <c r="H49" s="723"/>
      <c r="I49" s="1419" t="s">
        <v>823</v>
      </c>
      <c r="J49" s="1424">
        <v>2019</v>
      </c>
      <c r="K49" s="1421" t="s">
        <v>824</v>
      </c>
      <c r="L49" s="1425"/>
      <c r="O49" s="1426" t="s">
        <v>405</v>
      </c>
      <c r="P49" s="1417" t="s">
        <v>825</v>
      </c>
      <c r="Q49" s="1418">
        <f ca="1">C29</f>
        <v>582567</v>
      </c>
      <c r="R49" s="1418" t="s">
        <v>818</v>
      </c>
    </row>
    <row r="50" spans="1:18" s="1382" customFormat="1" ht="13.8" thickBot="1">
      <c r="A50" s="976"/>
      <c r="B50" s="979"/>
      <c r="C50" s="980"/>
      <c r="D50" s="953"/>
      <c r="E50" s="1055" t="s">
        <v>697</v>
      </c>
      <c r="F50" s="1056">
        <f ca="1">F7</f>
        <v>87.01</v>
      </c>
      <c r="H50" s="723"/>
      <c r="I50" s="1419" t="s">
        <v>826</v>
      </c>
      <c r="J50" s="1427">
        <f>SUMPRODUCT((I63:I65=J47)*(J62:L62=J48)*(J63:L65))</f>
        <v>60</v>
      </c>
      <c r="K50" s="1421" t="s">
        <v>827</v>
      </c>
      <c r="L50" s="1425"/>
      <c r="M50" s="1428"/>
      <c r="O50" s="1426" t="s">
        <v>406</v>
      </c>
      <c r="P50" s="1417" t="s">
        <v>828</v>
      </c>
      <c r="Q50" s="1429">
        <f ca="1">J58</f>
        <v>0.40400000000000003</v>
      </c>
      <c r="R50" s="1418"/>
    </row>
    <row r="51" spans="1:18" s="1382" customFormat="1" ht="13.8" thickBot="1">
      <c r="A51" s="977"/>
      <c r="B51" s="979"/>
      <c r="C51" s="980"/>
      <c r="D51" s="953"/>
      <c r="E51" s="981" t="s">
        <v>698</v>
      </c>
      <c r="F51" s="303">
        <f ca="1">F8</f>
        <v>365</v>
      </c>
      <c r="I51" s="1430" t="s">
        <v>829</v>
      </c>
      <c r="J51" s="1431">
        <f>IF(J49="",J50,J49+J50-YEAR('数据-取费表'!B2))</f>
        <v>55</v>
      </c>
      <c r="K51" s="1432" t="s">
        <v>830</v>
      </c>
      <c r="L51" s="1433">
        <f ca="1">ROUND(-PV(INDIRECT("'数据-取费表'!h"&amp;$G$1),J51,(C39-C13*C76),0),0)</f>
        <v>1438293</v>
      </c>
      <c r="M51" s="1434"/>
      <c r="O51" s="1426" t="s">
        <v>407</v>
      </c>
      <c r="P51" s="1417" t="s">
        <v>831</v>
      </c>
      <c r="Q51" s="1429">
        <f>J52</f>
        <v>7.4999999999999997E-2</v>
      </c>
      <c r="R51" s="1418"/>
    </row>
    <row r="52" spans="1:18" s="1382" customFormat="1" ht="13.8" thickBot="1">
      <c r="A52" s="977"/>
      <c r="B52" s="979"/>
      <c r="C52" s="980"/>
      <c r="D52" s="953"/>
      <c r="E52" s="981" t="s">
        <v>699</v>
      </c>
      <c r="F52" s="1053"/>
      <c r="I52" s="1435" t="s">
        <v>832</v>
      </c>
      <c r="J52" s="1436">
        <v>7.4999999999999997E-2</v>
      </c>
      <c r="K52" s="1435" t="s">
        <v>833</v>
      </c>
      <c r="L52" s="1436"/>
      <c r="O52" s="1426" t="s">
        <v>408</v>
      </c>
      <c r="P52" s="1417" t="s">
        <v>834</v>
      </c>
      <c r="Q52" s="1418">
        <f ca="1">J53</f>
        <v>30.78</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30.78</v>
      </c>
      <c r="K53" s="3646" t="s">
        <v>837</v>
      </c>
      <c r="L53" s="3647"/>
      <c r="O53" s="1416" t="s">
        <v>409</v>
      </c>
      <c r="P53" s="1417" t="s">
        <v>838</v>
      </c>
      <c r="Q53" s="1418">
        <f ca="1">Q47+Q48</f>
        <v>2275557</v>
      </c>
      <c r="R53" s="1418" t="s">
        <v>410</v>
      </c>
    </row>
    <row r="54" spans="1:18" s="1382" customFormat="1" ht="13.8"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f ca="1">ROUND(IF(J47="钢混",J57/J50,1-(1-2%)*(J50-J57)/J50),3)</f>
        <v>0.40400000000000003</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535962</v>
      </c>
      <c r="D56" s="1445"/>
      <c r="E56" s="1446"/>
      <c r="F56" s="1438"/>
      <c r="I56" s="1447" t="s">
        <v>842</v>
      </c>
      <c r="J56" s="1448" t="s">
        <v>3381</v>
      </c>
      <c r="K56" s="1419" t="s">
        <v>843</v>
      </c>
      <c r="L56" s="1422" t="str">
        <f ca="1">IF(L48&lt;J51,"——",L48-J51)</f>
        <v>——</v>
      </c>
      <c r="O56" s="1416" t="s">
        <v>403</v>
      </c>
      <c r="P56" s="1417" t="s">
        <v>817</v>
      </c>
      <c r="Q56" s="1418">
        <f ca="1">C40+J29</f>
        <v>2250149</v>
      </c>
      <c r="R56" s="1418" t="s">
        <v>818</v>
      </c>
    </row>
    <row r="57" spans="1:18" s="1382" customFormat="1" ht="24.6" thickBot="1">
      <c r="A57" s="1449"/>
      <c r="B57" s="950" t="s">
        <v>767</v>
      </c>
      <c r="C57" s="238">
        <f ca="1">C29</f>
        <v>582567</v>
      </c>
      <c r="D57" s="1450"/>
      <c r="E57" s="1451"/>
      <c r="F57" s="1452"/>
      <c r="I57" s="1453" t="s">
        <v>844</v>
      </c>
      <c r="J57" s="1454">
        <f ca="1">IF(OR(M47="住宅",J51&lt;L48,J56="是"),"——",J51-L48)</f>
        <v>24.22</v>
      </c>
      <c r="K57" s="1419" t="s">
        <v>892</v>
      </c>
      <c r="L57" s="1422" t="str">
        <f ca="1">IF(L48&lt;J51,"——",IF(L55="比较法",L49,IF(L55="基准地价",L50,L51)))</f>
        <v>——</v>
      </c>
      <c r="O57" s="1416" t="s">
        <v>404</v>
      </c>
      <c r="P57" s="1417" t="s">
        <v>893</v>
      </c>
      <c r="Q57" s="1418">
        <f ca="1">L60</f>
        <v>0</v>
      </c>
      <c r="R57" s="1418" t="s">
        <v>894</v>
      </c>
    </row>
    <row r="58" spans="1:18" s="1382" customFormat="1" ht="24.6" thickBot="1">
      <c r="A58" s="315" t="s">
        <v>393</v>
      </c>
      <c r="B58" s="958" t="s">
        <v>714</v>
      </c>
      <c r="C58" s="316">
        <f ca="1">ROUND(C59+C64+C65+C66,0)</f>
        <v>3717</v>
      </c>
      <c r="D58" s="960" t="s">
        <v>715</v>
      </c>
      <c r="E58" s="961"/>
      <c r="F58" s="962"/>
      <c r="I58" s="1453" t="s">
        <v>848</v>
      </c>
      <c r="J58" s="1455">
        <f ca="1">IF(J55&lt;0.4,0.4,J55)</f>
        <v>0.40400000000000003</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235357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25408</v>
      </c>
      <c r="K60" s="1458" t="s">
        <v>854</v>
      </c>
      <c r="L60" s="1457">
        <f ca="1">IF(OR(M47="住宅",L48&lt;J51),0,ROUND(L57*(L58/L59-1),0))</f>
        <v>0</v>
      </c>
      <c r="O60" s="1426" t="s">
        <v>407</v>
      </c>
      <c r="P60" s="1417" t="s">
        <v>855</v>
      </c>
      <c r="Q60" s="1418" t="e">
        <f ca="1">L58</f>
        <v>#DIV/0!</v>
      </c>
      <c r="R60" s="1418" t="s">
        <v>856</v>
      </c>
    </row>
    <row r="61" spans="1:18" s="1382" customFormat="1" ht="13.8" thickBot="1">
      <c r="A61" s="982" t="s">
        <v>781</v>
      </c>
      <c r="B61" s="950" t="s">
        <v>782</v>
      </c>
      <c r="C61" s="21">
        <f ca="1">IF(项目基本情况!B11="自然人","——",IF(D61="按租金收入计税",ROUND(C49*F61/(1+'数据-取费表'!C42),0),IF(D61="按房产原值计税",ROUND(C57*F61*0.7,0),INDIRECT("'数据-取费表'!Aj"&amp;$G$1))))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2" t="s">
        <v>784</v>
      </c>
      <c r="B62" s="949" t="s">
        <v>785</v>
      </c>
      <c r="C62" s="22">
        <f ca="1">IF(项目基本情况!B11="自然人","——",ROUND(F62*F63,0))</f>
        <v>0</v>
      </c>
      <c r="D62" s="965" t="s">
        <v>786</v>
      </c>
      <c r="E62" s="950" t="s">
        <v>787</v>
      </c>
      <c r="F62" s="325">
        <f t="shared" si="0"/>
        <v>0</v>
      </c>
      <c r="I62" s="1460" t="s">
        <v>858</v>
      </c>
      <c r="J62" s="1461" t="s">
        <v>859</v>
      </c>
      <c r="K62" s="1461" t="s">
        <v>860</v>
      </c>
      <c r="L62" s="1461" t="s">
        <v>861</v>
      </c>
      <c r="M62" s="1462" t="s">
        <v>862</v>
      </c>
      <c r="O62" s="1416" t="s">
        <v>409</v>
      </c>
      <c r="P62" s="1417" t="s">
        <v>863</v>
      </c>
      <c r="Q62" s="1418">
        <f ca="1">Q56+Q57</f>
        <v>2250149</v>
      </c>
      <c r="R62" s="1418" t="s">
        <v>410</v>
      </c>
    </row>
    <row r="63" spans="1:18" s="1382" customFormat="1" ht="13.8"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2" t="s">
        <v>789</v>
      </c>
      <c r="B64" s="950" t="s">
        <v>790</v>
      </c>
      <c r="C64" s="21">
        <f ca="1">ROUND(C57*F64,0)</f>
        <v>2913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8" thickBot="1">
      <c r="A65" s="982" t="s">
        <v>792</v>
      </c>
      <c r="B65" s="950" t="s">
        <v>742</v>
      </c>
      <c r="C65" s="21">
        <f ca="1">ROUND(C56*F65,0)</f>
        <v>804</v>
      </c>
      <c r="D65" s="964" t="s">
        <v>743</v>
      </c>
      <c r="E65" s="950" t="s">
        <v>744</v>
      </c>
      <c r="F65" s="330">
        <f t="shared" ca="1" si="0"/>
        <v>1.5E-3</v>
      </c>
      <c r="I65" s="1460" t="s">
        <v>867</v>
      </c>
      <c r="J65" s="1461">
        <v>40</v>
      </c>
      <c r="K65" s="1461">
        <v>30</v>
      </c>
      <c r="L65" s="1461">
        <v>50</v>
      </c>
      <c r="M65" s="1463">
        <v>0.02</v>
      </c>
      <c r="O65" s="1416" t="s">
        <v>403</v>
      </c>
      <c r="P65" s="1417" t="s">
        <v>868</v>
      </c>
      <c r="Q65" s="1418">
        <f ca="1">C40+J29</f>
        <v>2250149</v>
      </c>
      <c r="R65" s="1418" t="s">
        <v>818</v>
      </c>
    </row>
    <row r="66" spans="1:18" s="1382" customFormat="1" ht="16.2"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24.6" thickBot="1">
      <c r="A67" s="957" t="s">
        <v>394</v>
      </c>
      <c r="B67" s="967" t="s">
        <v>752</v>
      </c>
      <c r="C67" s="316">
        <f ca="1">C48-C58</f>
        <v>-3717</v>
      </c>
      <c r="D67" s="963" t="s">
        <v>753</v>
      </c>
      <c r="E67" s="968"/>
      <c r="F67" s="969"/>
      <c r="O67" s="1426" t="s">
        <v>405</v>
      </c>
      <c r="P67" s="1417" t="s">
        <v>850</v>
      </c>
      <c r="Q67" s="1464">
        <f ca="1">L51</f>
        <v>1438293</v>
      </c>
      <c r="R67" s="1418" t="s">
        <v>870</v>
      </c>
    </row>
    <row r="68" spans="1:18" s="1382" customFormat="1" ht="16.2" thickBot="1">
      <c r="A68" s="947" t="s">
        <v>395</v>
      </c>
      <c r="B68" s="948" t="s">
        <v>774</v>
      </c>
      <c r="C68" s="301">
        <f ca="1">ROUND(C67*(1-((1+F70)/(1+F68))^F69)/(F68-F70),0)</f>
        <v>-54577</v>
      </c>
      <c r="D68" s="965" t="s">
        <v>758</v>
      </c>
      <c r="E68" s="950" t="s">
        <v>759</v>
      </c>
      <c r="F68" s="312">
        <f ca="1">F40</f>
        <v>5.5E-2</v>
      </c>
      <c r="O68" s="1426" t="s">
        <v>406</v>
      </c>
      <c r="P68" s="1465" t="s">
        <v>871</v>
      </c>
      <c r="Q68" s="1418">
        <f ca="1">ROUND(Q69-Q70*Q71,0)</f>
        <v>77189</v>
      </c>
      <c r="R68" s="1418" t="s">
        <v>414</v>
      </c>
    </row>
    <row r="69" spans="1:18" s="1382" customFormat="1" ht="13.8" thickBot="1">
      <c r="A69" s="951"/>
      <c r="B69" s="952"/>
      <c r="C69" s="306"/>
      <c r="D69" s="970" t="s">
        <v>762</v>
      </c>
      <c r="E69" s="950" t="s">
        <v>763</v>
      </c>
      <c r="F69" s="333">
        <f ca="1">F41</f>
        <v>30.78</v>
      </c>
      <c r="O69" s="1426" t="s">
        <v>411</v>
      </c>
      <c r="P69" s="1465" t="s">
        <v>872</v>
      </c>
      <c r="Q69" s="1418">
        <f ca="1">C39</f>
        <v>114706</v>
      </c>
      <c r="R69" s="1418" t="s">
        <v>818</v>
      </c>
    </row>
    <row r="70" spans="1:18" s="1382" customFormat="1" ht="13.8" thickBot="1">
      <c r="A70" s="954"/>
      <c r="B70" s="955"/>
      <c r="C70" s="310"/>
      <c r="D70" s="966"/>
      <c r="E70" s="950" t="s">
        <v>766</v>
      </c>
      <c r="F70" s="1053"/>
      <c r="O70" s="1426" t="s">
        <v>412</v>
      </c>
      <c r="P70" s="1465" t="s">
        <v>873</v>
      </c>
      <c r="Q70" s="1418">
        <f ca="1">C13</f>
        <v>535962</v>
      </c>
      <c r="R70" s="1418" t="s">
        <v>818</v>
      </c>
    </row>
    <row r="71" spans="1:18" s="1382" customFormat="1" ht="13.8" thickBot="1">
      <c r="A71" s="971" t="s">
        <v>396</v>
      </c>
      <c r="B71" s="972" t="s">
        <v>776</v>
      </c>
      <c r="C71" s="336">
        <f ca="1">ROUND(C68/F71,0)</f>
        <v>-627</v>
      </c>
      <c r="D71" s="973" t="s">
        <v>777</v>
      </c>
      <c r="E71" s="974" t="s">
        <v>778</v>
      </c>
      <c r="F71" s="339">
        <f ca="1">F43</f>
        <v>87.01</v>
      </c>
      <c r="O71" s="1426" t="s">
        <v>413</v>
      </c>
      <c r="P71" s="1465" t="s">
        <v>874</v>
      </c>
      <c r="Q71" s="1429">
        <f ca="1">C76</f>
        <v>7.0000000000000007E-2</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37517</v>
      </c>
      <c r="D75" s="1382"/>
      <c r="E75" s="1382"/>
      <c r="F75" s="1382"/>
      <c r="K75" s="1400"/>
      <c r="L75" s="1382"/>
      <c r="O75" s="1416" t="s">
        <v>409</v>
      </c>
      <c r="P75" s="1417" t="s">
        <v>838</v>
      </c>
      <c r="Q75" s="1418">
        <f ca="1">Q65+Q66</f>
        <v>2250149</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2" customHeight="1">
      <c r="A2" s="1383" t="s">
        <v>2314</v>
      </c>
      <c r="B2" s="2841" t="e">
        <f>IF(D2="——",C40,C40+E2)</f>
        <v>#DIV/0!</v>
      </c>
      <c r="C2" s="2842" t="s">
        <v>2315</v>
      </c>
      <c r="D2" s="3441" t="s">
        <v>3358</v>
      </c>
      <c r="E2" s="3442"/>
      <c r="F2" s="2844"/>
      <c r="G2" s="2845"/>
      <c r="H2" s="2846"/>
      <c r="I2" s="2847"/>
      <c r="J2" s="3704" t="s">
        <v>2316</v>
      </c>
      <c r="K2" s="3705"/>
      <c r="L2" s="2848" t="s">
        <v>2317</v>
      </c>
      <c r="M2" s="2848" t="s">
        <v>2318</v>
      </c>
      <c r="N2" s="2848" t="s">
        <v>2319</v>
      </c>
      <c r="O2" s="2848" t="s">
        <v>2320</v>
      </c>
      <c r="P2" s="2848" t="s">
        <v>2321</v>
      </c>
      <c r="Q2" s="2849" t="s">
        <v>2322</v>
      </c>
      <c r="R2" s="2850" t="s">
        <v>2323</v>
      </c>
      <c r="S2" s="2839"/>
      <c r="T2" s="2839"/>
      <c r="U2" s="2839"/>
      <c r="V2" s="2847"/>
    </row>
    <row r="3" spans="1:22" s="2851" customFormat="1" ht="13.2" customHeight="1">
      <c r="A3" s="2852" t="s">
        <v>2324</v>
      </c>
      <c r="B3" s="2853" t="e">
        <f>ROUND(B2*10000/B4,0)</f>
        <v>#DIV/0!</v>
      </c>
      <c r="C3" s="2842" t="s">
        <v>2325</v>
      </c>
      <c r="D3" s="2842"/>
      <c r="E3" s="2843"/>
      <c r="F3" s="2844"/>
      <c r="G3" s="2845"/>
      <c r="H3" s="2846"/>
      <c r="I3" s="2847"/>
      <c r="J3" s="3706" t="s">
        <v>2326</v>
      </c>
      <c r="K3" s="3707"/>
      <c r="L3" s="2854"/>
      <c r="M3" s="2854"/>
      <c r="N3" s="2854"/>
      <c r="O3" s="2854"/>
      <c r="P3" s="2854"/>
      <c r="Q3" s="2855"/>
      <c r="R3" s="2856">
        <f>SUM(L3:Q3)</f>
        <v>0</v>
      </c>
      <c r="S3" s="2839"/>
      <c r="T3" s="2839"/>
      <c r="U3" s="2839"/>
      <c r="V3" s="2847"/>
    </row>
    <row r="4" spans="1:22" s="2851" customFormat="1" ht="13.2" customHeight="1">
      <c r="A4" s="2857" t="s">
        <v>2327</v>
      </c>
      <c r="B4" s="2858"/>
      <c r="C4" s="2842"/>
      <c r="D4" s="2842"/>
      <c r="E4" s="2843"/>
      <c r="F4" s="2844"/>
      <c r="G4" s="2845"/>
      <c r="H4" s="2846"/>
      <c r="I4" s="2847"/>
      <c r="J4" s="3706" t="s">
        <v>2328</v>
      </c>
      <c r="K4" s="3707"/>
      <c r="L4" s="2859"/>
      <c r="M4" s="2859"/>
      <c r="N4" s="2859"/>
      <c r="O4" s="2859"/>
      <c r="P4" s="2859"/>
      <c r="Q4" s="2860"/>
      <c r="R4" s="2861">
        <f>SUM(L4:Q4)</f>
        <v>0</v>
      </c>
      <c r="S4" s="2839"/>
      <c r="T4" s="2839"/>
      <c r="U4" s="2839"/>
      <c r="V4" s="2847"/>
    </row>
    <row r="5" spans="1:22" s="2851" customFormat="1" ht="13.2"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2" customHeight="1" thickBot="1">
      <c r="A6" s="3708" t="s">
        <v>2332</v>
      </c>
      <c r="B6" s="3709"/>
      <c r="C6" s="3710"/>
      <c r="D6" s="2868"/>
      <c r="E6" s="2869"/>
      <c r="F6" s="2870"/>
      <c r="G6" s="2871"/>
      <c r="H6" s="2846"/>
      <c r="I6" s="2847"/>
      <c r="J6" s="3711">
        <v>1</v>
      </c>
      <c r="K6" s="3712"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2" customHeight="1">
      <c r="A7" s="2874" t="s">
        <v>2342</v>
      </c>
      <c r="B7" s="2875"/>
      <c r="C7" s="2876"/>
      <c r="D7" s="2877">
        <f>SUM(D9,D10,D11,D17,0)</f>
        <v>0</v>
      </c>
      <c r="E7" s="2878" t="e">
        <f>E9+E10+E11+E17</f>
        <v>#DIV/0!</v>
      </c>
      <c r="F7" s="2879"/>
      <c r="G7" s="2880"/>
      <c r="H7" s="2846"/>
      <c r="I7" s="2847"/>
      <c r="J7" s="3711"/>
      <c r="K7" s="3713"/>
      <c r="L7" s="2881" t="s">
        <v>2343</v>
      </c>
      <c r="M7" s="2882"/>
      <c r="N7" s="2858"/>
      <c r="O7" s="2883"/>
      <c r="P7" s="2883"/>
      <c r="Q7" s="2884">
        <v>365</v>
      </c>
      <c r="R7" s="2885">
        <f>ROUND(M7*N7*O7*P7*Q7/10000,0)</f>
        <v>0</v>
      </c>
      <c r="S7" s="2839"/>
      <c r="T7" s="2839" t="s">
        <v>2344</v>
      </c>
      <c r="U7" s="2839"/>
      <c r="V7" s="2847"/>
    </row>
    <row r="8" spans="1:22" s="2851" customFormat="1" ht="13.2" customHeight="1">
      <c r="A8" s="2886" t="s">
        <v>2345</v>
      </c>
      <c r="B8" s="3715" t="s">
        <v>2346</v>
      </c>
      <c r="C8" s="3716"/>
      <c r="D8" s="2887" t="s">
        <v>2347</v>
      </c>
      <c r="E8" s="2888" t="s">
        <v>2348</v>
      </c>
      <c r="F8" s="2889" t="s">
        <v>2349</v>
      </c>
      <c r="G8" s="2890"/>
      <c r="H8" s="2846"/>
      <c r="I8" s="2847"/>
      <c r="J8" s="3711"/>
      <c r="K8" s="3713"/>
      <c r="L8" s="2881" t="s">
        <v>2350</v>
      </c>
      <c r="M8" s="2882"/>
      <c r="N8" s="2858"/>
      <c r="O8" s="2883"/>
      <c r="P8" s="2883"/>
      <c r="Q8" s="2884">
        <v>365</v>
      </c>
      <c r="R8" s="2885">
        <f t="shared" ref="R8:R13" si="0">ROUND(M8*N8*O8*P8*Q8/10000,0)</f>
        <v>0</v>
      </c>
      <c r="S8" s="2839"/>
      <c r="T8" s="2839" t="s">
        <v>2351</v>
      </c>
      <c r="U8" s="2839"/>
      <c r="V8" s="2847"/>
    </row>
    <row r="9" spans="1:22" s="2851" customFormat="1" ht="13.2" customHeight="1">
      <c r="A9" s="2886">
        <v>1</v>
      </c>
      <c r="B9" s="3715" t="s">
        <v>2352</v>
      </c>
      <c r="C9" s="3716"/>
      <c r="D9" s="2887">
        <f>ROUND(D6*E9,0)</f>
        <v>0</v>
      </c>
      <c r="E9" s="2891"/>
      <c r="F9" s="2892" t="s">
        <v>2353</v>
      </c>
      <c r="G9" s="2871"/>
      <c r="H9" s="2846"/>
      <c r="I9" s="2847"/>
      <c r="J9" s="3711"/>
      <c r="K9" s="3713"/>
      <c r="L9" s="2881" t="s">
        <v>2354</v>
      </c>
      <c r="M9" s="2882"/>
      <c r="N9" s="2858"/>
      <c r="O9" s="2883"/>
      <c r="P9" s="2883"/>
      <c r="Q9" s="2884">
        <v>365</v>
      </c>
      <c r="R9" s="2885">
        <f t="shared" si="0"/>
        <v>0</v>
      </c>
      <c r="S9" s="2839"/>
      <c r="T9" s="2839"/>
      <c r="U9" s="2839"/>
      <c r="V9" s="2847"/>
    </row>
    <row r="10" spans="1:22" s="2851" customFormat="1" ht="13.2" customHeight="1">
      <c r="A10" s="2886">
        <v>2</v>
      </c>
      <c r="B10" s="3715" t="s">
        <v>2355</v>
      </c>
      <c r="C10" s="3716"/>
      <c r="D10" s="2887">
        <f>ROUND(D6*E10,0)</f>
        <v>0</v>
      </c>
      <c r="E10" s="2891"/>
      <c r="F10" s="2892" t="s">
        <v>2356</v>
      </c>
      <c r="G10" s="2871"/>
      <c r="H10" s="2846"/>
      <c r="I10" s="2847"/>
      <c r="J10" s="3711"/>
      <c r="K10" s="3713"/>
      <c r="L10" s="2881" t="s">
        <v>2357</v>
      </c>
      <c r="M10" s="2882"/>
      <c r="N10" s="2858"/>
      <c r="O10" s="2883"/>
      <c r="P10" s="2883"/>
      <c r="Q10" s="2884">
        <v>365</v>
      </c>
      <c r="R10" s="2885">
        <f t="shared" si="0"/>
        <v>0</v>
      </c>
      <c r="S10" s="2839"/>
      <c r="T10" s="2839"/>
      <c r="U10" s="2839"/>
      <c r="V10" s="2847"/>
    </row>
    <row r="11" spans="1:22" s="2851" customFormat="1" ht="13.2" customHeight="1">
      <c r="A11" s="2886">
        <v>3</v>
      </c>
      <c r="B11" s="3715" t="s">
        <v>2358</v>
      </c>
      <c r="C11" s="3716"/>
      <c r="D11" s="2887">
        <f>D12+D14+D15+D16</f>
        <v>0</v>
      </c>
      <c r="E11" s="2893" t="e">
        <f>D11/D6</f>
        <v>#DIV/0!</v>
      </c>
      <c r="F11" s="2889"/>
      <c r="G11" s="2890"/>
      <c r="H11" s="2846"/>
      <c r="I11" s="2847"/>
      <c r="J11" s="3711"/>
      <c r="K11" s="3713"/>
      <c r="L11" s="2881" t="s">
        <v>2359</v>
      </c>
      <c r="M11" s="2882"/>
      <c r="N11" s="2858"/>
      <c r="O11" s="2883"/>
      <c r="P11" s="2883"/>
      <c r="Q11" s="2884">
        <v>365</v>
      </c>
      <c r="R11" s="2885">
        <f t="shared" si="0"/>
        <v>0</v>
      </c>
      <c r="S11" s="2839"/>
      <c r="T11" s="2839"/>
      <c r="U11" s="2839"/>
      <c r="V11" s="2847"/>
    </row>
    <row r="12" spans="1:22" s="2851" customFormat="1" ht="13.2" customHeight="1">
      <c r="A12" s="2894" t="s">
        <v>2360</v>
      </c>
      <c r="B12" s="3717" t="s">
        <v>2361</v>
      </c>
      <c r="C12" s="3718"/>
      <c r="D12" s="2895">
        <f>ROUND(D13*1.2%*(1-30%),0)</f>
        <v>0</v>
      </c>
      <c r="E12" s="2896">
        <v>1.2E-2</v>
      </c>
      <c r="F12" s="2889" t="s">
        <v>2362</v>
      </c>
      <c r="G12" s="2890"/>
      <c r="H12" s="2846"/>
      <c r="I12" s="2847"/>
      <c r="J12" s="3711"/>
      <c r="K12" s="3713"/>
      <c r="L12" s="2881" t="s">
        <v>2363</v>
      </c>
      <c r="M12" s="2882"/>
      <c r="N12" s="2858"/>
      <c r="O12" s="2883"/>
      <c r="P12" s="2883"/>
      <c r="Q12" s="2884">
        <v>365</v>
      </c>
      <c r="R12" s="2885">
        <f t="shared" si="0"/>
        <v>0</v>
      </c>
      <c r="S12" s="2839"/>
      <c r="T12" s="2839"/>
      <c r="U12" s="2839"/>
      <c r="V12" s="2847"/>
    </row>
    <row r="13" spans="1:22" s="2851" customFormat="1" ht="13.2" customHeight="1">
      <c r="A13" s="2894"/>
      <c r="B13" s="2897"/>
      <c r="C13" s="2898" t="s">
        <v>2364</v>
      </c>
      <c r="D13" s="2899"/>
      <c r="E13" s="2900"/>
      <c r="F13" s="2889"/>
      <c r="G13" s="2890"/>
      <c r="H13" s="2846"/>
      <c r="I13" s="2847"/>
      <c r="J13" s="3711"/>
      <c r="K13" s="3713"/>
      <c r="L13" s="2881" t="s">
        <v>2365</v>
      </c>
      <c r="M13" s="2882"/>
      <c r="N13" s="2858"/>
      <c r="O13" s="2883"/>
      <c r="P13" s="2883"/>
      <c r="Q13" s="2884">
        <v>365</v>
      </c>
      <c r="R13" s="2885">
        <f t="shared" si="0"/>
        <v>0</v>
      </c>
      <c r="S13" s="2839"/>
      <c r="T13" s="2839"/>
      <c r="U13" s="2839"/>
      <c r="V13" s="2847"/>
    </row>
    <row r="14" spans="1:22" s="2851" customFormat="1" ht="13.2" customHeight="1">
      <c r="A14" s="2894" t="s">
        <v>2366</v>
      </c>
      <c r="B14" s="3717" t="s">
        <v>2367</v>
      </c>
      <c r="C14" s="3718"/>
      <c r="D14" s="2895">
        <f>ROUND(E14*B5/10000,0)</f>
        <v>0</v>
      </c>
      <c r="E14" s="2884"/>
      <c r="F14" s="2889" t="s">
        <v>2368</v>
      </c>
      <c r="G14" s="2890"/>
      <c r="H14" s="2846"/>
      <c r="I14" s="2847"/>
      <c r="J14" s="3711"/>
      <c r="K14" s="3714"/>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2370</v>
      </c>
      <c r="B15" s="3717" t="s">
        <v>2371</v>
      </c>
      <c r="C15" s="3718"/>
      <c r="D15" s="2895">
        <f>ROUND(D6*E15,0)</f>
        <v>0</v>
      </c>
      <c r="E15" s="2896">
        <v>5.5E-2</v>
      </c>
      <c r="F15" s="2889" t="s">
        <v>2372</v>
      </c>
      <c r="G15" s="2871"/>
      <c r="H15" s="2846"/>
      <c r="I15" s="2847"/>
      <c r="J15" s="3711">
        <v>2</v>
      </c>
      <c r="K15" s="3712"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2" customHeight="1">
      <c r="A16" s="2894" t="s">
        <v>2379</v>
      </c>
      <c r="B16" s="3717" t="s">
        <v>2380</v>
      </c>
      <c r="C16" s="3718"/>
      <c r="D16" s="2906">
        <f>D6*E16</f>
        <v>0</v>
      </c>
      <c r="E16" s="2907"/>
      <c r="F16" s="2892" t="s">
        <v>2381</v>
      </c>
      <c r="G16" s="2871"/>
      <c r="H16" s="2846"/>
      <c r="I16" s="2847"/>
      <c r="J16" s="3711"/>
      <c r="K16" s="3713"/>
      <c r="L16" s="2881" t="s">
        <v>2382</v>
      </c>
      <c r="M16" s="2882"/>
      <c r="N16" s="2882"/>
      <c r="O16" s="2883"/>
      <c r="P16" s="2884">
        <v>365</v>
      </c>
      <c r="Q16" s="2858"/>
      <c r="R16" s="2905">
        <f>ROUND(M16*N16*O16*P16/10000,0)</f>
        <v>0</v>
      </c>
      <c r="S16" s="2839"/>
      <c r="T16" s="2839"/>
      <c r="U16" s="2839"/>
      <c r="V16" s="2847"/>
    </row>
    <row r="17" spans="1:22" s="2851" customFormat="1" ht="13.2" customHeight="1" thickBot="1">
      <c r="A17" s="2908">
        <v>4</v>
      </c>
      <c r="B17" s="3719" t="s">
        <v>2383</v>
      </c>
      <c r="C17" s="3720"/>
      <c r="D17" s="2909">
        <f>ROUND(D6*E17,0)</f>
        <v>0</v>
      </c>
      <c r="E17" s="2910"/>
      <c r="F17" s="2911" t="s">
        <v>2384</v>
      </c>
      <c r="G17" s="2871"/>
      <c r="H17" s="2846"/>
      <c r="I17" s="2847"/>
      <c r="J17" s="3711"/>
      <c r="K17" s="3713"/>
      <c r="L17" s="2881" t="s">
        <v>2385</v>
      </c>
      <c r="M17" s="2882"/>
      <c r="N17" s="2882"/>
      <c r="O17" s="2883"/>
      <c r="P17" s="2884">
        <v>365</v>
      </c>
      <c r="Q17" s="2858"/>
      <c r="R17" s="2905">
        <f>ROUND(M17*N17*O17*P17/10000,0)</f>
        <v>0</v>
      </c>
      <c r="S17" s="2839"/>
      <c r="T17" s="2839"/>
      <c r="U17" s="2839"/>
      <c r="V17" s="2847"/>
    </row>
    <row r="18" spans="1:22" s="2851" customFormat="1" ht="13.2" customHeight="1" thickBot="1">
      <c r="A18" s="2874" t="s">
        <v>2386</v>
      </c>
      <c r="B18" s="2875"/>
      <c r="C18" s="2875"/>
      <c r="D18" s="2912">
        <f>ROUND(D6*E18,0)</f>
        <v>0</v>
      </c>
      <c r="E18" s="2913"/>
      <c r="F18" s="2914" t="s">
        <v>2387</v>
      </c>
      <c r="G18" s="2871"/>
      <c r="H18" s="2846"/>
      <c r="I18" s="2847"/>
      <c r="J18" s="3711"/>
      <c r="K18" s="3713"/>
      <c r="L18" s="2881" t="s">
        <v>2388</v>
      </c>
      <c r="M18" s="2882"/>
      <c r="N18" s="2882"/>
      <c r="O18" s="2883"/>
      <c r="P18" s="2884">
        <v>365</v>
      </c>
      <c r="Q18" s="2858"/>
      <c r="R18" s="2905">
        <f>ROUND(M18*N18*O18*P18/10000,0)</f>
        <v>0</v>
      </c>
      <c r="S18" s="2839"/>
      <c r="T18" s="2839"/>
      <c r="U18" s="2839"/>
      <c r="V18" s="2847"/>
    </row>
    <row r="19" spans="1:22" s="2851" customFormat="1" ht="13.2" customHeight="1" thickBot="1">
      <c r="A19" s="2915" t="s">
        <v>2389</v>
      </c>
      <c r="B19" s="2869"/>
      <c r="C19" s="2869"/>
      <c r="D19" s="2869"/>
      <c r="E19" s="2869"/>
      <c r="F19" s="2870"/>
      <c r="G19" s="2890"/>
      <c r="H19" s="2846"/>
      <c r="I19" s="2847"/>
      <c r="J19" s="3711"/>
      <c r="K19" s="3714"/>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11">
        <v>3</v>
      </c>
      <c r="K20" s="3712"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2" customHeight="1">
      <c r="A21" s="2874"/>
      <c r="B21" s="2875"/>
      <c r="C21" s="2921" t="s">
        <v>2398</v>
      </c>
      <c r="D21" s="2922" t="s">
        <v>2399</v>
      </c>
      <c r="E21" s="2923" t="s">
        <v>2400</v>
      </c>
      <c r="F21" s="2918"/>
      <c r="G21" s="2890"/>
      <c r="H21" s="2846"/>
      <c r="I21" s="2847"/>
      <c r="J21" s="3711"/>
      <c r="K21" s="3713"/>
      <c r="L21" s="2881" t="s">
        <v>2401</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2402</v>
      </c>
      <c r="D22" s="2926" t="s">
        <v>2403</v>
      </c>
      <c r="E22" s="2927" t="s">
        <v>2404</v>
      </c>
      <c r="F22" s="2918"/>
      <c r="G22" s="2928"/>
      <c r="H22" s="2846"/>
      <c r="I22" s="2847"/>
      <c r="J22" s="3711"/>
      <c r="K22" s="3713"/>
      <c r="L22" s="2881" t="s">
        <v>2405</v>
      </c>
      <c r="M22" s="2882"/>
      <c r="N22" s="2882"/>
      <c r="O22" s="2883"/>
      <c r="P22" s="2884">
        <v>365</v>
      </c>
      <c r="Q22" s="2858"/>
      <c r="R22" s="2924">
        <f>ROUND(M22*N22*O22*P22/10000,0)</f>
        <v>0</v>
      </c>
      <c r="S22" s="2920"/>
      <c r="T22" s="2920"/>
      <c r="U22" s="2920"/>
      <c r="V22" s="2847"/>
    </row>
    <row r="23" spans="1:22" s="2851" customFormat="1" ht="13.2" customHeight="1">
      <c r="A23" s="2929">
        <v>1</v>
      </c>
      <c r="B23" s="2930" t="s">
        <v>2406</v>
      </c>
      <c r="C23" s="2931">
        <f>D6</f>
        <v>0</v>
      </c>
      <c r="D23" s="2932">
        <f>C23*(1+D24)</f>
        <v>0</v>
      </c>
      <c r="E23" s="2933">
        <f>D23*(1+E24)</f>
        <v>0</v>
      </c>
      <c r="F23" s="2934"/>
      <c r="G23" s="2935"/>
      <c r="H23" s="2846"/>
      <c r="I23" s="2847"/>
      <c r="J23" s="3711"/>
      <c r="K23" s="3713"/>
      <c r="L23" s="2881" t="s">
        <v>2407</v>
      </c>
      <c r="M23" s="2882"/>
      <c r="N23" s="2882"/>
      <c r="O23" s="2883"/>
      <c r="P23" s="2884">
        <v>365</v>
      </c>
      <c r="Q23" s="2858"/>
      <c r="R23" s="2924">
        <f>ROUND(M23*N23*O23*P23/10000,0)</f>
        <v>0</v>
      </c>
      <c r="S23" s="2839"/>
      <c r="T23" s="2839"/>
      <c r="U23" s="2839"/>
      <c r="V23" s="2847"/>
    </row>
    <row r="24" spans="1:22" s="2851" customFormat="1" ht="13.2" customHeight="1">
      <c r="A24" s="2936"/>
      <c r="B24" s="2937" t="s">
        <v>2408</v>
      </c>
      <c r="C24" s="2938"/>
      <c r="D24" s="2939"/>
      <c r="E24" s="2940"/>
      <c r="F24" s="2941"/>
      <c r="G24" s="2935"/>
      <c r="H24" s="2846"/>
      <c r="I24" s="2847"/>
      <c r="J24" s="3711"/>
      <c r="K24" s="3714"/>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2" customHeight="1">
      <c r="A26" s="2929">
        <v>2</v>
      </c>
      <c r="B26" s="2930" t="s">
        <v>2410</v>
      </c>
      <c r="C26" s="2931">
        <f>D7</f>
        <v>0</v>
      </c>
      <c r="D26" s="2932">
        <f>D23*D27</f>
        <v>0</v>
      </c>
      <c r="E26" s="2933">
        <f>E23*E27</f>
        <v>0</v>
      </c>
      <c r="F26" s="2934"/>
      <c r="G26" s="2935"/>
      <c r="H26" s="2846"/>
      <c r="I26" s="2847"/>
      <c r="J26" s="3721">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2" customHeight="1">
      <c r="A27" s="2936"/>
      <c r="B27" s="2937" t="s">
        <v>2416</v>
      </c>
      <c r="C27" s="2955" t="e">
        <f>E7</f>
        <v>#DIV/0!</v>
      </c>
      <c r="D27" s="2939"/>
      <c r="E27" s="2940"/>
      <c r="F27" s="2941"/>
      <c r="G27" s="2935"/>
      <c r="H27" s="2956"/>
      <c r="I27" s="2947"/>
      <c r="J27" s="3722"/>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2"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2" customHeight="1">
      <c r="A32" s="2929">
        <v>4</v>
      </c>
      <c r="B32" s="2930" t="s">
        <v>2424</v>
      </c>
      <c r="C32" s="2931">
        <f>C23-C26-C29</f>
        <v>0</v>
      </c>
      <c r="D32" s="2932">
        <f>D23-D26-D29</f>
        <v>0</v>
      </c>
      <c r="E32" s="2933">
        <f>E23-E26-E29</f>
        <v>0</v>
      </c>
      <c r="F32" s="2934"/>
      <c r="G32" s="2928"/>
      <c r="H32" s="2846"/>
      <c r="I32" s="2847"/>
      <c r="J32" s="3704" t="s">
        <v>2316</v>
      </c>
      <c r="K32" s="3705"/>
      <c r="L32" s="2848" t="s">
        <v>2317</v>
      </c>
      <c r="M32" s="2848" t="s">
        <v>2318</v>
      </c>
      <c r="N32" s="2848" t="s">
        <v>2319</v>
      </c>
      <c r="O32" s="2848" t="s">
        <v>2320</v>
      </c>
      <c r="P32" s="2848" t="s">
        <v>2321</v>
      </c>
      <c r="Q32" s="2849" t="s">
        <v>2322</v>
      </c>
      <c r="R32" s="2971" t="s">
        <v>2323</v>
      </c>
      <c r="S32" s="2920"/>
      <c r="T32" s="2839"/>
      <c r="U32" s="2839"/>
      <c r="V32" s="2947"/>
    </row>
    <row r="33" spans="1:23" s="2851" customFormat="1" ht="13.2" customHeight="1">
      <c r="A33" s="2929"/>
      <c r="B33" s="2930"/>
      <c r="C33" s="2931"/>
      <c r="D33" s="2972"/>
      <c r="E33" s="2973"/>
      <c r="F33" s="2934"/>
      <c r="G33" s="2928"/>
      <c r="H33" s="2956"/>
      <c r="I33" s="2947"/>
      <c r="J33" s="3706" t="s">
        <v>2326</v>
      </c>
      <c r="K33" s="3707"/>
      <c r="L33" s="2854"/>
      <c r="M33" s="2854"/>
      <c r="N33" s="2854"/>
      <c r="O33" s="2854"/>
      <c r="P33" s="2854"/>
      <c r="Q33" s="2855"/>
      <c r="R33" s="2974">
        <f>SUM(L33:Q33)</f>
        <v>0</v>
      </c>
      <c r="S33" s="2920"/>
      <c r="T33" s="2839"/>
      <c r="U33" s="2839"/>
      <c r="V33" s="2847"/>
    </row>
    <row r="34" spans="1:23" s="2851" customFormat="1" ht="13.2" customHeight="1">
      <c r="A34" s="2929">
        <v>5</v>
      </c>
      <c r="B34" s="2930" t="s">
        <v>2425</v>
      </c>
      <c r="C34" s="2975"/>
      <c r="D34" s="2976"/>
      <c r="E34" s="2977"/>
      <c r="F34" s="2934"/>
      <c r="G34" s="2928"/>
      <c r="H34" s="2956"/>
      <c r="I34" s="2947"/>
      <c r="J34" s="3706" t="s">
        <v>2328</v>
      </c>
      <c r="K34" s="3707"/>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2" customHeight="1" thickBot="1">
      <c r="A36" s="2929">
        <v>7</v>
      </c>
      <c r="B36" s="2984" t="s">
        <v>2427</v>
      </c>
      <c r="C36" s="2985"/>
      <c r="D36" s="2986"/>
      <c r="E36" s="2987"/>
      <c r="F36" s="2988">
        <f>C36+D36+E36</f>
        <v>0</v>
      </c>
      <c r="G36" s="2928"/>
      <c r="H36" s="2846"/>
      <c r="I36" s="2847"/>
      <c r="J36" s="3711">
        <v>1</v>
      </c>
      <c r="K36" s="3712" t="s">
        <v>2428</v>
      </c>
      <c r="L36" s="2872"/>
      <c r="M36" s="2873"/>
      <c r="N36" s="2873"/>
      <c r="O36" s="2873"/>
      <c r="P36" s="2873"/>
      <c r="Q36" s="2873"/>
      <c r="R36" s="2856" t="s">
        <v>2340</v>
      </c>
      <c r="S36" s="2920"/>
      <c r="T36" s="2839" t="s">
        <v>2341</v>
      </c>
      <c r="U36" s="2839"/>
      <c r="V36" s="2847"/>
    </row>
    <row r="37" spans="1:23" s="2851" customFormat="1" ht="13.2" customHeight="1">
      <c r="A37" s="2929"/>
      <c r="B37" s="2930"/>
      <c r="C37" s="2930"/>
      <c r="D37" s="2930"/>
      <c r="E37" s="2930"/>
      <c r="F37" s="2934"/>
      <c r="G37" s="2928"/>
      <c r="H37" s="2846"/>
      <c r="I37" s="2847"/>
      <c r="J37" s="3711"/>
      <c r="K37" s="3713"/>
      <c r="L37" s="2881"/>
      <c r="M37" s="2882"/>
      <c r="N37" s="2858"/>
      <c r="O37" s="2883"/>
      <c r="P37" s="2883"/>
      <c r="Q37" s="2884"/>
      <c r="R37" s="2885"/>
      <c r="S37" s="2920"/>
      <c r="T37" s="2839" t="s">
        <v>2344</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11"/>
      <c r="K38" s="3713"/>
      <c r="L38" s="2881"/>
      <c r="M38" s="2882"/>
      <c r="N38" s="2858"/>
      <c r="O38" s="2883"/>
      <c r="P38" s="2883"/>
      <c r="Q38" s="2884"/>
      <c r="R38" s="2885"/>
      <c r="S38" s="2920"/>
      <c r="T38" s="2839" t="s">
        <v>2351</v>
      </c>
      <c r="U38" s="2839"/>
      <c r="V38" s="2847"/>
    </row>
    <row r="39" spans="1:23" s="2851" customFormat="1" ht="13.2" customHeight="1">
      <c r="A39" s="2929">
        <v>9</v>
      </c>
      <c r="B39" s="2930" t="s">
        <v>2429</v>
      </c>
      <c r="C39" s="2895" t="e">
        <f>C38</f>
        <v>#DIV/0!</v>
      </c>
      <c r="D39" s="2930">
        <f>D38/(1+D34)^C36</f>
        <v>0</v>
      </c>
      <c r="E39" s="2930">
        <f>E38/(1+E34)^(C36+D36)</f>
        <v>0</v>
      </c>
      <c r="F39" s="2934"/>
      <c r="G39" s="2989"/>
      <c r="H39" s="2846"/>
      <c r="I39" s="2847"/>
      <c r="J39" s="3711"/>
      <c r="K39" s="3713"/>
      <c r="L39" s="2881"/>
      <c r="M39" s="2882"/>
      <c r="N39" s="2858"/>
      <c r="O39" s="2883"/>
      <c r="P39" s="2883"/>
      <c r="Q39" s="2884"/>
      <c r="R39" s="2885"/>
      <c r="S39" s="2920"/>
      <c r="T39" s="2839"/>
      <c r="U39" s="2839"/>
      <c r="V39" s="2847"/>
    </row>
    <row r="40" spans="1:23" s="2851" customFormat="1" ht="13.2" customHeight="1">
      <c r="A40" s="2990">
        <v>10</v>
      </c>
      <c r="B40" s="2930" t="s">
        <v>2430</v>
      </c>
      <c r="C40" s="2991" t="e">
        <f>C39+D39+E39</f>
        <v>#DIV/0!</v>
      </c>
      <c r="D40" s="2992"/>
      <c r="E40" s="2992"/>
      <c r="F40" s="2993"/>
      <c r="G40" s="2928"/>
      <c r="H40" s="2846"/>
      <c r="I40" s="2847"/>
      <c r="J40" s="3711"/>
      <c r="K40" s="3714"/>
      <c r="L40" s="2901" t="s">
        <v>2369</v>
      </c>
      <c r="M40" s="2902"/>
      <c r="N40" s="2902"/>
      <c r="O40" s="2903"/>
      <c r="P40" s="2903"/>
      <c r="Q40" s="2904"/>
      <c r="R40" s="2850">
        <f>SUM(R37:R39)</f>
        <v>0</v>
      </c>
      <c r="S40" s="2920"/>
      <c r="T40" s="2839"/>
      <c r="U40" s="2839"/>
      <c r="V40" s="2847"/>
    </row>
    <row r="41" spans="1:23" s="2851" customFormat="1" ht="13.2"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2" customHeight="1">
      <c r="G42" s="2998"/>
      <c r="H42" s="2846"/>
      <c r="I42" s="2847"/>
      <c r="J42" s="3721">
        <v>3</v>
      </c>
      <c r="K42" s="2949" t="s">
        <v>2411</v>
      </c>
      <c r="L42" s="2950"/>
      <c r="M42" s="2951"/>
      <c r="N42" s="2952" t="s">
        <v>2412</v>
      </c>
      <c r="O42" s="2952" t="s">
        <v>2413</v>
      </c>
      <c r="P42" s="2953" t="s">
        <v>2414</v>
      </c>
      <c r="Q42" s="2953" t="s">
        <v>2415</v>
      </c>
      <c r="R42" s="2856" t="s">
        <v>2340</v>
      </c>
      <c r="S42" s="2954"/>
      <c r="T42" s="2954"/>
      <c r="U42" s="2839"/>
      <c r="V42" s="2847"/>
    </row>
    <row r="43" spans="1:23" ht="13.2" customHeight="1">
      <c r="A43" s="2851"/>
      <c r="B43" s="2851"/>
      <c r="C43" s="2851"/>
      <c r="D43" s="2851"/>
      <c r="E43" s="2851"/>
      <c r="F43" s="2851"/>
      <c r="I43" s="2834"/>
      <c r="J43" s="3722"/>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5"/>
      <c r="G1" s="1487"/>
      <c r="H1" s="1487"/>
      <c r="I1" s="1487"/>
      <c r="J1" s="1487"/>
      <c r="K1" s="1487"/>
      <c r="L1" s="1487"/>
      <c r="M1" s="1487"/>
      <c r="N1" s="1487"/>
      <c r="O1" s="1487"/>
      <c r="P1" s="1487"/>
      <c r="Q1" s="1487"/>
      <c r="R1" s="1487"/>
      <c r="S1" s="1487"/>
    </row>
    <row r="2" spans="1:22" ht="15.6">
      <c r="A2" s="1868" t="s">
        <v>1462</v>
      </c>
      <c r="B2" s="1869">
        <f ca="1">SUMIF(B6:B13,"&lt;&gt;#ref!",B6:B13)</f>
        <v>227.5557</v>
      </c>
      <c r="C2" s="1870" t="s">
        <v>1651</v>
      </c>
      <c r="D2" s="1871" t="s">
        <v>1652</v>
      </c>
      <c r="E2" s="2605">
        <f>SUM(E6:E13)</f>
        <v>87.01</v>
      </c>
      <c r="F2" s="2705"/>
      <c r="G2" s="1487"/>
      <c r="H2" s="1487"/>
      <c r="I2" s="1487"/>
      <c r="J2" s="1487"/>
      <c r="K2" s="1487"/>
      <c r="L2" s="1487"/>
      <c r="M2" s="1487"/>
      <c r="N2" s="1487"/>
      <c r="O2" s="1487"/>
      <c r="P2" s="1487"/>
      <c r="Q2" s="1487"/>
      <c r="R2" s="1487"/>
      <c r="S2" s="1487"/>
    </row>
    <row r="3" spans="1:22" ht="15.6">
      <c r="A3" s="1868" t="s">
        <v>686</v>
      </c>
      <c r="B3" s="2599">
        <f ca="1">ROUND(B2*10000/E2,0)</f>
        <v>26153</v>
      </c>
      <c r="C3" s="1870" t="s">
        <v>1659</v>
      </c>
      <c r="D3" s="2707"/>
      <c r="E3" s="2709"/>
      <c r="F3" s="2705"/>
      <c r="G3" s="1487"/>
      <c r="H3" s="1487"/>
      <c r="I3" s="1487"/>
      <c r="J3" s="1487"/>
      <c r="K3" s="1487"/>
      <c r="L3" s="1487"/>
      <c r="M3" s="1487"/>
      <c r="N3" s="1487"/>
      <c r="O3" s="1487"/>
      <c r="P3" s="1487"/>
      <c r="Q3" s="1487"/>
      <c r="R3" s="1487"/>
      <c r="S3" s="1487"/>
    </row>
    <row r="4" spans="1:22" ht="15.6">
      <c r="A4" s="2710"/>
      <c r="B4" s="2707"/>
      <c r="C4" s="2707"/>
      <c r="D4" s="2707"/>
      <c r="E4" s="2709"/>
      <c r="F4" s="2705"/>
      <c r="G4" s="1487"/>
      <c r="H4" s="1487"/>
      <c r="I4" s="1487"/>
      <c r="J4" s="1487"/>
      <c r="K4" s="1487"/>
      <c r="L4" s="1487"/>
      <c r="M4" s="1487"/>
      <c r="N4" s="1487"/>
      <c r="O4" s="1487"/>
      <c r="P4" s="1487"/>
      <c r="Q4" s="1487"/>
      <c r="R4" s="1487"/>
      <c r="S4" s="1487"/>
    </row>
    <row r="5" spans="1:22" ht="14.4">
      <c r="A5" s="2601" t="s">
        <v>1653</v>
      </c>
      <c r="B5" s="3723" t="s">
        <v>1654</v>
      </c>
      <c r="C5" s="3724"/>
      <c r="D5" s="2706"/>
      <c r="E5" s="1872" t="s">
        <v>1655</v>
      </c>
      <c r="F5" s="1873" t="s">
        <v>1656</v>
      </c>
      <c r="G5" s="1487"/>
      <c r="H5" s="1487"/>
      <c r="I5" s="1487"/>
      <c r="J5" s="1487"/>
      <c r="K5" s="1487"/>
      <c r="L5" s="1487"/>
      <c r="M5" s="1487"/>
      <c r="N5" s="1487"/>
      <c r="O5" s="1487"/>
      <c r="P5" s="1487"/>
      <c r="Q5" s="1487"/>
      <c r="R5" s="1487"/>
      <c r="S5" s="1487"/>
    </row>
    <row r="6" spans="1:22" ht="14.4">
      <c r="A6" s="2602" t="str">
        <f>'数据-取费表'!AN6</f>
        <v>收益法 (元)</v>
      </c>
      <c r="B6" s="2600">
        <f ca="1">IF(F6="是",'数据-取费表'!AO6,0)</f>
        <v>227.5557</v>
      </c>
      <c r="C6" s="1870" t="s">
        <v>1651</v>
      </c>
      <c r="D6" s="2707"/>
      <c r="E6" s="2604">
        <f>IF(OR(A6=0,F6="否"),0,'数据-取费表'!K6+'数据-取费表'!S6)</f>
        <v>87.01</v>
      </c>
      <c r="F6" s="1874" t="s">
        <v>1657</v>
      </c>
      <c r="G6" s="1487"/>
      <c r="H6" s="1487"/>
      <c r="I6" s="1487"/>
      <c r="J6" s="1487"/>
      <c r="K6" s="1487"/>
      <c r="L6" s="1487"/>
      <c r="M6" s="1487"/>
      <c r="N6" s="1487"/>
      <c r="O6" s="1487"/>
      <c r="P6" s="1487"/>
      <c r="Q6" s="1487"/>
      <c r="R6" s="1487"/>
      <c r="S6" s="1487"/>
    </row>
    <row r="7" spans="1:22" ht="14.4">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ht="14.4">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ht="14.4">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ht="14.4">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87.01</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0"/>
    </row>
    <row r="4" spans="1:29" ht="14.4">
      <c r="A4" s="355" t="s">
        <v>1666</v>
      </c>
      <c r="B4" s="356"/>
      <c r="C4" s="3677" t="s">
        <v>1667</v>
      </c>
      <c r="D4" s="3678"/>
      <c r="E4" s="3679" t="s">
        <v>1668</v>
      </c>
      <c r="F4" s="3680"/>
      <c r="G4" s="3677" t="s">
        <v>1669</v>
      </c>
      <c r="H4" s="3678"/>
      <c r="I4" s="3677" t="s">
        <v>1670</v>
      </c>
      <c r="J4" s="3678"/>
      <c r="K4" s="1887" t="s">
        <v>1671</v>
      </c>
      <c r="L4" s="2713"/>
      <c r="M4" s="2714"/>
      <c r="N4" s="2714"/>
      <c r="O4" s="2714"/>
      <c r="P4" s="3681" t="s">
        <v>1672</v>
      </c>
      <c r="Q4" s="3682"/>
      <c r="R4" s="3663" t="s">
        <v>1668</v>
      </c>
      <c r="S4" s="3664"/>
      <c r="T4" s="3663" t="s">
        <v>1669</v>
      </c>
      <c r="U4" s="3664"/>
      <c r="V4" s="3660" t="s">
        <v>1670</v>
      </c>
      <c r="W4" s="3660"/>
      <c r="X4" s="1353"/>
      <c r="Y4" s="3663" t="s">
        <v>1672</v>
      </c>
      <c r="Z4" s="3664"/>
      <c r="AA4" s="3657" t="s">
        <v>1668</v>
      </c>
      <c r="AB4" s="3657" t="s">
        <v>1669</v>
      </c>
      <c r="AC4" s="3657" t="s">
        <v>1670</v>
      </c>
    </row>
    <row r="5" spans="1:29">
      <c r="A5" s="358"/>
      <c r="B5" s="359"/>
      <c r="C5" s="3673" t="s">
        <v>1673</v>
      </c>
      <c r="D5" s="3670"/>
      <c r="E5" s="3725" t="s">
        <v>1674</v>
      </c>
      <c r="F5" s="3668"/>
      <c r="G5" s="3673" t="s">
        <v>1675</v>
      </c>
      <c r="H5" s="3670"/>
      <c r="I5" s="3673" t="s">
        <v>1676</v>
      </c>
      <c r="J5" s="3670"/>
      <c r="K5" s="1888"/>
      <c r="L5" s="2713"/>
      <c r="M5" s="2714"/>
      <c r="N5" s="2714"/>
      <c r="O5" s="2714"/>
      <c r="P5" s="3683"/>
      <c r="Q5" s="3684"/>
      <c r="R5" s="3665"/>
      <c r="S5" s="3666"/>
      <c r="T5" s="3665"/>
      <c r="U5" s="3666"/>
      <c r="V5" s="3660"/>
      <c r="W5" s="3660"/>
      <c r="X5" s="1353"/>
      <c r="Y5" s="3665"/>
      <c r="Z5" s="3666"/>
      <c r="AA5" s="3658"/>
      <c r="AB5" s="3658"/>
      <c r="AC5" s="3658"/>
    </row>
    <row r="6" spans="1:29" ht="15" thickBot="1">
      <c r="A6" s="360"/>
      <c r="B6" s="361"/>
      <c r="C6" s="3671" t="s">
        <v>1677</v>
      </c>
      <c r="D6" s="3672"/>
      <c r="E6" s="3674" t="s">
        <v>1677</v>
      </c>
      <c r="F6" s="3675"/>
      <c r="G6" s="3671" t="s">
        <v>1677</v>
      </c>
      <c r="H6" s="3672"/>
      <c r="I6" s="3671" t="s">
        <v>1677</v>
      </c>
      <c r="J6" s="3672"/>
      <c r="K6" s="1888" t="s">
        <v>1678</v>
      </c>
      <c r="L6" s="2713"/>
      <c r="M6" s="2714"/>
      <c r="N6" s="2714"/>
      <c r="O6" s="2714"/>
      <c r="P6" s="3685"/>
      <c r="Q6" s="3686"/>
      <c r="R6" s="3665"/>
      <c r="S6" s="3666"/>
      <c r="T6" s="3687"/>
      <c r="U6" s="3688"/>
      <c r="V6" s="3660"/>
      <c r="W6" s="3660"/>
      <c r="X6" s="1353"/>
      <c r="Y6" s="3687"/>
      <c r="Z6" s="3688"/>
      <c r="AA6" s="3659"/>
      <c r="AB6" s="3659"/>
      <c r="AC6" s="3659"/>
    </row>
    <row r="7" spans="1:29" s="108" customFormat="1" ht="1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1" t="s">
        <v>1680</v>
      </c>
      <c r="Q7" s="3689"/>
      <c r="R7" s="701" t="s">
        <v>20</v>
      </c>
      <c r="S7" s="702">
        <f t="shared" ref="S7:S15" si="0">F7</f>
        <v>0</v>
      </c>
      <c r="T7" s="701" t="s">
        <v>20</v>
      </c>
      <c r="U7" s="702">
        <f t="shared" ref="U7:U15" si="1">H7</f>
        <v>0</v>
      </c>
      <c r="V7" s="701" t="s">
        <v>20</v>
      </c>
      <c r="W7" s="702">
        <f t="shared" ref="W7:W15" si="2">J7</f>
        <v>0</v>
      </c>
      <c r="X7" s="703"/>
      <c r="Y7" s="3661" t="s">
        <v>1680</v>
      </c>
      <c r="Z7" s="3662"/>
      <c r="AA7" s="704" t="e">
        <f>D7/F7</f>
        <v>#DIV/0!</v>
      </c>
      <c r="AB7" s="704" t="e">
        <f>D7/H7</f>
        <v>#DIV/0!</v>
      </c>
      <c r="AC7" s="704" t="e">
        <f>D7/J7</f>
        <v>#DIV/0!</v>
      </c>
    </row>
    <row r="8" spans="1:29" s="108" customFormat="1" ht="1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1" t="s">
        <v>1683</v>
      </c>
      <c r="Q8" s="3662"/>
      <c r="R8" s="701" t="s">
        <v>20</v>
      </c>
      <c r="S8" s="702">
        <f t="shared" si="0"/>
        <v>100</v>
      </c>
      <c r="T8" s="701" t="s">
        <v>20</v>
      </c>
      <c r="U8" s="702">
        <f t="shared" si="1"/>
        <v>100</v>
      </c>
      <c r="V8" s="701" t="s">
        <v>20</v>
      </c>
      <c r="W8" s="702">
        <f t="shared" si="2"/>
        <v>100</v>
      </c>
      <c r="X8" s="703"/>
      <c r="Y8" s="3661" t="s">
        <v>1683</v>
      </c>
      <c r="Z8" s="3662"/>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1"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6"/>
      <c r="Q12" s="1341">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6"/>
      <c r="Q13" s="1341">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6"/>
      <c r="Q14" s="1341">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96.6">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0" t="s">
        <v>1691</v>
      </c>
      <c r="Q15" s="1350" t="str">
        <f t="shared" si="6"/>
        <v>居住社区成熟度</v>
      </c>
      <c r="R15" s="705" t="s">
        <v>18</v>
      </c>
      <c r="S15" s="706">
        <f t="shared" si="0"/>
        <v>100</v>
      </c>
      <c r="T15" s="705" t="s">
        <v>18</v>
      </c>
      <c r="U15" s="706">
        <f t="shared" si="1"/>
        <v>100</v>
      </c>
      <c r="V15" s="705" t="s">
        <v>18</v>
      </c>
      <c r="W15" s="706">
        <f t="shared" si="2"/>
        <v>100</v>
      </c>
      <c r="X15" s="1353"/>
      <c r="Y15" s="3692"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91"/>
      <c r="Q16" s="1350"/>
      <c r="R16" s="705"/>
      <c r="S16" s="706"/>
      <c r="T16" s="705"/>
      <c r="U16" s="706"/>
      <c r="V16" s="705"/>
      <c r="W16" s="706"/>
      <c r="X16" s="1353"/>
      <c r="Y16" s="3693"/>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1"/>
      <c r="Q17" s="1350" t="str">
        <f>B17</f>
        <v>交通便捷度</v>
      </c>
      <c r="R17" s="705" t="s">
        <v>18</v>
      </c>
      <c r="S17" s="706">
        <f>F17</f>
        <v>100</v>
      </c>
      <c r="T17" s="705" t="s">
        <v>18</v>
      </c>
      <c r="U17" s="706">
        <f>H17</f>
        <v>100</v>
      </c>
      <c r="V17" s="705" t="s">
        <v>18</v>
      </c>
      <c r="W17" s="706">
        <f>J17</f>
        <v>100</v>
      </c>
      <c r="X17" s="1353"/>
      <c r="Y17" s="3693"/>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91"/>
      <c r="Q18" s="1350"/>
      <c r="R18" s="705"/>
      <c r="S18" s="706"/>
      <c r="T18" s="705"/>
      <c r="U18" s="706"/>
      <c r="V18" s="705"/>
      <c r="W18" s="706"/>
      <c r="X18" s="1353"/>
      <c r="Y18" s="3693"/>
      <c r="Z18" s="1354"/>
      <c r="AA18" s="1351">
        <v>1</v>
      </c>
      <c r="AB18" s="1351">
        <v>1</v>
      </c>
      <c r="AC18" s="1351">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1"/>
      <c r="Q19" s="1350" t="str">
        <f>B19</f>
        <v>公共配套设施</v>
      </c>
      <c r="R19" s="705" t="s">
        <v>18</v>
      </c>
      <c r="S19" s="706">
        <f>F19</f>
        <v>100</v>
      </c>
      <c r="T19" s="705" t="s">
        <v>18</v>
      </c>
      <c r="U19" s="706">
        <f>H19</f>
        <v>100</v>
      </c>
      <c r="V19" s="705" t="s">
        <v>18</v>
      </c>
      <c r="W19" s="706">
        <f>J19</f>
        <v>100</v>
      </c>
      <c r="X19" s="1353"/>
      <c r="Y19" s="3693"/>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91"/>
      <c r="Q20" s="1350"/>
      <c r="R20" s="705"/>
      <c r="S20" s="706"/>
      <c r="T20" s="705"/>
      <c r="U20" s="706"/>
      <c r="V20" s="705"/>
      <c r="W20" s="706"/>
      <c r="X20" s="1353"/>
      <c r="Y20" s="3693"/>
      <c r="Z20" s="1354"/>
      <c r="AA20" s="1351">
        <v>1</v>
      </c>
      <c r="AB20" s="1351">
        <v>1</v>
      </c>
      <c r="AC20" s="1351">
        <v>1</v>
      </c>
    </row>
    <row r="21" spans="1:29" ht="27.6">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1"/>
      <c r="Q21" s="1350" t="str">
        <f>B21</f>
        <v>基础设施水平</v>
      </c>
      <c r="R21" s="705" t="s">
        <v>14</v>
      </c>
      <c r="S21" s="706">
        <f>F21</f>
        <v>100</v>
      </c>
      <c r="T21" s="705" t="s">
        <v>14</v>
      </c>
      <c r="U21" s="706">
        <f>H21</f>
        <v>100</v>
      </c>
      <c r="V21" s="705" t="s">
        <v>14</v>
      </c>
      <c r="W21" s="706">
        <f>J21</f>
        <v>100</v>
      </c>
      <c r="X21" s="1353"/>
      <c r="Y21" s="3693"/>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91"/>
      <c r="Q22" s="1350"/>
      <c r="R22" s="705"/>
      <c r="S22" s="706"/>
      <c r="T22" s="705"/>
      <c r="U22" s="706"/>
      <c r="V22" s="705"/>
      <c r="W22" s="706"/>
      <c r="X22" s="1353"/>
      <c r="Y22" s="3693"/>
      <c r="Z22" s="1354"/>
      <c r="AA22" s="1351">
        <v>1</v>
      </c>
      <c r="AB22" s="1351">
        <v>1</v>
      </c>
      <c r="AC22" s="1351">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1"/>
      <c r="Q23" s="1350" t="str">
        <f>B23</f>
        <v>自然及人文环境</v>
      </c>
      <c r="R23" s="705" t="s">
        <v>18</v>
      </c>
      <c r="S23" s="706">
        <f>F23</f>
        <v>100</v>
      </c>
      <c r="T23" s="705" t="s">
        <v>18</v>
      </c>
      <c r="U23" s="706">
        <f>H23</f>
        <v>100</v>
      </c>
      <c r="V23" s="705" t="s">
        <v>18</v>
      </c>
      <c r="W23" s="706">
        <f>J23</f>
        <v>100</v>
      </c>
      <c r="X23" s="1353"/>
      <c r="Y23" s="3693"/>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91"/>
      <c r="Q24" s="1350"/>
      <c r="R24" s="705"/>
      <c r="S24" s="706"/>
      <c r="T24" s="705"/>
      <c r="U24" s="706"/>
      <c r="V24" s="705"/>
      <c r="W24" s="706"/>
      <c r="X24" s="1353"/>
      <c r="Y24" s="3693"/>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91"/>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93"/>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91"/>
      <c r="Q26" s="1350" t="str">
        <f t="shared" si="11"/>
        <v>朝向</v>
      </c>
      <c r="R26" s="705" t="s">
        <v>18</v>
      </c>
      <c r="S26" s="706">
        <f t="shared" si="12"/>
        <v>100</v>
      </c>
      <c r="T26" s="705" t="s">
        <v>18</v>
      </c>
      <c r="U26" s="706">
        <f t="shared" si="13"/>
        <v>100</v>
      </c>
      <c r="V26" s="705" t="s">
        <v>18</v>
      </c>
      <c r="W26" s="706">
        <f t="shared" si="14"/>
        <v>100</v>
      </c>
      <c r="X26" s="1353"/>
      <c r="Y26" s="3693"/>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91"/>
      <c r="Q27" s="1341">
        <f t="shared" si="11"/>
        <v>111</v>
      </c>
      <c r="R27" s="701" t="s">
        <v>18</v>
      </c>
      <c r="S27" s="702">
        <f t="shared" si="12"/>
        <v>100</v>
      </c>
      <c r="T27" s="701" t="s">
        <v>18</v>
      </c>
      <c r="U27" s="702">
        <f t="shared" si="13"/>
        <v>100</v>
      </c>
      <c r="V27" s="701" t="s">
        <v>18</v>
      </c>
      <c r="W27" s="702">
        <f t="shared" si="14"/>
        <v>100</v>
      </c>
      <c r="X27" s="703"/>
      <c r="Y27" s="3693"/>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91"/>
      <c r="Q28" s="1350">
        <f t="shared" si="11"/>
        <v>111</v>
      </c>
      <c r="R28" s="705" t="s">
        <v>18</v>
      </c>
      <c r="S28" s="706">
        <f t="shared" si="12"/>
        <v>100</v>
      </c>
      <c r="T28" s="705" t="s">
        <v>18</v>
      </c>
      <c r="U28" s="706">
        <f t="shared" si="13"/>
        <v>100</v>
      </c>
      <c r="V28" s="705" t="s">
        <v>18</v>
      </c>
      <c r="W28" s="706">
        <f t="shared" si="14"/>
        <v>100</v>
      </c>
      <c r="X28" s="1353"/>
      <c r="Y28" s="3693"/>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91"/>
      <c r="Q29" s="1350">
        <f t="shared" si="11"/>
        <v>111</v>
      </c>
      <c r="R29" s="705" t="s">
        <v>18</v>
      </c>
      <c r="S29" s="706">
        <f t="shared" si="12"/>
        <v>100</v>
      </c>
      <c r="T29" s="705" t="s">
        <v>18</v>
      </c>
      <c r="U29" s="706">
        <f t="shared" si="13"/>
        <v>100</v>
      </c>
      <c r="V29" s="705" t="s">
        <v>18</v>
      </c>
      <c r="W29" s="706">
        <f t="shared" si="14"/>
        <v>100</v>
      </c>
      <c r="X29" s="1353"/>
      <c r="Y29" s="3693"/>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91"/>
      <c r="Q30" s="1350">
        <f t="shared" si="11"/>
        <v>111</v>
      </c>
      <c r="R30" s="705" t="s">
        <v>18</v>
      </c>
      <c r="S30" s="706">
        <f t="shared" si="12"/>
        <v>100</v>
      </c>
      <c r="T30" s="705" t="s">
        <v>18</v>
      </c>
      <c r="U30" s="706">
        <f t="shared" si="13"/>
        <v>100</v>
      </c>
      <c r="V30" s="705" t="s">
        <v>18</v>
      </c>
      <c r="W30" s="706">
        <f t="shared" si="14"/>
        <v>100</v>
      </c>
      <c r="X30" s="1353"/>
      <c r="Y30" s="3693"/>
      <c r="Z30" s="1354">
        <f t="shared" si="18"/>
        <v>111</v>
      </c>
      <c r="AA30" s="1351">
        <f t="shared" si="15"/>
        <v>1</v>
      </c>
      <c r="AB30" s="1351">
        <f t="shared" si="16"/>
        <v>1</v>
      </c>
      <c r="AC30" s="1351">
        <f t="shared" si="17"/>
        <v>1</v>
      </c>
    </row>
    <row r="31" spans="1:29" ht="15.6"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91"/>
      <c r="Q31" s="1350">
        <f t="shared" si="11"/>
        <v>111</v>
      </c>
      <c r="R31" s="705" t="s">
        <v>18</v>
      </c>
      <c r="S31" s="706">
        <f t="shared" si="12"/>
        <v>100</v>
      </c>
      <c r="T31" s="705" t="s">
        <v>18</v>
      </c>
      <c r="U31" s="706">
        <f t="shared" si="13"/>
        <v>100</v>
      </c>
      <c r="V31" s="705" t="s">
        <v>18</v>
      </c>
      <c r="W31" s="706">
        <f t="shared" si="14"/>
        <v>100</v>
      </c>
      <c r="X31" s="1353"/>
      <c r="Y31" s="3693"/>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4" t="s">
        <v>1696</v>
      </c>
      <c r="Q32" s="1350" t="str">
        <f t="shared" si="11"/>
        <v>建筑类型</v>
      </c>
      <c r="R32" s="705" t="s">
        <v>18</v>
      </c>
      <c r="S32" s="706">
        <f t="shared" si="12"/>
        <v>100</v>
      </c>
      <c r="T32" s="705" t="s">
        <v>18</v>
      </c>
      <c r="U32" s="706">
        <f t="shared" si="13"/>
        <v>100</v>
      </c>
      <c r="V32" s="705" t="s">
        <v>18</v>
      </c>
      <c r="W32" s="706">
        <f t="shared" si="14"/>
        <v>100</v>
      </c>
      <c r="X32" s="1353"/>
      <c r="Y32" s="3697"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5"/>
      <c r="Q34" s="1350" t="str">
        <f t="shared" si="11"/>
        <v>建筑结构</v>
      </c>
      <c r="R34" s="705" t="s">
        <v>18</v>
      </c>
      <c r="S34" s="706">
        <f t="shared" si="12"/>
        <v>100</v>
      </c>
      <c r="T34" s="705" t="s">
        <v>18</v>
      </c>
      <c r="U34" s="706">
        <f t="shared" si="13"/>
        <v>100</v>
      </c>
      <c r="V34" s="705" t="s">
        <v>18</v>
      </c>
      <c r="W34" s="706">
        <f t="shared" si="14"/>
        <v>100</v>
      </c>
      <c r="X34" s="1353"/>
      <c r="Y34" s="3697"/>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5"/>
      <c r="Q35" s="1350" t="str">
        <f t="shared" si="11"/>
        <v>建筑品质</v>
      </c>
      <c r="R35" s="705" t="s">
        <v>18</v>
      </c>
      <c r="S35" s="706">
        <f t="shared" si="12"/>
        <v>100</v>
      </c>
      <c r="T35" s="705" t="s">
        <v>18</v>
      </c>
      <c r="U35" s="706">
        <f t="shared" si="13"/>
        <v>100</v>
      </c>
      <c r="V35" s="705" t="s">
        <v>18</v>
      </c>
      <c r="W35" s="706">
        <f t="shared" si="14"/>
        <v>100</v>
      </c>
      <c r="X35" s="1353"/>
      <c r="Y35" s="3697"/>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5"/>
      <c r="Q36" s="1350" t="str">
        <f t="shared" si="11"/>
        <v>公共部分装修</v>
      </c>
      <c r="R36" s="705" t="s">
        <v>18</v>
      </c>
      <c r="S36" s="706">
        <f t="shared" si="12"/>
        <v>100</v>
      </c>
      <c r="T36" s="705" t="s">
        <v>18</v>
      </c>
      <c r="U36" s="706">
        <f t="shared" si="13"/>
        <v>100</v>
      </c>
      <c r="V36" s="705" t="s">
        <v>18</v>
      </c>
      <c r="W36" s="706">
        <f t="shared" si="14"/>
        <v>100</v>
      </c>
      <c r="X36" s="1353"/>
      <c r="Y36" s="3697"/>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5"/>
      <c r="Q37" s="1341"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5" t="s">
        <v>1696</v>
      </c>
      <c r="Q38" s="1350" t="str">
        <f t="shared" si="11"/>
        <v>物业管理</v>
      </c>
      <c r="R38" s="705" t="s">
        <v>18</v>
      </c>
      <c r="S38" s="706">
        <f t="shared" si="12"/>
        <v>100</v>
      </c>
      <c r="T38" s="705" t="s">
        <v>18</v>
      </c>
      <c r="U38" s="706">
        <f t="shared" si="13"/>
        <v>100</v>
      </c>
      <c r="V38" s="705" t="s">
        <v>18</v>
      </c>
      <c r="W38" s="706">
        <f t="shared" si="14"/>
        <v>100</v>
      </c>
      <c r="X38" s="1353"/>
      <c r="Y38" s="3697"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5"/>
      <c r="Q39" s="1350" t="str">
        <f t="shared" si="11"/>
        <v>市政基础设施</v>
      </c>
      <c r="R39" s="705" t="s">
        <v>18</v>
      </c>
      <c r="S39" s="706">
        <f t="shared" si="12"/>
        <v>100</v>
      </c>
      <c r="T39" s="705" t="s">
        <v>18</v>
      </c>
      <c r="U39" s="706">
        <f t="shared" si="13"/>
        <v>100</v>
      </c>
      <c r="V39" s="705" t="s">
        <v>18</v>
      </c>
      <c r="W39" s="706">
        <f t="shared" si="14"/>
        <v>100</v>
      </c>
      <c r="X39" s="1353"/>
      <c r="Y39" s="3697"/>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5"/>
      <c r="Q40" s="1350" t="str">
        <f t="shared" si="11"/>
        <v>房型</v>
      </c>
      <c r="R40" s="705" t="s">
        <v>18</v>
      </c>
      <c r="S40" s="706">
        <f t="shared" si="12"/>
        <v>100</v>
      </c>
      <c r="T40" s="705" t="s">
        <v>18</v>
      </c>
      <c r="U40" s="706">
        <f t="shared" si="13"/>
        <v>100</v>
      </c>
      <c r="V40" s="705" t="s">
        <v>18</v>
      </c>
      <c r="W40" s="706">
        <f t="shared" si="14"/>
        <v>100</v>
      </c>
      <c r="X40" s="1353"/>
      <c r="Y40" s="3697"/>
      <c r="Z40" s="1354" t="str">
        <f t="shared" si="18"/>
        <v>房型</v>
      </c>
      <c r="AA40" s="1351">
        <f t="shared" si="15"/>
        <v>1</v>
      </c>
      <c r="AB40" s="1351">
        <f t="shared" si="16"/>
        <v>1</v>
      </c>
      <c r="AC40" s="1351">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5"/>
      <c r="Q42" s="1350" t="str">
        <f t="shared" si="11"/>
        <v>内部装修</v>
      </c>
      <c r="R42" s="705" t="s">
        <v>18</v>
      </c>
      <c r="S42" s="706">
        <f t="shared" si="12"/>
        <v>100</v>
      </c>
      <c r="T42" s="705" t="s">
        <v>18</v>
      </c>
      <c r="U42" s="706">
        <f t="shared" si="13"/>
        <v>100</v>
      </c>
      <c r="V42" s="705" t="s">
        <v>18</v>
      </c>
      <c r="W42" s="706">
        <f t="shared" si="14"/>
        <v>100</v>
      </c>
      <c r="X42" s="1353"/>
      <c r="Y42" s="3697"/>
      <c r="Z42" s="1354" t="str">
        <f t="shared" si="18"/>
        <v>内部装修</v>
      </c>
      <c r="AA42" s="1351">
        <f t="shared" si="15"/>
        <v>1</v>
      </c>
      <c r="AB42" s="1351">
        <f t="shared" si="16"/>
        <v>1</v>
      </c>
      <c r="AC42" s="1351">
        <f t="shared" si="17"/>
        <v>1</v>
      </c>
    </row>
    <row r="43" spans="1:29" ht="28.8">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5"/>
      <c r="Q43" s="1350" t="str">
        <f t="shared" si="11"/>
        <v>内部装修维护情况</v>
      </c>
      <c r="R43" s="705" t="s">
        <v>18</v>
      </c>
      <c r="S43" s="706">
        <f t="shared" si="12"/>
        <v>100</v>
      </c>
      <c r="T43" s="705" t="s">
        <v>18</v>
      </c>
      <c r="U43" s="706">
        <f t="shared" si="13"/>
        <v>100</v>
      </c>
      <c r="V43" s="705" t="s">
        <v>18</v>
      </c>
      <c r="W43" s="706">
        <f t="shared" si="14"/>
        <v>100</v>
      </c>
      <c r="X43" s="1353"/>
      <c r="Y43" s="3697"/>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5"/>
      <c r="Q44" s="1341">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5"/>
      <c r="Q45" s="1350">
        <f t="shared" si="11"/>
        <v>111</v>
      </c>
      <c r="R45" s="705" t="s">
        <v>18</v>
      </c>
      <c r="S45" s="706">
        <f t="shared" si="12"/>
        <v>100</v>
      </c>
      <c r="T45" s="705" t="s">
        <v>18</v>
      </c>
      <c r="U45" s="706">
        <f t="shared" si="13"/>
        <v>100</v>
      </c>
      <c r="V45" s="705" t="s">
        <v>18</v>
      </c>
      <c r="W45" s="706">
        <f t="shared" si="14"/>
        <v>100</v>
      </c>
      <c r="X45" s="1353"/>
      <c r="Y45" s="3697"/>
      <c r="Z45" s="1354">
        <f t="shared" si="18"/>
        <v>111</v>
      </c>
      <c r="AA45" s="1351">
        <f t="shared" si="15"/>
        <v>1</v>
      </c>
      <c r="AB45" s="1351">
        <f t="shared" si="16"/>
        <v>1</v>
      </c>
      <c r="AC45" s="1351">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6"/>
      <c r="Q46" s="1350">
        <f t="shared" si="11"/>
        <v>111</v>
      </c>
      <c r="R46" s="705" t="s">
        <v>17</v>
      </c>
      <c r="S46" s="706">
        <f t="shared" si="12"/>
        <v>100</v>
      </c>
      <c r="T46" s="705" t="s">
        <v>17</v>
      </c>
      <c r="U46" s="706">
        <f t="shared" si="13"/>
        <v>100</v>
      </c>
      <c r="V46" s="705" t="s">
        <v>17</v>
      </c>
      <c r="W46" s="706">
        <f t="shared" si="14"/>
        <v>100</v>
      </c>
      <c r="X46" s="1353"/>
      <c r="Y46" s="3698"/>
      <c r="Z46" s="1354">
        <f t="shared" si="18"/>
        <v>111</v>
      </c>
      <c r="AA46" s="1351">
        <f t="shared" si="15"/>
        <v>1</v>
      </c>
      <c r="AB46" s="1351">
        <f t="shared" si="16"/>
        <v>1</v>
      </c>
      <c r="AC46" s="1351">
        <f t="shared" si="17"/>
        <v>1</v>
      </c>
    </row>
    <row r="47" spans="1:29" ht="14.4">
      <c r="A47" s="430" t="s">
        <v>1708</v>
      </c>
      <c r="B47" s="431"/>
      <c r="C47" s="1153" t="s">
        <v>16</v>
      </c>
      <c r="D47" s="1154"/>
      <c r="E47" s="1155"/>
      <c r="F47" s="1156"/>
      <c r="G47" s="1157"/>
      <c r="H47" s="1158"/>
      <c r="I47" s="1155"/>
      <c r="J47" s="1158"/>
      <c r="K47" s="1912"/>
      <c r="L47" s="2722"/>
      <c r="M47" s="2723"/>
      <c r="N47" s="2714"/>
      <c r="O47" s="2723"/>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 thickBot="1">
      <c r="A48" s="437" t="s">
        <v>1709</v>
      </c>
      <c r="B48" s="438"/>
      <c r="C48" s="1159" t="e">
        <f>R49</f>
        <v>#DIV/0!</v>
      </c>
      <c r="D48" s="2315" t="s">
        <v>2133</v>
      </c>
      <c r="E48" s="1160" t="e">
        <f>R48</f>
        <v>#DIV/0!</v>
      </c>
      <c r="F48" s="2316"/>
      <c r="G48" s="1159" t="e">
        <f>T48</f>
        <v>#DIV/0!</v>
      </c>
      <c r="H48" s="2316"/>
      <c r="I48" s="1160" t="e">
        <f>V48</f>
        <v>#DIV/0!</v>
      </c>
      <c r="J48" s="2316"/>
      <c r="K48" s="2317">
        <f>F48+H48+J48</f>
        <v>0</v>
      </c>
      <c r="L48" s="2722"/>
      <c r="M48" s="2723"/>
      <c r="N48" s="2723"/>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 thickBot="1">
      <c r="A49" s="441" t="s">
        <v>1710</v>
      </c>
      <c r="B49" s="442"/>
      <c r="C49" s="1161" t="e">
        <f>R49</f>
        <v>#DIV/0!</v>
      </c>
      <c r="D49" s="1162"/>
      <c r="E49" s="1162"/>
      <c r="F49" s="1162"/>
      <c r="G49" s="1162"/>
      <c r="H49" s="1162"/>
      <c r="I49" s="1162"/>
      <c r="J49" s="1162"/>
      <c r="K49" s="1913"/>
      <c r="L49" s="2722"/>
      <c r="M49" s="2723"/>
      <c r="N49" s="2723"/>
      <c r="O49" s="2723"/>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c r="A59" s="458"/>
      <c r="B59" s="1917"/>
      <c r="C59" s="1182">
        <v>100</v>
      </c>
      <c r="D59" s="460"/>
      <c r="E59" s="461"/>
      <c r="F59" s="461"/>
      <c r="G59" s="461"/>
      <c r="H59" s="461"/>
      <c r="I59" s="461"/>
      <c r="J59" s="461"/>
      <c r="K59" s="461"/>
      <c r="L59" s="461"/>
      <c r="M59" s="462"/>
      <c r="N59" s="461"/>
      <c r="O59" s="462"/>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472"/>
      <c r="E61" s="472"/>
      <c r="F61" s="472"/>
      <c r="G61" s="472"/>
      <c r="H61" s="472"/>
      <c r="I61" s="472"/>
      <c r="J61" s="472"/>
      <c r="K61" s="472"/>
      <c r="L61" s="473"/>
      <c r="M61" s="474"/>
      <c r="N61" s="932"/>
      <c r="O61" s="932"/>
      <c r="P61" s="1919"/>
      <c r="Q61" s="453"/>
    </row>
    <row r="62" spans="1:29" s="108" customFormat="1" ht="14.4" thickBot="1">
      <c r="A62" s="470"/>
      <c r="B62" s="459"/>
      <c r="C62" s="460">
        <v>100</v>
      </c>
      <c r="D62" s="461"/>
      <c r="E62" s="461"/>
      <c r="F62" s="461"/>
      <c r="G62" s="461"/>
      <c r="H62" s="461"/>
      <c r="I62" s="461"/>
      <c r="J62" s="461"/>
      <c r="K62" s="461"/>
      <c r="L62" s="461"/>
      <c r="M62" s="463"/>
      <c r="N62" s="932"/>
      <c r="O62" s="932"/>
      <c r="P62" s="1918"/>
      <c r="Q62" s="453"/>
    </row>
    <row r="63" spans="1:29" ht="14.4">
      <c r="A63" s="476" t="s">
        <v>1719</v>
      </c>
      <c r="B63" s="477" t="s">
        <v>1685</v>
      </c>
      <c r="C63" s="478">
        <f>C9</f>
        <v>0</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c r="D68" s="498"/>
      <c r="E68" s="498"/>
      <c r="F68" s="498"/>
      <c r="G68" s="498"/>
      <c r="H68" s="498"/>
      <c r="I68" s="498"/>
      <c r="J68" s="498"/>
      <c r="K68" s="499"/>
      <c r="L68" s="500"/>
      <c r="M68" s="501"/>
      <c r="N68" s="933"/>
      <c r="O68" s="933"/>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503"/>
      <c r="D88" s="503"/>
      <c r="E88" s="503"/>
      <c r="F88" s="1925"/>
      <c r="G88" s="503"/>
      <c r="H88" s="503"/>
      <c r="I88" s="503"/>
      <c r="J88" s="503"/>
      <c r="K88" s="503"/>
      <c r="L88" s="503"/>
      <c r="M88" s="530"/>
      <c r="N88" s="932"/>
      <c r="O88" s="932"/>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4.4" thickTop="1">
      <c r="A90" s="502"/>
      <c r="B90" s="487">
        <f>B27</f>
        <v>111</v>
      </c>
      <c r="C90" s="503"/>
      <c r="D90" s="503"/>
      <c r="E90" s="503"/>
      <c r="F90" s="503"/>
      <c r="G90" s="503"/>
      <c r="H90" s="504"/>
      <c r="I90" s="504"/>
      <c r="J90" s="504"/>
      <c r="K90" s="504"/>
      <c r="L90" s="505"/>
      <c r="M90" s="506"/>
      <c r="N90" s="935"/>
      <c r="O90" s="935"/>
      <c r="P90" s="1921"/>
      <c r="Q90" s="508"/>
    </row>
    <row r="91" spans="1:17" s="422" customFormat="1" ht="14.4" thickBot="1">
      <c r="A91" s="502"/>
      <c r="B91" s="492"/>
      <c r="C91" s="509"/>
      <c r="D91" s="509"/>
      <c r="E91" s="509"/>
      <c r="F91" s="509"/>
      <c r="G91" s="509"/>
      <c r="H91" s="511"/>
      <c r="I91" s="511"/>
      <c r="J91" s="511"/>
      <c r="K91" s="511"/>
      <c r="L91" s="511"/>
      <c r="M91" s="512"/>
      <c r="N91" s="935"/>
      <c r="O91" s="935"/>
      <c r="P91" s="1921"/>
      <c r="Q91" s="508"/>
    </row>
    <row r="92" spans="1:17" ht="14.4" thickTop="1">
      <c r="A92" s="483"/>
      <c r="B92" s="487">
        <f>B28</f>
        <v>111</v>
      </c>
      <c r="C92" s="503"/>
      <c r="D92" s="503"/>
      <c r="E92" s="503"/>
      <c r="F92" s="503"/>
      <c r="G92" s="532"/>
      <c r="H92" s="532"/>
      <c r="I92" s="532"/>
      <c r="J92" s="532"/>
      <c r="K92" s="533"/>
      <c r="L92" s="534"/>
      <c r="M92" s="535"/>
      <c r="N92" s="933"/>
      <c r="O92" s="933"/>
      <c r="P92" s="1920"/>
      <c r="Q92" s="453"/>
    </row>
    <row r="93" spans="1:17" ht="14.4" thickBot="1">
      <c r="A93" s="483"/>
      <c r="B93" s="492"/>
      <c r="C93" s="509"/>
      <c r="D93" s="485"/>
      <c r="E93" s="485"/>
      <c r="F93" s="485"/>
      <c r="G93" s="485"/>
      <c r="H93" s="485"/>
      <c r="I93" s="485"/>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479"/>
      <c r="D100" s="479"/>
      <c r="E100" s="479"/>
      <c r="F100" s="479"/>
      <c r="G100" s="479"/>
      <c r="H100" s="479"/>
      <c r="I100" s="479"/>
      <c r="J100" s="479"/>
      <c r="K100" s="480"/>
      <c r="L100" s="481"/>
      <c r="M100" s="482"/>
      <c r="N100" s="933"/>
      <c r="O100" s="933"/>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4.4"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4.4" thickBot="1">
      <c r="A127" s="502"/>
      <c r="B127" s="492"/>
      <c r="C127" s="509"/>
      <c r="D127" s="485"/>
      <c r="E127" s="485"/>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受贵公司委托，我公司对北京市房地产抵押价值进行了预评估。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4.6">
      <c r="A8" s="1481" t="s">
        <v>901</v>
      </c>
    </row>
    <row r="9" spans="1:1" ht="17.399999999999999">
      <c r="A9" s="1480" t="s">
        <v>902</v>
      </c>
    </row>
    <row r="10" spans="1:1" ht="52.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2024年1月31日（评估专业人员实地查勘之日）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896</v>
      </c>
    </row>
    <row r="24" spans="1:1" ht="17.399999999999999">
      <c r="A24" s="1485" t="str">
        <f>"本次评估采用的主估价方法为"&amp;结果表!K4&amp;"和"&amp;结果表!L4&amp;"。"</f>
        <v>本次评估采用的主估价方法为比较法和收益法。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677" t="s">
        <v>1770</v>
      </c>
      <c r="D4" s="3678"/>
      <c r="E4" s="3679" t="s">
        <v>1771</v>
      </c>
      <c r="F4" s="3680"/>
      <c r="G4" s="3677" t="s">
        <v>1772</v>
      </c>
      <c r="H4" s="3678"/>
      <c r="I4" s="3677" t="s">
        <v>1773</v>
      </c>
      <c r="J4" s="3678"/>
      <c r="K4" s="559" t="s">
        <v>1774</v>
      </c>
      <c r="L4" s="2713"/>
      <c r="M4" s="2714"/>
      <c r="N4" s="2714"/>
      <c r="O4" s="2714"/>
      <c r="P4" s="3732" t="s">
        <v>1775</v>
      </c>
      <c r="Q4" s="3733"/>
      <c r="R4" s="3727" t="s">
        <v>1771</v>
      </c>
      <c r="S4" s="3728"/>
      <c r="T4" s="3727" t="s">
        <v>1772</v>
      </c>
      <c r="U4" s="3728"/>
      <c r="V4" s="3736" t="s">
        <v>1773</v>
      </c>
      <c r="W4" s="3736"/>
      <c r="X4" s="1956"/>
      <c r="Y4" s="3727" t="s">
        <v>1775</v>
      </c>
      <c r="Z4" s="3728"/>
      <c r="AA4" s="3726" t="s">
        <v>1771</v>
      </c>
      <c r="AB4" s="3726" t="s">
        <v>1772</v>
      </c>
      <c r="AC4" s="3729" t="s">
        <v>1773</v>
      </c>
    </row>
    <row r="5" spans="1:29">
      <c r="A5" s="358"/>
      <c r="B5" s="359"/>
      <c r="C5" s="3673" t="s">
        <v>1673</v>
      </c>
      <c r="D5" s="3670"/>
      <c r="E5" s="3725" t="s">
        <v>1674</v>
      </c>
      <c r="F5" s="3668"/>
      <c r="G5" s="3673" t="s">
        <v>1675</v>
      </c>
      <c r="H5" s="3670"/>
      <c r="I5" s="3673" t="s">
        <v>1676</v>
      </c>
      <c r="J5" s="3670"/>
      <c r="K5" s="559"/>
      <c r="L5" s="2713"/>
      <c r="M5" s="2714"/>
      <c r="N5" s="2714"/>
      <c r="O5" s="2714"/>
      <c r="P5" s="3734"/>
      <c r="Q5" s="3684"/>
      <c r="R5" s="3665"/>
      <c r="S5" s="3666"/>
      <c r="T5" s="3665"/>
      <c r="U5" s="3666"/>
      <c r="V5" s="3660"/>
      <c r="W5" s="3660"/>
      <c r="X5" s="1353"/>
      <c r="Y5" s="3665"/>
      <c r="Z5" s="3666"/>
      <c r="AA5" s="3658"/>
      <c r="AB5" s="3658"/>
      <c r="AC5" s="3730"/>
    </row>
    <row r="6" spans="1:29" ht="15" thickBot="1">
      <c r="A6" s="360"/>
      <c r="B6" s="361"/>
      <c r="C6" s="3671" t="s">
        <v>1677</v>
      </c>
      <c r="D6" s="3672"/>
      <c r="E6" s="3674" t="s">
        <v>1677</v>
      </c>
      <c r="F6" s="3675"/>
      <c r="G6" s="3671" t="s">
        <v>1677</v>
      </c>
      <c r="H6" s="3672"/>
      <c r="I6" s="3671" t="s">
        <v>1677</v>
      </c>
      <c r="J6" s="3672"/>
      <c r="K6" s="559" t="s">
        <v>1678</v>
      </c>
      <c r="L6" s="2713"/>
      <c r="M6" s="2714"/>
      <c r="N6" s="2714"/>
      <c r="O6" s="2714"/>
      <c r="P6" s="3735"/>
      <c r="Q6" s="3686"/>
      <c r="R6" s="3665"/>
      <c r="S6" s="3666"/>
      <c r="T6" s="3687"/>
      <c r="U6" s="3688"/>
      <c r="V6" s="3660"/>
      <c r="W6" s="3660"/>
      <c r="X6" s="1353"/>
      <c r="Y6" s="3687"/>
      <c r="Z6" s="3688"/>
      <c r="AA6" s="3659"/>
      <c r="AB6" s="3659"/>
      <c r="AC6" s="3731"/>
    </row>
    <row r="7" spans="1:29" s="108" customFormat="1" ht="15" thickBot="1">
      <c r="A7" s="362" t="s">
        <v>1679</v>
      </c>
      <c r="B7" s="363"/>
      <c r="C7" s="364">
        <f>'数据-取费表'!B2</f>
        <v>45322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7"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7" t="s">
        <v>1683</v>
      </c>
      <c r="Q8" s="3662"/>
      <c r="R8" s="701" t="s">
        <v>14</v>
      </c>
      <c r="S8" s="702">
        <f t="shared" si="0"/>
        <v>100</v>
      </c>
      <c r="T8" s="701" t="s">
        <v>14</v>
      </c>
      <c r="U8" s="702">
        <f t="shared" si="1"/>
        <v>100</v>
      </c>
      <c r="V8" s="701" t="s">
        <v>14</v>
      </c>
      <c r="W8" s="702">
        <f t="shared" si="2"/>
        <v>100</v>
      </c>
      <c r="X8" s="703"/>
      <c r="Y8" s="3661" t="s">
        <v>1683</v>
      </c>
      <c r="Z8" s="3662"/>
      <c r="AA8" s="704">
        <f t="shared" ref="AA8:AA47" si="3">D8/F8</f>
        <v>1</v>
      </c>
      <c r="AB8" s="704">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1"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6"/>
      <c r="Q12" s="1341">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6"/>
      <c r="Q13" s="1341">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7">
        <f t="shared" si="5"/>
        <v>1</v>
      </c>
    </row>
    <row r="14" spans="1:29" ht="15.6"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6"/>
      <c r="Q14" s="1341">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0" t="s">
        <v>1691</v>
      </c>
      <c r="Q15" s="1350" t="str">
        <f t="shared" si="6"/>
        <v>办公集聚程度</v>
      </c>
      <c r="R15" s="705" t="s">
        <v>14</v>
      </c>
      <c r="S15" s="706">
        <f t="shared" si="0"/>
        <v>100</v>
      </c>
      <c r="T15" s="705" t="s">
        <v>14</v>
      </c>
      <c r="U15" s="706">
        <f t="shared" si="1"/>
        <v>100</v>
      </c>
      <c r="V15" s="705" t="s">
        <v>14</v>
      </c>
      <c r="W15" s="706">
        <f t="shared" si="2"/>
        <v>100</v>
      </c>
      <c r="X15" s="1353"/>
      <c r="Y15" s="3692"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91"/>
      <c r="Q16" s="1350"/>
      <c r="R16" s="705"/>
      <c r="S16" s="706"/>
      <c r="T16" s="705"/>
      <c r="U16" s="706"/>
      <c r="V16" s="705"/>
      <c r="W16" s="706"/>
      <c r="X16" s="1353"/>
      <c r="Y16" s="3693"/>
      <c r="Z16" s="1354"/>
      <c r="AA16" s="1351">
        <v>1</v>
      </c>
      <c r="AB16" s="1351">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1"/>
      <c r="Q17" s="1350" t="str">
        <f>B17</f>
        <v>交通便捷度</v>
      </c>
      <c r="R17" s="705" t="s">
        <v>14</v>
      </c>
      <c r="S17" s="706">
        <f>F17</f>
        <v>100</v>
      </c>
      <c r="T17" s="705" t="s">
        <v>14</v>
      </c>
      <c r="U17" s="706">
        <f>H17</f>
        <v>100</v>
      </c>
      <c r="V17" s="705" t="s">
        <v>14</v>
      </c>
      <c r="W17" s="706">
        <f>J17</f>
        <v>100</v>
      </c>
      <c r="X17" s="1353"/>
      <c r="Y17" s="3693"/>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91"/>
      <c r="Q18" s="1350"/>
      <c r="R18" s="705"/>
      <c r="S18" s="706"/>
      <c r="T18" s="705"/>
      <c r="U18" s="706"/>
      <c r="V18" s="705"/>
      <c r="W18" s="706"/>
      <c r="X18" s="1353"/>
      <c r="Y18" s="3693"/>
      <c r="Z18" s="1354"/>
      <c r="AA18" s="1351">
        <v>1</v>
      </c>
      <c r="AB18" s="1351">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1"/>
      <c r="Q19" s="1350" t="str">
        <f>B19</f>
        <v>公共配套设施</v>
      </c>
      <c r="R19" s="705" t="s">
        <v>14</v>
      </c>
      <c r="S19" s="706">
        <f>F19</f>
        <v>100</v>
      </c>
      <c r="T19" s="705" t="s">
        <v>14</v>
      </c>
      <c r="U19" s="706">
        <f>H19</f>
        <v>100</v>
      </c>
      <c r="V19" s="705" t="s">
        <v>14</v>
      </c>
      <c r="W19" s="706">
        <f>J19</f>
        <v>100</v>
      </c>
      <c r="X19" s="1353"/>
      <c r="Y19" s="3693"/>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91"/>
      <c r="Q20" s="1350"/>
      <c r="R20" s="705"/>
      <c r="S20" s="706"/>
      <c r="T20" s="705"/>
      <c r="U20" s="706"/>
      <c r="V20" s="705"/>
      <c r="W20" s="706"/>
      <c r="X20" s="1353"/>
      <c r="Y20" s="3693"/>
      <c r="Z20" s="1354"/>
      <c r="AA20" s="1351">
        <v>1</v>
      </c>
      <c r="AB20" s="1351">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1"/>
      <c r="Q21" s="1350" t="str">
        <f>B21</f>
        <v>基础设施水平</v>
      </c>
      <c r="R21" s="705" t="s">
        <v>14</v>
      </c>
      <c r="S21" s="706">
        <f>F21</f>
        <v>100</v>
      </c>
      <c r="T21" s="705" t="s">
        <v>14</v>
      </c>
      <c r="U21" s="706">
        <f>H21</f>
        <v>100</v>
      </c>
      <c r="V21" s="705" t="s">
        <v>14</v>
      </c>
      <c r="W21" s="706">
        <f>J21</f>
        <v>100</v>
      </c>
      <c r="X21" s="1353"/>
      <c r="Y21" s="3693"/>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91"/>
      <c r="Q22" s="1350"/>
      <c r="R22" s="705"/>
      <c r="S22" s="706"/>
      <c r="T22" s="705"/>
      <c r="U22" s="706"/>
      <c r="V22" s="705"/>
      <c r="W22" s="706"/>
      <c r="X22" s="1353"/>
      <c r="Y22" s="3693"/>
      <c r="Z22" s="1354"/>
      <c r="AA22" s="1351">
        <v>1</v>
      </c>
      <c r="AB22" s="1351">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1"/>
      <c r="Q23" s="1350" t="str">
        <f>B23</f>
        <v>环境质量</v>
      </c>
      <c r="R23" s="705" t="s">
        <v>14</v>
      </c>
      <c r="S23" s="706">
        <f>F23</f>
        <v>100</v>
      </c>
      <c r="T23" s="705" t="s">
        <v>14</v>
      </c>
      <c r="U23" s="706">
        <f>H23</f>
        <v>100</v>
      </c>
      <c r="V23" s="705" t="s">
        <v>14</v>
      </c>
      <c r="W23" s="706">
        <f>J23</f>
        <v>100</v>
      </c>
      <c r="X23" s="1353"/>
      <c r="Y23" s="3693"/>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91"/>
      <c r="Q24" s="1350"/>
      <c r="R24" s="705"/>
      <c r="S24" s="706"/>
      <c r="T24" s="705"/>
      <c r="U24" s="706"/>
      <c r="V24" s="705"/>
      <c r="W24" s="706"/>
      <c r="X24" s="1353"/>
      <c r="Y24" s="3693"/>
      <c r="Z24" s="1354"/>
      <c r="AA24" s="1351">
        <v>1</v>
      </c>
      <c r="AB24" s="1351">
        <v>1</v>
      </c>
      <c r="AC24" s="1960">
        <v>1</v>
      </c>
    </row>
    <row r="25" spans="1:29" ht="28.8">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91"/>
      <c r="Q25" s="1350" t="str">
        <f>B25</f>
        <v>毗邻道路的类型与等级</v>
      </c>
      <c r="R25" s="705" t="s">
        <v>14</v>
      </c>
      <c r="S25" s="706">
        <f>F25</f>
        <v>100</v>
      </c>
      <c r="T25" s="705" t="s">
        <v>14</v>
      </c>
      <c r="U25" s="706">
        <f>H25</f>
        <v>100</v>
      </c>
      <c r="V25" s="705" t="s">
        <v>14</v>
      </c>
      <c r="W25" s="706">
        <f>J25</f>
        <v>100</v>
      </c>
      <c r="X25" s="1353"/>
      <c r="Y25" s="3693"/>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91"/>
      <c r="Q26" s="1350"/>
      <c r="R26" s="705"/>
      <c r="S26" s="706"/>
      <c r="T26" s="705"/>
      <c r="U26" s="706"/>
      <c r="V26" s="705"/>
      <c r="W26" s="706"/>
      <c r="X26" s="1353"/>
      <c r="Y26" s="3693"/>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1"/>
      <c r="Q27" s="1350" t="str">
        <f t="shared" ref="Q27:Q47" si="11">B27</f>
        <v>楼层</v>
      </c>
      <c r="R27" s="705" t="s">
        <v>14</v>
      </c>
      <c r="S27" s="706">
        <f>F27</f>
        <v>100</v>
      </c>
      <c r="T27" s="705" t="s">
        <v>14</v>
      </c>
      <c r="U27" s="706">
        <f>H27</f>
        <v>100</v>
      </c>
      <c r="V27" s="705" t="s">
        <v>14</v>
      </c>
      <c r="W27" s="706">
        <f>J27</f>
        <v>100</v>
      </c>
      <c r="X27" s="1353"/>
      <c r="Y27" s="3693"/>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1"/>
      <c r="Q28" s="1341" t="str">
        <f t="shared" si="11"/>
        <v>朝向</v>
      </c>
      <c r="R28" s="701" t="s">
        <v>14</v>
      </c>
      <c r="S28" s="702">
        <f>F28</f>
        <v>100</v>
      </c>
      <c r="T28" s="701" t="s">
        <v>14</v>
      </c>
      <c r="U28" s="702">
        <f>H28</f>
        <v>100</v>
      </c>
      <c r="V28" s="701" t="s">
        <v>14</v>
      </c>
      <c r="W28" s="702">
        <f>J28</f>
        <v>100</v>
      </c>
      <c r="X28" s="703"/>
      <c r="Y28" s="3693"/>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1"/>
      <c r="Q29" s="1350">
        <f t="shared" si="11"/>
        <v>111</v>
      </c>
      <c r="R29" s="705" t="s">
        <v>14</v>
      </c>
      <c r="S29" s="706">
        <f t="shared" ref="S29:S47" si="12">F29</f>
        <v>100</v>
      </c>
      <c r="T29" s="705" t="s">
        <v>14</v>
      </c>
      <c r="U29" s="706">
        <f t="shared" ref="U29:U47" si="13">H29</f>
        <v>100</v>
      </c>
      <c r="V29" s="705" t="s">
        <v>14</v>
      </c>
      <c r="W29" s="706">
        <f t="shared" ref="W29:W47" si="14">J29</f>
        <v>100</v>
      </c>
      <c r="X29" s="1353"/>
      <c r="Y29" s="3693"/>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1"/>
      <c r="Q30" s="1350">
        <f t="shared" si="11"/>
        <v>111</v>
      </c>
      <c r="R30" s="705" t="s">
        <v>14</v>
      </c>
      <c r="S30" s="706">
        <f t="shared" si="12"/>
        <v>100</v>
      </c>
      <c r="T30" s="705" t="s">
        <v>14</v>
      </c>
      <c r="U30" s="706">
        <f t="shared" si="13"/>
        <v>100</v>
      </c>
      <c r="V30" s="705" t="s">
        <v>14</v>
      </c>
      <c r="W30" s="706">
        <f t="shared" si="14"/>
        <v>100</v>
      </c>
      <c r="X30" s="1353"/>
      <c r="Y30" s="3693"/>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1"/>
      <c r="Q31" s="1350">
        <f t="shared" si="11"/>
        <v>111</v>
      </c>
      <c r="R31" s="705" t="s">
        <v>14</v>
      </c>
      <c r="S31" s="706">
        <f t="shared" si="12"/>
        <v>100</v>
      </c>
      <c r="T31" s="705" t="s">
        <v>14</v>
      </c>
      <c r="U31" s="706">
        <f t="shared" si="13"/>
        <v>100</v>
      </c>
      <c r="V31" s="705" t="s">
        <v>14</v>
      </c>
      <c r="W31" s="706">
        <f t="shared" si="14"/>
        <v>100</v>
      </c>
      <c r="X31" s="1353"/>
      <c r="Y31" s="3693"/>
      <c r="Z31" s="1354">
        <f t="shared" si="15"/>
        <v>111</v>
      </c>
      <c r="AA31" s="1351">
        <f t="shared" si="3"/>
        <v>1</v>
      </c>
      <c r="AB31" s="1351">
        <f t="shared" si="4"/>
        <v>1</v>
      </c>
      <c r="AC31" s="1960">
        <f t="shared" si="5"/>
        <v>1</v>
      </c>
    </row>
    <row r="32" spans="1:29" ht="15.6"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1"/>
      <c r="Q32" s="1350">
        <f t="shared" si="11"/>
        <v>111</v>
      </c>
      <c r="R32" s="705" t="s">
        <v>14</v>
      </c>
      <c r="S32" s="706">
        <f t="shared" si="12"/>
        <v>100</v>
      </c>
      <c r="T32" s="705" t="s">
        <v>14</v>
      </c>
      <c r="U32" s="706">
        <f t="shared" si="13"/>
        <v>100</v>
      </c>
      <c r="V32" s="705" t="s">
        <v>14</v>
      </c>
      <c r="W32" s="706">
        <f t="shared" si="14"/>
        <v>100</v>
      </c>
      <c r="X32" s="1353"/>
      <c r="Y32" s="3693"/>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94" t="s">
        <v>1696</v>
      </c>
      <c r="Q33" s="1350" t="str">
        <f t="shared" si="11"/>
        <v>建筑类型</v>
      </c>
      <c r="R33" s="705" t="s">
        <v>14</v>
      </c>
      <c r="S33" s="706">
        <f t="shared" si="12"/>
        <v>100</v>
      </c>
      <c r="T33" s="705" t="s">
        <v>14</v>
      </c>
      <c r="U33" s="706">
        <f t="shared" si="13"/>
        <v>100</v>
      </c>
      <c r="V33" s="705" t="s">
        <v>14</v>
      </c>
      <c r="W33" s="706">
        <f t="shared" si="14"/>
        <v>100</v>
      </c>
      <c r="X33" s="1353"/>
      <c r="Y33" s="3697"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5"/>
      <c r="Q34" s="707" t="str">
        <f t="shared" si="11"/>
        <v>项目建筑规模</v>
      </c>
      <c r="R34" s="708" t="s">
        <v>14</v>
      </c>
      <c r="S34" s="709" t="e">
        <f t="shared" si="12"/>
        <v>#N/A</v>
      </c>
      <c r="T34" s="708" t="s">
        <v>14</v>
      </c>
      <c r="U34" s="709" t="e">
        <f t="shared" si="13"/>
        <v>#N/A</v>
      </c>
      <c r="V34" s="708" t="s">
        <v>14</v>
      </c>
      <c r="W34" s="709" t="e">
        <f t="shared" si="14"/>
        <v>#N/A</v>
      </c>
      <c r="X34" s="710"/>
      <c r="Y34" s="3697"/>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5"/>
      <c r="Q35" s="1350" t="str">
        <f t="shared" si="11"/>
        <v>建筑结构</v>
      </c>
      <c r="R35" s="705" t="s">
        <v>14</v>
      </c>
      <c r="S35" s="706">
        <f t="shared" si="12"/>
        <v>100</v>
      </c>
      <c r="T35" s="705" t="s">
        <v>14</v>
      </c>
      <c r="U35" s="706">
        <f t="shared" si="13"/>
        <v>100</v>
      </c>
      <c r="V35" s="705" t="s">
        <v>14</v>
      </c>
      <c r="W35" s="706">
        <f t="shared" si="14"/>
        <v>100</v>
      </c>
      <c r="X35" s="1353"/>
      <c r="Y35" s="3697"/>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5"/>
      <c r="Q36" s="1350" t="str">
        <f t="shared" si="11"/>
        <v>公共部分装修</v>
      </c>
      <c r="R36" s="705" t="s">
        <v>14</v>
      </c>
      <c r="S36" s="706">
        <f t="shared" si="12"/>
        <v>100</v>
      </c>
      <c r="T36" s="705" t="s">
        <v>14</v>
      </c>
      <c r="U36" s="706">
        <f t="shared" si="13"/>
        <v>100</v>
      </c>
      <c r="V36" s="705" t="s">
        <v>14</v>
      </c>
      <c r="W36" s="706">
        <f t="shared" si="14"/>
        <v>100</v>
      </c>
      <c r="X36" s="1353"/>
      <c r="Y36" s="3697"/>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5"/>
      <c r="Q37" s="1350" t="str">
        <f t="shared" si="11"/>
        <v>成新度</v>
      </c>
      <c r="R37" s="705" t="s">
        <v>14</v>
      </c>
      <c r="S37" s="706" t="e">
        <f t="shared" si="12"/>
        <v>#N/A</v>
      </c>
      <c r="T37" s="705" t="s">
        <v>14</v>
      </c>
      <c r="U37" s="706" t="e">
        <f t="shared" si="13"/>
        <v>#N/A</v>
      </c>
      <c r="V37" s="705" t="s">
        <v>14</v>
      </c>
      <c r="W37" s="706" t="e">
        <f t="shared" si="14"/>
        <v>#N/A</v>
      </c>
      <c r="X37" s="1353"/>
      <c r="Y37" s="3697"/>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5"/>
      <c r="Q38" s="1341"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5" t="s">
        <v>1696</v>
      </c>
      <c r="Q39" s="1350" t="str">
        <f t="shared" si="11"/>
        <v>物业管理</v>
      </c>
      <c r="R39" s="705" t="s">
        <v>14</v>
      </c>
      <c r="S39" s="706">
        <f t="shared" si="12"/>
        <v>100</v>
      </c>
      <c r="T39" s="705" t="s">
        <v>14</v>
      </c>
      <c r="U39" s="706">
        <f t="shared" si="13"/>
        <v>100</v>
      </c>
      <c r="V39" s="705" t="s">
        <v>14</v>
      </c>
      <c r="W39" s="706">
        <f t="shared" si="14"/>
        <v>100</v>
      </c>
      <c r="X39" s="1353"/>
      <c r="Y39" s="3697"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5"/>
      <c r="Q40" s="1350" t="str">
        <f t="shared" si="11"/>
        <v>市政基础设施</v>
      </c>
      <c r="R40" s="705" t="s">
        <v>14</v>
      </c>
      <c r="S40" s="706">
        <f t="shared" si="12"/>
        <v>100</v>
      </c>
      <c r="T40" s="705" t="s">
        <v>14</v>
      </c>
      <c r="U40" s="706">
        <f t="shared" si="13"/>
        <v>100</v>
      </c>
      <c r="V40" s="705" t="s">
        <v>14</v>
      </c>
      <c r="W40" s="706">
        <f t="shared" si="14"/>
        <v>100</v>
      </c>
      <c r="X40" s="1353"/>
      <c r="Y40" s="3697"/>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5"/>
      <c r="Q41" s="1350" t="str">
        <f t="shared" si="11"/>
        <v>层高</v>
      </c>
      <c r="R41" s="705" t="s">
        <v>14</v>
      </c>
      <c r="S41" s="706">
        <f t="shared" si="12"/>
        <v>100</v>
      </c>
      <c r="T41" s="705" t="s">
        <v>14</v>
      </c>
      <c r="U41" s="706">
        <f t="shared" si="13"/>
        <v>100</v>
      </c>
      <c r="V41" s="705" t="s">
        <v>14</v>
      </c>
      <c r="W41" s="706">
        <f t="shared" si="14"/>
        <v>100</v>
      </c>
      <c r="X41" s="1353"/>
      <c r="Y41" s="3697"/>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5"/>
      <c r="Q43" s="1350" t="str">
        <f t="shared" si="11"/>
        <v>内部装修</v>
      </c>
      <c r="R43" s="705" t="s">
        <v>14</v>
      </c>
      <c r="S43" s="706">
        <f t="shared" si="12"/>
        <v>100</v>
      </c>
      <c r="T43" s="705" t="s">
        <v>14</v>
      </c>
      <c r="U43" s="706">
        <f t="shared" si="13"/>
        <v>100</v>
      </c>
      <c r="V43" s="705" t="s">
        <v>14</v>
      </c>
      <c r="W43" s="706">
        <f t="shared" si="14"/>
        <v>100</v>
      </c>
      <c r="X43" s="1353"/>
      <c r="Y43" s="3697"/>
      <c r="Z43" s="1354" t="str">
        <f t="shared" si="15"/>
        <v>内部装修</v>
      </c>
      <c r="AA43" s="1351">
        <f t="shared" si="3"/>
        <v>1</v>
      </c>
      <c r="AB43" s="1351">
        <f t="shared" si="4"/>
        <v>1</v>
      </c>
      <c r="AC43" s="1960">
        <f t="shared" si="5"/>
        <v>1</v>
      </c>
    </row>
    <row r="44" spans="1:29" ht="28.8">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95"/>
      <c r="Q44" s="1350" t="str">
        <f t="shared" si="11"/>
        <v>内部装修维护情况</v>
      </c>
      <c r="R44" s="705" t="s">
        <v>14</v>
      </c>
      <c r="S44" s="706">
        <f t="shared" si="12"/>
        <v>100</v>
      </c>
      <c r="T44" s="705" t="s">
        <v>14</v>
      </c>
      <c r="U44" s="706">
        <f t="shared" si="13"/>
        <v>100</v>
      </c>
      <c r="V44" s="705" t="s">
        <v>14</v>
      </c>
      <c r="W44" s="706">
        <f t="shared" si="14"/>
        <v>100</v>
      </c>
      <c r="X44" s="1353"/>
      <c r="Y44" s="3697"/>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5"/>
      <c r="Q45" s="1341">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5"/>
      <c r="Q46" s="1350">
        <f t="shared" si="11"/>
        <v>111</v>
      </c>
      <c r="R46" s="705" t="s">
        <v>14</v>
      </c>
      <c r="S46" s="706">
        <f t="shared" si="12"/>
        <v>100</v>
      </c>
      <c r="T46" s="705" t="s">
        <v>14</v>
      </c>
      <c r="U46" s="706">
        <f t="shared" si="13"/>
        <v>100</v>
      </c>
      <c r="V46" s="705" t="s">
        <v>14</v>
      </c>
      <c r="W46" s="706">
        <f t="shared" si="14"/>
        <v>100</v>
      </c>
      <c r="X46" s="1353"/>
      <c r="Y46" s="3697"/>
      <c r="Z46" s="1354">
        <f t="shared" si="15"/>
        <v>111</v>
      </c>
      <c r="AA46" s="1351">
        <f t="shared" si="3"/>
        <v>1</v>
      </c>
      <c r="AB46" s="1351">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6"/>
      <c r="Q47" s="1350">
        <f t="shared" si="11"/>
        <v>111</v>
      </c>
      <c r="R47" s="705" t="s">
        <v>14</v>
      </c>
      <c r="S47" s="706">
        <f t="shared" si="12"/>
        <v>100</v>
      </c>
      <c r="T47" s="705" t="s">
        <v>14</v>
      </c>
      <c r="U47" s="706">
        <f t="shared" si="13"/>
        <v>100</v>
      </c>
      <c r="V47" s="705" t="s">
        <v>14</v>
      </c>
      <c r="W47" s="706">
        <f t="shared" si="14"/>
        <v>100</v>
      </c>
      <c r="X47" s="1353"/>
      <c r="Y47" s="3698"/>
      <c r="Z47" s="1354">
        <f t="shared" si="15"/>
        <v>111</v>
      </c>
      <c r="AA47" s="1351">
        <f t="shared" si="3"/>
        <v>1</v>
      </c>
      <c r="AB47" s="1351">
        <f t="shared" si="4"/>
        <v>1</v>
      </c>
      <c r="AC47" s="1960">
        <f t="shared" si="5"/>
        <v>1</v>
      </c>
    </row>
    <row r="48" spans="1:29" ht="14.4">
      <c r="A48" s="430" t="s">
        <v>1708</v>
      </c>
      <c r="B48" s="431"/>
      <c r="C48" s="1153" t="s">
        <v>0</v>
      </c>
      <c r="D48" s="1154"/>
      <c r="E48" s="1155"/>
      <c r="F48" s="1156"/>
      <c r="G48" s="1157"/>
      <c r="H48" s="1158"/>
      <c r="I48" s="1155"/>
      <c r="J48" s="436"/>
      <c r="K48" s="714"/>
      <c r="L48" s="2722"/>
      <c r="M48" s="2714"/>
      <c r="N48" s="2714"/>
      <c r="O48" s="2714"/>
      <c r="P48" s="3676" t="str">
        <f>A48</f>
        <v>成交单价（元/平方米）</v>
      </c>
      <c r="Q48" s="3699"/>
      <c r="R48" s="3700">
        <f>E48</f>
        <v>0</v>
      </c>
      <c r="S48" s="3700"/>
      <c r="T48" s="3700">
        <f>G48</f>
        <v>0</v>
      </c>
      <c r="U48" s="3700"/>
      <c r="V48" s="3700">
        <f>I48</f>
        <v>0</v>
      </c>
      <c r="W48" s="3700"/>
      <c r="X48" s="397"/>
      <c r="Y48" s="712"/>
      <c r="Z48" s="397"/>
      <c r="AA48" s="397"/>
      <c r="AB48" s="397"/>
      <c r="AC48" s="578"/>
    </row>
    <row r="49" spans="1:29" ht="15" thickBot="1">
      <c r="A49" s="437" t="s">
        <v>1793</v>
      </c>
      <c r="B49" s="438"/>
      <c r="C49" s="1159" t="e">
        <f>R50</f>
        <v>#DIV/0!</v>
      </c>
      <c r="D49" s="2315" t="s">
        <v>2133</v>
      </c>
      <c r="E49" s="1160" t="e">
        <f>R49</f>
        <v>#DIV/0!</v>
      </c>
      <c r="F49" s="2316"/>
      <c r="G49" s="1159" t="e">
        <f>T49</f>
        <v>#DIV/0!</v>
      </c>
      <c r="H49" s="2316"/>
      <c r="I49" s="1160" t="e">
        <f>V49</f>
        <v>#DIV/0!</v>
      </c>
      <c r="J49" s="2316"/>
      <c r="K49" s="2318">
        <f>F49+H49+J49</f>
        <v>0</v>
      </c>
      <c r="L49" s="2722"/>
      <c r="M49" s="2714"/>
      <c r="N49" s="2714"/>
      <c r="O49" s="2714"/>
      <c r="P49" s="3676"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 thickBot="1">
      <c r="A50" s="441" t="s">
        <v>1794</v>
      </c>
      <c r="B50" s="442"/>
      <c r="C50" s="1162" t="e">
        <f>R50</f>
        <v>#DIV/0!</v>
      </c>
      <c r="D50" s="1162"/>
      <c r="E50" s="1162"/>
      <c r="F50" s="1162"/>
      <c r="G50" s="1162"/>
      <c r="H50" s="1162"/>
      <c r="I50" s="1162"/>
      <c r="J50" s="443"/>
      <c r="K50" s="715"/>
      <c r="L50" s="2722"/>
      <c r="M50" s="2714"/>
      <c r="N50" s="2714"/>
      <c r="O50" s="2714"/>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7"/>
      <c r="Q59" s="2739"/>
      <c r="R59" s="2739"/>
      <c r="S59" s="2739"/>
      <c r="T59" s="2739"/>
      <c r="U59" s="2739"/>
      <c r="V59" s="2739"/>
      <c r="W59" s="2739"/>
      <c r="X59" s="2739"/>
      <c r="Y59" s="2739"/>
      <c r="Z59" s="2739"/>
      <c r="AA59" s="2739"/>
      <c r="AB59" s="2739"/>
      <c r="AC59" s="2739"/>
    </row>
    <row r="60" spans="1:29" s="108" customFormat="1">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7" t="s">
        <v>1770</v>
      </c>
      <c r="D4" s="3678"/>
      <c r="E4" s="3679" t="s">
        <v>1771</v>
      </c>
      <c r="F4" s="3680"/>
      <c r="G4" s="3677" t="s">
        <v>1772</v>
      </c>
      <c r="H4" s="3678"/>
      <c r="I4" s="3677" t="s">
        <v>1773</v>
      </c>
      <c r="J4" s="3678"/>
      <c r="K4" s="559" t="s">
        <v>1774</v>
      </c>
      <c r="L4" s="913"/>
      <c r="M4" s="914"/>
      <c r="N4" s="914"/>
      <c r="O4" s="914"/>
      <c r="P4" s="3681" t="s">
        <v>1775</v>
      </c>
      <c r="Q4" s="3682"/>
      <c r="R4" s="3663" t="s">
        <v>1771</v>
      </c>
      <c r="S4" s="3664"/>
      <c r="T4" s="3663" t="s">
        <v>1772</v>
      </c>
      <c r="U4" s="3664"/>
      <c r="V4" s="3660" t="s">
        <v>1773</v>
      </c>
      <c r="W4" s="3660"/>
      <c r="X4" s="1353"/>
      <c r="Y4" s="3663" t="s">
        <v>1775</v>
      </c>
      <c r="Z4" s="3664"/>
      <c r="AA4" s="3657" t="s">
        <v>1771</v>
      </c>
      <c r="AB4" s="3658" t="s">
        <v>1772</v>
      </c>
      <c r="AC4" s="3657" t="s">
        <v>1773</v>
      </c>
    </row>
    <row r="5" spans="1:29">
      <c r="A5" s="358"/>
      <c r="B5" s="359"/>
      <c r="C5" s="3673" t="s">
        <v>1673</v>
      </c>
      <c r="D5" s="3670"/>
      <c r="E5" s="3725" t="s">
        <v>1674</v>
      </c>
      <c r="F5" s="3668"/>
      <c r="G5" s="3673" t="s">
        <v>1675</v>
      </c>
      <c r="H5" s="3670"/>
      <c r="I5" s="3673" t="s">
        <v>1676</v>
      </c>
      <c r="J5" s="3670"/>
      <c r="K5" s="559"/>
      <c r="L5" s="913"/>
      <c r="M5" s="914"/>
      <c r="N5" s="914"/>
      <c r="O5" s="914"/>
      <c r="P5" s="3683"/>
      <c r="Q5" s="3684"/>
      <c r="R5" s="3665"/>
      <c r="S5" s="3666"/>
      <c r="T5" s="3665"/>
      <c r="U5" s="3666"/>
      <c r="V5" s="3660"/>
      <c r="W5" s="3660"/>
      <c r="X5" s="1353"/>
      <c r="Y5" s="3665"/>
      <c r="Z5" s="3666"/>
      <c r="AA5" s="3658"/>
      <c r="AB5" s="3658"/>
      <c r="AC5" s="3658"/>
    </row>
    <row r="6" spans="1:29" ht="15" thickBot="1">
      <c r="A6" s="360"/>
      <c r="B6" s="361"/>
      <c r="C6" s="3671" t="s">
        <v>1677</v>
      </c>
      <c r="D6" s="3672"/>
      <c r="E6" s="3674" t="s">
        <v>1677</v>
      </c>
      <c r="F6" s="3675"/>
      <c r="G6" s="3671" t="s">
        <v>1677</v>
      </c>
      <c r="H6" s="3672"/>
      <c r="I6" s="3671" t="s">
        <v>1677</v>
      </c>
      <c r="J6" s="3672"/>
      <c r="K6" s="559" t="s">
        <v>1678</v>
      </c>
      <c r="L6" s="913"/>
      <c r="M6" s="914"/>
      <c r="N6" s="914"/>
      <c r="O6" s="914"/>
      <c r="P6" s="3685"/>
      <c r="Q6" s="3686"/>
      <c r="R6" s="3665"/>
      <c r="S6" s="3666"/>
      <c r="T6" s="3687"/>
      <c r="U6" s="3688"/>
      <c r="V6" s="3660"/>
      <c r="W6" s="3660"/>
      <c r="X6" s="1353"/>
      <c r="Y6" s="3687"/>
      <c r="Z6" s="3688"/>
      <c r="AA6" s="3659"/>
      <c r="AB6" s="3659"/>
      <c r="AC6" s="3659"/>
    </row>
    <row r="7" spans="1:29" s="108" customFormat="1" ht="15" thickBot="1">
      <c r="A7" s="362" t="s">
        <v>1679</v>
      </c>
      <c r="B7" s="363"/>
      <c r="C7" s="364">
        <f>'数据-取费表'!B2</f>
        <v>45322</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1683</v>
      </c>
      <c r="Q8" s="3662"/>
      <c r="R8" s="701" t="s">
        <v>14</v>
      </c>
      <c r="S8" s="702">
        <f t="shared" si="0"/>
        <v>100</v>
      </c>
      <c r="T8" s="701" t="s">
        <v>14</v>
      </c>
      <c r="U8" s="702">
        <f t="shared" si="1"/>
        <v>100</v>
      </c>
      <c r="V8" s="701" t="s">
        <v>14</v>
      </c>
      <c r="W8" s="702">
        <f t="shared" si="2"/>
        <v>100</v>
      </c>
      <c r="X8" s="703"/>
      <c r="Y8" s="3661" t="s">
        <v>1683</v>
      </c>
      <c r="Z8" s="366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1"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9"/>
      <c r="Q10" s="1341"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1"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99"/>
      <c r="Q12" s="1341">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99"/>
      <c r="Q13" s="1341">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99"/>
      <c r="Q14" s="1341">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1691</v>
      </c>
      <c r="Q15" s="1350" t="str">
        <f t="shared" si="6"/>
        <v>产业集聚程度</v>
      </c>
      <c r="R15" s="705" t="s">
        <v>14</v>
      </c>
      <c r="S15" s="706">
        <f t="shared" si="0"/>
        <v>100</v>
      </c>
      <c r="T15" s="705" t="s">
        <v>14</v>
      </c>
      <c r="U15" s="706">
        <f t="shared" si="1"/>
        <v>100</v>
      </c>
      <c r="V15" s="705" t="s">
        <v>14</v>
      </c>
      <c r="W15" s="706">
        <f t="shared" si="2"/>
        <v>100</v>
      </c>
      <c r="X15" s="1353"/>
      <c r="Y15" s="3692"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93"/>
      <c r="Q16" s="1350"/>
      <c r="R16" s="705"/>
      <c r="S16" s="706"/>
      <c r="T16" s="705"/>
      <c r="U16" s="706"/>
      <c r="V16" s="705"/>
      <c r="W16" s="706"/>
      <c r="X16" s="1353"/>
      <c r="Y16" s="3693"/>
      <c r="Z16" s="1354"/>
      <c r="AA16" s="1351">
        <v>1</v>
      </c>
      <c r="AB16" s="1351">
        <v>1</v>
      </c>
      <c r="AC16" s="1351">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0" t="str">
        <f>B17</f>
        <v>交通便捷度</v>
      </c>
      <c r="R17" s="705" t="s">
        <v>14</v>
      </c>
      <c r="S17" s="706">
        <f>F17</f>
        <v>100</v>
      </c>
      <c r="T17" s="705" t="s">
        <v>14</v>
      </c>
      <c r="U17" s="706">
        <f>H17</f>
        <v>100</v>
      </c>
      <c r="V17" s="705" t="s">
        <v>14</v>
      </c>
      <c r="W17" s="706">
        <f>J17</f>
        <v>100</v>
      </c>
      <c r="X17" s="1353"/>
      <c r="Y17" s="369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93"/>
      <c r="Q18" s="1350"/>
      <c r="R18" s="705"/>
      <c r="S18" s="706"/>
      <c r="T18" s="705"/>
      <c r="U18" s="706"/>
      <c r="V18" s="705"/>
      <c r="W18" s="706"/>
      <c r="X18" s="1353"/>
      <c r="Y18" s="3693"/>
      <c r="Z18" s="1354"/>
      <c r="AA18" s="1351">
        <v>1</v>
      </c>
      <c r="AB18" s="1351">
        <v>1</v>
      </c>
      <c r="AC18" s="1351">
        <v>1</v>
      </c>
    </row>
    <row r="19" spans="1:29" ht="41.4">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0" t="str">
        <f>B19</f>
        <v>公共配套设施</v>
      </c>
      <c r="R19" s="705" t="s">
        <v>14</v>
      </c>
      <c r="S19" s="706">
        <f>F19</f>
        <v>100</v>
      </c>
      <c r="T19" s="705" t="s">
        <v>14</v>
      </c>
      <c r="U19" s="706">
        <f>H19</f>
        <v>100</v>
      </c>
      <c r="V19" s="705" t="s">
        <v>14</v>
      </c>
      <c r="W19" s="706">
        <f>J19</f>
        <v>100</v>
      </c>
      <c r="X19" s="1353"/>
      <c r="Y19" s="369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93"/>
      <c r="Q20" s="1350"/>
      <c r="R20" s="705"/>
      <c r="S20" s="706"/>
      <c r="T20" s="705"/>
      <c r="U20" s="706"/>
      <c r="V20" s="705"/>
      <c r="W20" s="706"/>
      <c r="X20" s="1353"/>
      <c r="Y20" s="3693"/>
      <c r="Z20" s="1354"/>
      <c r="AA20" s="1351">
        <v>1</v>
      </c>
      <c r="AB20" s="1351">
        <v>1</v>
      </c>
      <c r="AC20" s="1351">
        <v>1</v>
      </c>
    </row>
    <row r="21" spans="1:29" ht="41.4">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0" t="str">
        <f>B21</f>
        <v>基础设施水平</v>
      </c>
      <c r="R21" s="705" t="s">
        <v>14</v>
      </c>
      <c r="S21" s="706">
        <f>F21</f>
        <v>100</v>
      </c>
      <c r="T21" s="705" t="s">
        <v>14</v>
      </c>
      <c r="U21" s="706">
        <f>H21</f>
        <v>100</v>
      </c>
      <c r="V21" s="705" t="s">
        <v>14</v>
      </c>
      <c r="W21" s="706">
        <f>J21</f>
        <v>100</v>
      </c>
      <c r="X21" s="1353"/>
      <c r="Y21" s="3693"/>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693"/>
      <c r="Q22" s="1350"/>
      <c r="R22" s="705"/>
      <c r="S22" s="706"/>
      <c r="T22" s="705"/>
      <c r="U22" s="706"/>
      <c r="V22" s="705"/>
      <c r="W22" s="706"/>
      <c r="X22" s="1353"/>
      <c r="Y22" s="3693"/>
      <c r="Z22" s="1354"/>
      <c r="AA22" s="1351">
        <v>1</v>
      </c>
      <c r="AB22" s="1351">
        <v>1</v>
      </c>
      <c r="AC22" s="1351">
        <v>1</v>
      </c>
    </row>
    <row r="23" spans="1:29" ht="82.8">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0" t="str">
        <f>B23</f>
        <v>环境质量</v>
      </c>
      <c r="R23" s="705" t="s">
        <v>14</v>
      </c>
      <c r="S23" s="706">
        <f>F23</f>
        <v>100</v>
      </c>
      <c r="T23" s="705" t="s">
        <v>14</v>
      </c>
      <c r="U23" s="706">
        <f>H23</f>
        <v>100</v>
      </c>
      <c r="V23" s="705" t="s">
        <v>14</v>
      </c>
      <c r="W23" s="706">
        <f>J23</f>
        <v>100</v>
      </c>
      <c r="X23" s="1353"/>
      <c r="Y23" s="3693"/>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693"/>
      <c r="Q24" s="1350"/>
      <c r="R24" s="705"/>
      <c r="S24" s="706"/>
      <c r="T24" s="705"/>
      <c r="U24" s="706"/>
      <c r="V24" s="705"/>
      <c r="W24" s="706"/>
      <c r="X24" s="1353"/>
      <c r="Y24" s="3693"/>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0">
        <f>B25</f>
        <v>111</v>
      </c>
      <c r="R25" s="705" t="s">
        <v>14</v>
      </c>
      <c r="S25" s="706">
        <f>F25</f>
        <v>100</v>
      </c>
      <c r="T25" s="705" t="s">
        <v>14</v>
      </c>
      <c r="U25" s="706">
        <f>H25</f>
        <v>100</v>
      </c>
      <c r="V25" s="705" t="s">
        <v>14</v>
      </c>
      <c r="W25" s="706">
        <f>J25</f>
        <v>100</v>
      </c>
      <c r="X25" s="1353"/>
      <c r="Y25" s="3693"/>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0">
        <f t="shared" ref="Q26:Q40" si="11">B26</f>
        <v>111</v>
      </c>
      <c r="R26" s="705" t="s">
        <v>14</v>
      </c>
      <c r="S26" s="706">
        <f>F26</f>
        <v>100</v>
      </c>
      <c r="T26" s="705" t="s">
        <v>14</v>
      </c>
      <c r="U26" s="706">
        <f>H26</f>
        <v>100</v>
      </c>
      <c r="V26" s="705" t="s">
        <v>14</v>
      </c>
      <c r="W26" s="706">
        <f>J26</f>
        <v>100</v>
      </c>
      <c r="X26" s="1353"/>
      <c r="Y26" s="3693"/>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1">
        <f t="shared" si="11"/>
        <v>111</v>
      </c>
      <c r="R27" s="701" t="s">
        <v>14</v>
      </c>
      <c r="S27" s="702">
        <f>F27</f>
        <v>100</v>
      </c>
      <c r="T27" s="701" t="s">
        <v>14</v>
      </c>
      <c r="U27" s="702">
        <f>H27</f>
        <v>100</v>
      </c>
      <c r="V27" s="701" t="s">
        <v>14</v>
      </c>
      <c r="W27" s="702">
        <f>J27</f>
        <v>100</v>
      </c>
      <c r="X27" s="703"/>
      <c r="Y27" s="3693"/>
      <c r="Z27" s="52">
        <f>Q27</f>
        <v>111</v>
      </c>
      <c r="AA27" s="1351">
        <f>D27/F27</f>
        <v>1</v>
      </c>
      <c r="AB27" s="1351">
        <f>D27/H27</f>
        <v>1</v>
      </c>
      <c r="AC27" s="1351">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0">
        <f t="shared" si="11"/>
        <v>111</v>
      </c>
      <c r="R28" s="705" t="s">
        <v>14</v>
      </c>
      <c r="S28" s="706">
        <f t="shared" ref="S28:S40" si="12">F28</f>
        <v>100</v>
      </c>
      <c r="T28" s="705" t="s">
        <v>14</v>
      </c>
      <c r="U28" s="706">
        <f t="shared" ref="U28:U40" si="13">H28</f>
        <v>100</v>
      </c>
      <c r="V28" s="705" t="s">
        <v>14</v>
      </c>
      <c r="W28" s="706">
        <f t="shared" ref="W28:W40" si="14">J28</f>
        <v>100</v>
      </c>
      <c r="X28" s="1353"/>
      <c r="Y28" s="3693"/>
      <c r="Z28" s="1354">
        <f t="shared" ref="Z28:Z40" si="15">Q28</f>
        <v>111</v>
      </c>
      <c r="AA28" s="1351">
        <f t="shared" si="3"/>
        <v>1</v>
      </c>
      <c r="AB28" s="1351">
        <f t="shared" si="4"/>
        <v>1</v>
      </c>
      <c r="AC28" s="1351">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1" t="s">
        <v>1696</v>
      </c>
      <c r="Q29" s="1350" t="str">
        <f t="shared" si="11"/>
        <v>建筑类型</v>
      </c>
      <c r="R29" s="705" t="s">
        <v>14</v>
      </c>
      <c r="S29" s="706">
        <f t="shared" si="12"/>
        <v>100</v>
      </c>
      <c r="T29" s="705" t="s">
        <v>14</v>
      </c>
      <c r="U29" s="706">
        <f t="shared" si="13"/>
        <v>100</v>
      </c>
      <c r="V29" s="705" t="s">
        <v>14</v>
      </c>
      <c r="W29" s="706">
        <f t="shared" si="14"/>
        <v>100</v>
      </c>
      <c r="X29" s="1353"/>
      <c r="Y29" s="3697"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0" t="str">
        <f t="shared" si="11"/>
        <v>建筑结构</v>
      </c>
      <c r="R31" s="705" t="s">
        <v>14</v>
      </c>
      <c r="S31" s="706">
        <f t="shared" si="12"/>
        <v>100</v>
      </c>
      <c r="T31" s="705" t="s">
        <v>14</v>
      </c>
      <c r="U31" s="706">
        <f t="shared" si="13"/>
        <v>100</v>
      </c>
      <c r="V31" s="705" t="s">
        <v>14</v>
      </c>
      <c r="W31" s="706">
        <f t="shared" si="14"/>
        <v>100</v>
      </c>
      <c r="X31" s="1353"/>
      <c r="Y31" s="3697"/>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0" t="str">
        <f t="shared" si="11"/>
        <v>公共部分装修</v>
      </c>
      <c r="R32" s="705" t="s">
        <v>14</v>
      </c>
      <c r="S32" s="706">
        <f t="shared" si="12"/>
        <v>100</v>
      </c>
      <c r="T32" s="705" t="s">
        <v>14</v>
      </c>
      <c r="U32" s="706">
        <f t="shared" si="13"/>
        <v>100</v>
      </c>
      <c r="V32" s="705" t="s">
        <v>14</v>
      </c>
      <c r="W32" s="706">
        <f t="shared" si="14"/>
        <v>100</v>
      </c>
      <c r="X32" s="1353"/>
      <c r="Y32" s="3697"/>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0" t="str">
        <f t="shared" si="11"/>
        <v>成新度</v>
      </c>
      <c r="R33" s="705" t="s">
        <v>14</v>
      </c>
      <c r="S33" s="706" t="e">
        <f t="shared" si="12"/>
        <v>#N/A</v>
      </c>
      <c r="T33" s="705" t="s">
        <v>14</v>
      </c>
      <c r="U33" s="706" t="e">
        <f t="shared" si="13"/>
        <v>#N/A</v>
      </c>
      <c r="V33" s="705" t="s">
        <v>14</v>
      </c>
      <c r="W33" s="706" t="e">
        <f t="shared" si="14"/>
        <v>#N/A</v>
      </c>
      <c r="X33" s="1353"/>
      <c r="Y33" s="3697"/>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1"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1696</v>
      </c>
      <c r="Q35" s="1350" t="str">
        <f t="shared" si="11"/>
        <v>市政基础设施</v>
      </c>
      <c r="R35" s="705" t="s">
        <v>14</v>
      </c>
      <c r="S35" s="706">
        <f t="shared" si="12"/>
        <v>100</v>
      </c>
      <c r="T35" s="705" t="s">
        <v>14</v>
      </c>
      <c r="U35" s="706">
        <f t="shared" si="13"/>
        <v>100</v>
      </c>
      <c r="V35" s="705" t="s">
        <v>14</v>
      </c>
      <c r="W35" s="706">
        <f t="shared" si="14"/>
        <v>100</v>
      </c>
      <c r="X35" s="1353"/>
      <c r="Y35" s="3697"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0" t="str">
        <f t="shared" si="11"/>
        <v>内部装修</v>
      </c>
      <c r="R36" s="705" t="s">
        <v>14</v>
      </c>
      <c r="S36" s="706">
        <f t="shared" si="12"/>
        <v>100</v>
      </c>
      <c r="T36" s="705" t="s">
        <v>14</v>
      </c>
      <c r="U36" s="706">
        <f t="shared" si="13"/>
        <v>100</v>
      </c>
      <c r="V36" s="705" t="s">
        <v>14</v>
      </c>
      <c r="W36" s="706">
        <f t="shared" si="14"/>
        <v>100</v>
      </c>
      <c r="X36" s="1353"/>
      <c r="Y36" s="3697"/>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0" t="str">
        <f t="shared" si="11"/>
        <v>内部装修状况</v>
      </c>
      <c r="R37" s="705" t="s">
        <v>14</v>
      </c>
      <c r="S37" s="706">
        <f t="shared" si="12"/>
        <v>100</v>
      </c>
      <c r="T37" s="705" t="s">
        <v>14</v>
      </c>
      <c r="U37" s="706">
        <f t="shared" si="13"/>
        <v>100</v>
      </c>
      <c r="V37" s="705" t="s">
        <v>14</v>
      </c>
      <c r="W37" s="706">
        <f t="shared" si="14"/>
        <v>100</v>
      </c>
      <c r="X37" s="1353"/>
      <c r="Y37" s="3697"/>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0">
        <f t="shared" si="11"/>
        <v>111</v>
      </c>
      <c r="R39" s="705" t="s">
        <v>14</v>
      </c>
      <c r="S39" s="706">
        <f t="shared" si="12"/>
        <v>100</v>
      </c>
      <c r="T39" s="705" t="s">
        <v>14</v>
      </c>
      <c r="U39" s="706">
        <f t="shared" si="13"/>
        <v>100</v>
      </c>
      <c r="V39" s="705" t="s">
        <v>14</v>
      </c>
      <c r="W39" s="706">
        <f t="shared" si="14"/>
        <v>100</v>
      </c>
      <c r="X39" s="1353"/>
      <c r="Y39" s="3697"/>
      <c r="Z39" s="1354">
        <f t="shared" si="15"/>
        <v>111</v>
      </c>
      <c r="AA39" s="1351">
        <f t="shared" si="3"/>
        <v>1</v>
      </c>
      <c r="AB39" s="1351">
        <f t="shared" si="4"/>
        <v>1</v>
      </c>
      <c r="AC39" s="1351">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0">
        <f t="shared" si="11"/>
        <v>111</v>
      </c>
      <c r="R40" s="705" t="s">
        <v>14</v>
      </c>
      <c r="S40" s="706">
        <f t="shared" si="12"/>
        <v>100</v>
      </c>
      <c r="T40" s="705" t="s">
        <v>14</v>
      </c>
      <c r="U40" s="706">
        <f t="shared" si="13"/>
        <v>100</v>
      </c>
      <c r="V40" s="705" t="s">
        <v>14</v>
      </c>
      <c r="W40" s="706">
        <f t="shared" si="14"/>
        <v>100</v>
      </c>
      <c r="X40" s="1353"/>
      <c r="Y40" s="3698"/>
      <c r="Z40" s="1354">
        <f t="shared" si="15"/>
        <v>111</v>
      </c>
      <c r="AA40" s="1351">
        <f t="shared" si="3"/>
        <v>1</v>
      </c>
      <c r="AB40" s="1351">
        <f t="shared" si="4"/>
        <v>1</v>
      </c>
      <c r="AC40" s="1351">
        <f t="shared" si="5"/>
        <v>1</v>
      </c>
    </row>
    <row r="41" spans="1:29" ht="14.4">
      <c r="A41" s="430" t="s">
        <v>1708</v>
      </c>
      <c r="B41" s="431"/>
      <c r="C41" s="1153" t="s">
        <v>0</v>
      </c>
      <c r="D41" s="1154"/>
      <c r="E41" s="1155"/>
      <c r="F41" s="1156"/>
      <c r="G41" s="1157"/>
      <c r="H41" s="1158"/>
      <c r="I41" s="1155"/>
      <c r="J41" s="1158"/>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 thickBot="1">
      <c r="A42" s="437" t="s">
        <v>1793</v>
      </c>
      <c r="B42" s="438"/>
      <c r="C42" s="1159" t="e">
        <f>R43</f>
        <v>#DIV/0!</v>
      </c>
      <c r="D42" s="2315" t="s">
        <v>2133</v>
      </c>
      <c r="E42" s="1160" t="e">
        <f>R42</f>
        <v>#DIV/0!</v>
      </c>
      <c r="F42" s="2316"/>
      <c r="G42" s="1159" t="e">
        <f>T42</f>
        <v>#DIV/0!</v>
      </c>
      <c r="H42" s="2316"/>
      <c r="I42" s="1160" t="e">
        <f>V42</f>
        <v>#DIV/0!</v>
      </c>
      <c r="J42" s="2316"/>
      <c r="K42" s="2318">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 thickBot="1">
      <c r="A43" s="441" t="s">
        <v>1794</v>
      </c>
      <c r="B43" s="442"/>
      <c r="C43" s="1162" t="e">
        <f>R43</f>
        <v>#DIV/0!</v>
      </c>
      <c r="D43" s="1162"/>
      <c r="E43" s="1162"/>
      <c r="F43" s="1162"/>
      <c r="G43" s="1162"/>
      <c r="H43" s="1162"/>
      <c r="I43" s="1162"/>
      <c r="J43" s="1162"/>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3332</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4.4">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3" t="s">
        <v>1771</v>
      </c>
      <c r="S4" s="3664"/>
      <c r="T4" s="3663" t="s">
        <v>1772</v>
      </c>
      <c r="U4" s="3664"/>
      <c r="V4" s="3660" t="s">
        <v>1773</v>
      </c>
      <c r="W4" s="3660"/>
      <c r="X4" s="1353"/>
      <c r="Y4" s="3663" t="s">
        <v>1775</v>
      </c>
      <c r="Z4" s="3664"/>
      <c r="AA4" s="3657" t="s">
        <v>1771</v>
      </c>
      <c r="AB4" s="3658" t="s">
        <v>1772</v>
      </c>
      <c r="AC4" s="3657" t="s">
        <v>1773</v>
      </c>
    </row>
    <row r="5" spans="1:29">
      <c r="A5" s="358"/>
      <c r="B5" s="359"/>
      <c r="C5" s="3673" t="s">
        <v>1673</v>
      </c>
      <c r="D5" s="3670"/>
      <c r="E5" s="3725" t="s">
        <v>1674</v>
      </c>
      <c r="F5" s="3668"/>
      <c r="G5" s="3673" t="s">
        <v>1675</v>
      </c>
      <c r="H5" s="3670"/>
      <c r="I5" s="3673" t="s">
        <v>1676</v>
      </c>
      <c r="J5" s="3670"/>
      <c r="K5" s="559"/>
      <c r="L5" s="2713"/>
      <c r="M5" s="2714"/>
      <c r="N5" s="2714"/>
      <c r="O5" s="2714"/>
      <c r="P5" s="3683"/>
      <c r="Q5" s="3684"/>
      <c r="R5" s="3665"/>
      <c r="S5" s="3666"/>
      <c r="T5" s="3665"/>
      <c r="U5" s="3666"/>
      <c r="V5" s="3660"/>
      <c r="W5" s="3660"/>
      <c r="X5" s="1353"/>
      <c r="Y5" s="3665"/>
      <c r="Z5" s="3666"/>
      <c r="AA5" s="3658"/>
      <c r="AB5" s="3658"/>
      <c r="AC5" s="3658"/>
    </row>
    <row r="6" spans="1:29" ht="15" thickBot="1">
      <c r="A6" s="360"/>
      <c r="B6" s="361"/>
      <c r="C6" s="3671" t="s">
        <v>1677</v>
      </c>
      <c r="D6" s="3672"/>
      <c r="E6" s="3674" t="s">
        <v>1677</v>
      </c>
      <c r="F6" s="3675"/>
      <c r="G6" s="3671" t="s">
        <v>1677</v>
      </c>
      <c r="H6" s="3672"/>
      <c r="I6" s="3671" t="s">
        <v>1677</v>
      </c>
      <c r="J6" s="3672"/>
      <c r="K6" s="559" t="s">
        <v>1678</v>
      </c>
      <c r="L6" s="2713"/>
      <c r="M6" s="2714"/>
      <c r="N6" s="2714"/>
      <c r="O6" s="2714"/>
      <c r="P6" s="3685"/>
      <c r="Q6" s="3686"/>
      <c r="R6" s="3665"/>
      <c r="S6" s="3666"/>
      <c r="T6" s="3687"/>
      <c r="U6" s="3688"/>
      <c r="V6" s="3660"/>
      <c r="W6" s="3660"/>
      <c r="X6" s="1353"/>
      <c r="Y6" s="3687"/>
      <c r="Z6" s="3688"/>
      <c r="AA6" s="3659"/>
      <c r="AB6" s="3659"/>
      <c r="AC6" s="3659"/>
    </row>
    <row r="7" spans="1:29" s="108" customFormat="1" ht="15" thickBot="1">
      <c r="A7" s="362" t="s">
        <v>1679</v>
      </c>
      <c r="B7" s="363"/>
      <c r="C7" s="364">
        <f>'数据-取费表'!B2</f>
        <v>45322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1" t="s">
        <v>1683</v>
      </c>
      <c r="Q8" s="3662"/>
      <c r="R8" s="701" t="s">
        <v>14</v>
      </c>
      <c r="S8" s="702">
        <f t="shared" si="0"/>
        <v>100</v>
      </c>
      <c r="T8" s="701" t="s">
        <v>14</v>
      </c>
      <c r="U8" s="702">
        <f t="shared" si="1"/>
        <v>100</v>
      </c>
      <c r="V8" s="701" t="s">
        <v>14</v>
      </c>
      <c r="W8" s="702">
        <f t="shared" si="2"/>
        <v>100</v>
      </c>
      <c r="X8" s="703"/>
      <c r="Y8" s="3661" t="s">
        <v>1683</v>
      </c>
      <c r="Z8" s="366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1686</v>
      </c>
      <c r="Q9" s="1341"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1"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1">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1">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1">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2" t="s">
        <v>1691</v>
      </c>
      <c r="Q14" s="1350" t="str">
        <f t="shared" si="6"/>
        <v>交通便捷度</v>
      </c>
      <c r="R14" s="705" t="s">
        <v>14</v>
      </c>
      <c r="S14" s="706">
        <f t="shared" si="0"/>
        <v>100</v>
      </c>
      <c r="T14" s="705" t="s">
        <v>14</v>
      </c>
      <c r="U14" s="706">
        <f t="shared" si="1"/>
        <v>100</v>
      </c>
      <c r="V14" s="705" t="s">
        <v>14</v>
      </c>
      <c r="W14" s="706">
        <f t="shared" si="2"/>
        <v>100</v>
      </c>
      <c r="X14" s="1353"/>
      <c r="Y14" s="3692"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3"/>
      <c r="Q15" s="1350"/>
      <c r="R15" s="705"/>
      <c r="S15" s="706"/>
      <c r="T15" s="705"/>
      <c r="U15" s="706"/>
      <c r="V15" s="705"/>
      <c r="W15" s="706"/>
      <c r="X15" s="1353"/>
      <c r="Y15" s="3693"/>
      <c r="Z15" s="1354"/>
      <c r="AA15" s="1351">
        <v>1</v>
      </c>
      <c r="AB15" s="1351">
        <v>1</v>
      </c>
      <c r="AC15" s="1351">
        <v>1</v>
      </c>
    </row>
    <row r="16" spans="1:29" ht="41.4">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3"/>
      <c r="Q16" s="1350" t="str">
        <f>B16</f>
        <v>公共配套设施</v>
      </c>
      <c r="R16" s="705" t="s">
        <v>14</v>
      </c>
      <c r="S16" s="706">
        <f>F16</f>
        <v>100</v>
      </c>
      <c r="T16" s="705" t="s">
        <v>14</v>
      </c>
      <c r="U16" s="706">
        <f>H16</f>
        <v>100</v>
      </c>
      <c r="V16" s="705" t="s">
        <v>14</v>
      </c>
      <c r="W16" s="706">
        <f>J16</f>
        <v>100</v>
      </c>
      <c r="X16" s="1353"/>
      <c r="Y16" s="3693"/>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3"/>
      <c r="Q17" s="1350"/>
      <c r="R17" s="705"/>
      <c r="S17" s="706"/>
      <c r="T17" s="705"/>
      <c r="U17" s="706"/>
      <c r="V17" s="705"/>
      <c r="W17" s="706"/>
      <c r="X17" s="1353"/>
      <c r="Y17" s="3693"/>
      <c r="Z17" s="1354"/>
      <c r="AA17" s="1351">
        <v>1</v>
      </c>
      <c r="AB17" s="1351">
        <v>1</v>
      </c>
      <c r="AC17" s="1351">
        <v>1</v>
      </c>
    </row>
    <row r="18" spans="1:29" ht="41.4">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3"/>
      <c r="Q18" s="1350" t="str">
        <f>B18</f>
        <v>基础设施水平</v>
      </c>
      <c r="R18" s="705" t="s">
        <v>14</v>
      </c>
      <c r="S18" s="706">
        <f>F18</f>
        <v>100</v>
      </c>
      <c r="T18" s="705" t="s">
        <v>14</v>
      </c>
      <c r="U18" s="706">
        <f>H18</f>
        <v>100</v>
      </c>
      <c r="V18" s="705" t="s">
        <v>14</v>
      </c>
      <c r="W18" s="706">
        <f>J18</f>
        <v>100</v>
      </c>
      <c r="X18" s="1353"/>
      <c r="Y18" s="3693"/>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693"/>
      <c r="Q19" s="1350"/>
      <c r="R19" s="705"/>
      <c r="S19" s="706"/>
      <c r="T19" s="705"/>
      <c r="U19" s="706"/>
      <c r="V19" s="705"/>
      <c r="W19" s="706"/>
      <c r="X19" s="1353"/>
      <c r="Y19" s="3693"/>
      <c r="Z19" s="1354"/>
      <c r="AA19" s="1351">
        <v>1</v>
      </c>
      <c r="AB19" s="1351">
        <v>1</v>
      </c>
      <c r="AC19" s="1351">
        <v>1</v>
      </c>
    </row>
    <row r="20" spans="1:29" ht="55.2">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3"/>
      <c r="Q20" s="1350" t="str">
        <f>B20</f>
        <v>自然及人文环境</v>
      </c>
      <c r="R20" s="705" t="s">
        <v>14</v>
      </c>
      <c r="S20" s="706">
        <f>F20</f>
        <v>100</v>
      </c>
      <c r="T20" s="705" t="s">
        <v>14</v>
      </c>
      <c r="U20" s="706">
        <f>H20</f>
        <v>100</v>
      </c>
      <c r="V20" s="705" t="s">
        <v>14</v>
      </c>
      <c r="W20" s="706">
        <f>J20</f>
        <v>100</v>
      </c>
      <c r="X20" s="1353"/>
      <c r="Y20" s="3693"/>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3"/>
      <c r="Q21" s="1350"/>
      <c r="R21" s="705"/>
      <c r="S21" s="706"/>
      <c r="T21" s="705"/>
      <c r="U21" s="706"/>
      <c r="V21" s="705"/>
      <c r="W21" s="706"/>
      <c r="X21" s="1353"/>
      <c r="Y21" s="3693"/>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3"/>
      <c r="Q22" s="1350" t="str">
        <f>B22</f>
        <v>楼层</v>
      </c>
      <c r="R22" s="705" t="s">
        <v>14</v>
      </c>
      <c r="S22" s="706">
        <f>F22</f>
        <v>100</v>
      </c>
      <c r="T22" s="705" t="s">
        <v>14</v>
      </c>
      <c r="U22" s="706">
        <f>H22</f>
        <v>100</v>
      </c>
      <c r="V22" s="705" t="s">
        <v>14</v>
      </c>
      <c r="W22" s="706">
        <f>J22</f>
        <v>100</v>
      </c>
      <c r="X22" s="1353"/>
      <c r="Y22" s="3693"/>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3"/>
      <c r="Q23" s="1350">
        <f>B23</f>
        <v>111</v>
      </c>
      <c r="R23" s="705" t="s">
        <v>14</v>
      </c>
      <c r="S23" s="706">
        <f>F23</f>
        <v>100</v>
      </c>
      <c r="T23" s="705" t="s">
        <v>14</v>
      </c>
      <c r="U23" s="706">
        <f>H23</f>
        <v>100</v>
      </c>
      <c r="V23" s="705" t="s">
        <v>14</v>
      </c>
      <c r="W23" s="706">
        <f>J23</f>
        <v>100</v>
      </c>
      <c r="X23" s="1353"/>
      <c r="Y23" s="3693"/>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3"/>
      <c r="Q24" s="1350">
        <f t="shared" ref="Q24:Q36" si="11">B24</f>
        <v>111</v>
      </c>
      <c r="R24" s="705" t="s">
        <v>14</v>
      </c>
      <c r="S24" s="706">
        <f>F24</f>
        <v>100</v>
      </c>
      <c r="T24" s="705" t="s">
        <v>14</v>
      </c>
      <c r="U24" s="706">
        <f>H24</f>
        <v>100</v>
      </c>
      <c r="V24" s="705" t="s">
        <v>14</v>
      </c>
      <c r="W24" s="706">
        <f>J24</f>
        <v>100</v>
      </c>
      <c r="X24" s="1353"/>
      <c r="Y24" s="3693"/>
      <c r="Z24" s="1354">
        <f>Q24</f>
        <v>111</v>
      </c>
      <c r="AA24" s="1351">
        <f t="shared" si="3"/>
        <v>1</v>
      </c>
      <c r="AB24" s="1351">
        <f t="shared" si="4"/>
        <v>1</v>
      </c>
      <c r="AC24" s="1351">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3"/>
      <c r="Q25" s="1341">
        <f t="shared" si="11"/>
        <v>111</v>
      </c>
      <c r="R25" s="701" t="s">
        <v>14</v>
      </c>
      <c r="S25" s="702">
        <f>F25</f>
        <v>100</v>
      </c>
      <c r="T25" s="701" t="s">
        <v>14</v>
      </c>
      <c r="U25" s="702">
        <f>H25</f>
        <v>100</v>
      </c>
      <c r="V25" s="701" t="s">
        <v>14</v>
      </c>
      <c r="W25" s="702">
        <f>J25</f>
        <v>100</v>
      </c>
      <c r="X25" s="703"/>
      <c r="Y25" s="3693"/>
      <c r="Z25" s="52">
        <f>Q25</f>
        <v>111</v>
      </c>
      <c r="AA25" s="1351">
        <f>D25/F25</f>
        <v>1</v>
      </c>
      <c r="AB25" s="1351">
        <f>D25/H25</f>
        <v>1</v>
      </c>
      <c r="AC25" s="1351">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1"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97"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7"/>
      <c r="Q28" s="1350" t="str">
        <f t="shared" si="11"/>
        <v>公共部分装修</v>
      </c>
      <c r="R28" s="705" t="s">
        <v>14</v>
      </c>
      <c r="S28" s="706">
        <f t="shared" si="12"/>
        <v>100</v>
      </c>
      <c r="T28" s="705" t="s">
        <v>14</v>
      </c>
      <c r="U28" s="706">
        <f t="shared" si="13"/>
        <v>100</v>
      </c>
      <c r="V28" s="705" t="s">
        <v>14</v>
      </c>
      <c r="W28" s="706">
        <f t="shared" si="14"/>
        <v>100</v>
      </c>
      <c r="X28" s="1353"/>
      <c r="Y28" s="3697"/>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7"/>
      <c r="Q29" s="1350" t="str">
        <f t="shared" si="11"/>
        <v>成新率</v>
      </c>
      <c r="R29" s="705" t="s">
        <v>14</v>
      </c>
      <c r="S29" s="706" t="e">
        <f t="shared" si="12"/>
        <v>#N/A</v>
      </c>
      <c r="T29" s="705" t="s">
        <v>14</v>
      </c>
      <c r="U29" s="706" t="e">
        <f t="shared" si="13"/>
        <v>#N/A</v>
      </c>
      <c r="V29" s="705" t="s">
        <v>14</v>
      </c>
      <c r="W29" s="706" t="e">
        <f t="shared" si="14"/>
        <v>#N/A</v>
      </c>
      <c r="X29" s="1353"/>
      <c r="Y29" s="3697"/>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7"/>
      <c r="Q30" s="1350" t="str">
        <f t="shared" si="11"/>
        <v>物业等级</v>
      </c>
      <c r="R30" s="705" t="s">
        <v>14</v>
      </c>
      <c r="S30" s="706">
        <f t="shared" si="12"/>
        <v>100</v>
      </c>
      <c r="T30" s="705" t="s">
        <v>14</v>
      </c>
      <c r="U30" s="706">
        <f t="shared" si="13"/>
        <v>100</v>
      </c>
      <c r="V30" s="705" t="s">
        <v>14</v>
      </c>
      <c r="W30" s="706">
        <f t="shared" si="14"/>
        <v>100</v>
      </c>
      <c r="X30" s="1353"/>
      <c r="Y30" s="3697"/>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7"/>
      <c r="Q31" s="1341"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7" t="s">
        <v>1696</v>
      </c>
      <c r="Q32" s="1350" t="str">
        <f t="shared" si="11"/>
        <v>车位类型</v>
      </c>
      <c r="R32" s="705" t="s">
        <v>14</v>
      </c>
      <c r="S32" s="706">
        <f t="shared" si="12"/>
        <v>100</v>
      </c>
      <c r="T32" s="705" t="s">
        <v>14</v>
      </c>
      <c r="U32" s="706">
        <f t="shared" si="13"/>
        <v>100</v>
      </c>
      <c r="V32" s="705" t="s">
        <v>14</v>
      </c>
      <c r="W32" s="706">
        <f t="shared" si="14"/>
        <v>100</v>
      </c>
      <c r="X32" s="1353"/>
      <c r="Y32" s="3697"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7"/>
      <c r="Q33" s="1350" t="str">
        <f t="shared" si="11"/>
        <v>是否直接入户</v>
      </c>
      <c r="R33" s="705" t="s">
        <v>14</v>
      </c>
      <c r="S33" s="706">
        <f t="shared" si="12"/>
        <v>100</v>
      </c>
      <c r="T33" s="705" t="s">
        <v>14</v>
      </c>
      <c r="U33" s="706">
        <f t="shared" si="13"/>
        <v>100</v>
      </c>
      <c r="V33" s="705" t="s">
        <v>14</v>
      </c>
      <c r="W33" s="706">
        <f t="shared" si="14"/>
        <v>100</v>
      </c>
      <c r="X33" s="1353"/>
      <c r="Y33" s="3697"/>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7"/>
      <c r="Q34" s="1350">
        <f t="shared" si="11"/>
        <v>111</v>
      </c>
      <c r="R34" s="705" t="s">
        <v>14</v>
      </c>
      <c r="S34" s="706">
        <f t="shared" si="12"/>
        <v>100</v>
      </c>
      <c r="T34" s="705" t="s">
        <v>14</v>
      </c>
      <c r="U34" s="706">
        <f t="shared" si="13"/>
        <v>100</v>
      </c>
      <c r="V34" s="705" t="s">
        <v>14</v>
      </c>
      <c r="W34" s="706">
        <f t="shared" si="14"/>
        <v>100</v>
      </c>
      <c r="X34" s="1353"/>
      <c r="Y34" s="3697"/>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1">
        <f t="shared" si="3"/>
        <v>1</v>
      </c>
      <c r="AB35" s="1351">
        <f t="shared" si="4"/>
        <v>1</v>
      </c>
      <c r="AC35" s="1351">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7"/>
      <c r="Q36" s="1350">
        <f t="shared" si="11"/>
        <v>111</v>
      </c>
      <c r="R36" s="705" t="s">
        <v>14</v>
      </c>
      <c r="S36" s="706">
        <f t="shared" si="12"/>
        <v>100</v>
      </c>
      <c r="T36" s="705" t="s">
        <v>14</v>
      </c>
      <c r="U36" s="706">
        <f t="shared" si="13"/>
        <v>100</v>
      </c>
      <c r="V36" s="705" t="s">
        <v>14</v>
      </c>
      <c r="W36" s="706">
        <f t="shared" si="14"/>
        <v>100</v>
      </c>
      <c r="X36" s="1353"/>
      <c r="Y36" s="3697"/>
      <c r="Z36" s="1354">
        <f t="shared" si="15"/>
        <v>111</v>
      </c>
      <c r="AA36" s="1351">
        <f t="shared" si="3"/>
        <v>1</v>
      </c>
      <c r="AB36" s="1351">
        <f t="shared" si="4"/>
        <v>1</v>
      </c>
      <c r="AC36" s="1351">
        <f t="shared" si="5"/>
        <v>1</v>
      </c>
    </row>
    <row r="37" spans="1:29" ht="14.4">
      <c r="A37" s="430" t="s">
        <v>1844</v>
      </c>
      <c r="B37" s="1971" t="s">
        <v>3353</v>
      </c>
      <c r="C37" s="1153" t="s">
        <v>0</v>
      </c>
      <c r="D37" s="1154"/>
      <c r="E37" s="1155"/>
      <c r="F37" s="1156"/>
      <c r="G37" s="1157"/>
      <c r="H37" s="1158"/>
      <c r="I37" s="1155"/>
      <c r="J37" s="1158"/>
      <c r="K37" s="568"/>
      <c r="L37" s="2722"/>
      <c r="M37" s="2723"/>
      <c r="N37" s="2714"/>
      <c r="O37" s="2723"/>
      <c r="P37" s="3699" t="str">
        <f>A37</f>
        <v>成交单价</v>
      </c>
      <c r="Q37" s="3699"/>
      <c r="R37" s="3700">
        <f>E37</f>
        <v>0</v>
      </c>
      <c r="S37" s="3700"/>
      <c r="T37" s="3700">
        <f>G37</f>
        <v>0</v>
      </c>
      <c r="U37" s="3700"/>
      <c r="V37" s="3700">
        <f>I37</f>
        <v>0</v>
      </c>
      <c r="W37" s="3700"/>
      <c r="X37" s="690"/>
      <c r="Y37" s="712"/>
      <c r="Z37" s="690"/>
      <c r="AA37" s="690"/>
      <c r="AB37" s="690"/>
      <c r="AC37" s="690"/>
    </row>
    <row r="38" spans="1:29" ht="15" thickBot="1">
      <c r="A38" s="437" t="s">
        <v>1845</v>
      </c>
      <c r="B38" s="438" t="str">
        <f>B37</f>
        <v>元/平方米</v>
      </c>
      <c r="C38" s="1159" t="e">
        <f>R39</f>
        <v>#DIV/0!</v>
      </c>
      <c r="D38" s="2315" t="s">
        <v>2133</v>
      </c>
      <c r="E38" s="1160" t="e">
        <f>R38</f>
        <v>#DIV/0!</v>
      </c>
      <c r="F38" s="2316"/>
      <c r="G38" s="1159" t="e">
        <f>T38</f>
        <v>#DIV/0!</v>
      </c>
      <c r="H38" s="2316"/>
      <c r="I38" s="1160" t="e">
        <f>V38</f>
        <v>#DIV/0!</v>
      </c>
      <c r="J38" s="2316"/>
      <c r="K38" s="2318">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 thickBot="1">
      <c r="A39" s="441" t="s">
        <v>1846</v>
      </c>
      <c r="B39" s="442"/>
      <c r="C39" s="1162" t="e">
        <f>R39</f>
        <v>#DIV/0!</v>
      </c>
      <c r="D39" s="1162"/>
      <c r="E39" s="1162"/>
      <c r="F39" s="1162"/>
      <c r="G39" s="1162"/>
      <c r="H39" s="1162"/>
      <c r="I39" s="1162"/>
      <c r="J39" s="1162"/>
      <c r="K39" s="569"/>
      <c r="L39" s="2722"/>
      <c r="M39" s="2723"/>
      <c r="N39" s="2723"/>
      <c r="O39" s="2723"/>
      <c r="P39" s="3701" t="str">
        <f>A39</f>
        <v>估价对象XX用房的比较价值（楼面单价，元/平方米）</v>
      </c>
      <c r="Q39" s="3702"/>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7"/>
      <c r="Q48" s="2739"/>
      <c r="R48" s="2739"/>
      <c r="S48" s="2739"/>
      <c r="T48" s="2739"/>
      <c r="U48" s="2739"/>
      <c r="V48" s="2739"/>
      <c r="W48" s="2739"/>
      <c r="X48" s="2739"/>
      <c r="Y48" s="2739"/>
      <c r="Z48" s="2739"/>
      <c r="AA48" s="2739"/>
      <c r="AB48" s="2739"/>
      <c r="AC48" s="2739"/>
    </row>
    <row r="49" spans="1:29" s="108" customFormat="1">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3333</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3" t="s">
        <v>1771</v>
      </c>
      <c r="S4" s="3664"/>
      <c r="T4" s="3663" t="s">
        <v>1772</v>
      </c>
      <c r="U4" s="3664"/>
      <c r="V4" s="3660" t="s">
        <v>1773</v>
      </c>
      <c r="W4" s="3660"/>
      <c r="X4" s="1353"/>
      <c r="Y4" s="3663" t="s">
        <v>1775</v>
      </c>
      <c r="Z4" s="3664"/>
      <c r="AA4" s="3657" t="s">
        <v>1771</v>
      </c>
      <c r="AB4" s="3658" t="s">
        <v>1772</v>
      </c>
      <c r="AC4" s="3657" t="s">
        <v>1773</v>
      </c>
    </row>
    <row r="5" spans="1:29">
      <c r="A5" s="358"/>
      <c r="B5" s="359"/>
      <c r="C5" s="3673" t="s">
        <v>1673</v>
      </c>
      <c r="D5" s="3670"/>
      <c r="E5" s="3725" t="s">
        <v>1674</v>
      </c>
      <c r="F5" s="3668"/>
      <c r="G5" s="3673" t="s">
        <v>1675</v>
      </c>
      <c r="H5" s="3670"/>
      <c r="I5" s="3673" t="s">
        <v>1676</v>
      </c>
      <c r="J5" s="3670"/>
      <c r="K5" s="559"/>
      <c r="L5" s="2713"/>
      <c r="M5" s="2714"/>
      <c r="N5" s="2714"/>
      <c r="O5" s="2714"/>
      <c r="P5" s="3683"/>
      <c r="Q5" s="3684"/>
      <c r="R5" s="3665"/>
      <c r="S5" s="3666"/>
      <c r="T5" s="3665"/>
      <c r="U5" s="3666"/>
      <c r="V5" s="3660"/>
      <c r="W5" s="3660"/>
      <c r="X5" s="1353"/>
      <c r="Y5" s="3665"/>
      <c r="Z5" s="3666"/>
      <c r="AA5" s="3658"/>
      <c r="AB5" s="3658"/>
      <c r="AC5" s="3658"/>
    </row>
    <row r="6" spans="1:29" ht="15" thickBot="1">
      <c r="A6" s="360"/>
      <c r="B6" s="361"/>
      <c r="C6" s="3671" t="s">
        <v>1677</v>
      </c>
      <c r="D6" s="3672"/>
      <c r="E6" s="3674" t="s">
        <v>1677</v>
      </c>
      <c r="F6" s="3675"/>
      <c r="G6" s="3671" t="s">
        <v>1677</v>
      </c>
      <c r="H6" s="3672"/>
      <c r="I6" s="3671" t="s">
        <v>1677</v>
      </c>
      <c r="J6" s="3672"/>
      <c r="K6" s="559" t="s">
        <v>1678</v>
      </c>
      <c r="L6" s="2713"/>
      <c r="M6" s="2714"/>
      <c r="N6" s="2714"/>
      <c r="O6" s="2714"/>
      <c r="P6" s="3685"/>
      <c r="Q6" s="3686"/>
      <c r="R6" s="3665"/>
      <c r="S6" s="3666"/>
      <c r="T6" s="3687"/>
      <c r="U6" s="3688"/>
      <c r="V6" s="3660"/>
      <c r="W6" s="3660"/>
      <c r="X6" s="1353"/>
      <c r="Y6" s="3687"/>
      <c r="Z6" s="3688"/>
      <c r="AA6" s="3659"/>
      <c r="AB6" s="3659"/>
      <c r="AC6" s="3659"/>
    </row>
    <row r="7" spans="1:29" s="108" customFormat="1" ht="15" thickBot="1">
      <c r="A7" s="362" t="s">
        <v>1679</v>
      </c>
      <c r="B7" s="363"/>
      <c r="C7" s="364">
        <f>'数据-取费表'!B2</f>
        <v>45322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1" t="s">
        <v>1683</v>
      </c>
      <c r="Q8" s="3662"/>
      <c r="R8" s="701" t="s">
        <v>14</v>
      </c>
      <c r="S8" s="702">
        <f t="shared" si="0"/>
        <v>100</v>
      </c>
      <c r="T8" s="701" t="s">
        <v>14</v>
      </c>
      <c r="U8" s="702">
        <f t="shared" si="1"/>
        <v>100</v>
      </c>
      <c r="V8" s="701" t="s">
        <v>14</v>
      </c>
      <c r="W8" s="702">
        <f t="shared" si="2"/>
        <v>100</v>
      </c>
      <c r="X8" s="703"/>
      <c r="Y8" s="3661" t="s">
        <v>1683</v>
      </c>
      <c r="Z8" s="366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1686</v>
      </c>
      <c r="Q9" s="1341"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1"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1">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1">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9"/>
      <c r="Q13" s="1341">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2" t="s">
        <v>1691</v>
      </c>
      <c r="Q14" s="1350" t="str">
        <f t="shared" si="6"/>
        <v>交通便捷度</v>
      </c>
      <c r="R14" s="705" t="s">
        <v>14</v>
      </c>
      <c r="S14" s="706">
        <f t="shared" si="0"/>
        <v>100</v>
      </c>
      <c r="T14" s="705" t="s">
        <v>14</v>
      </c>
      <c r="U14" s="706">
        <f t="shared" si="1"/>
        <v>100</v>
      </c>
      <c r="V14" s="705" t="s">
        <v>14</v>
      </c>
      <c r="W14" s="706">
        <f t="shared" si="2"/>
        <v>100</v>
      </c>
      <c r="X14" s="1353"/>
      <c r="Y14" s="3692"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3"/>
      <c r="Q15" s="1350"/>
      <c r="R15" s="705"/>
      <c r="S15" s="706"/>
      <c r="T15" s="705"/>
      <c r="U15" s="706"/>
      <c r="V15" s="705"/>
      <c r="W15" s="706"/>
      <c r="X15" s="1353"/>
      <c r="Y15" s="3693"/>
      <c r="Z15" s="1354"/>
      <c r="AA15" s="1351">
        <v>1</v>
      </c>
      <c r="AB15" s="1351">
        <v>1</v>
      </c>
      <c r="AC15" s="1351">
        <v>1</v>
      </c>
    </row>
    <row r="16" spans="1:29" ht="41.4">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3"/>
      <c r="Q16" s="1350" t="str">
        <f>B16</f>
        <v>公共配套设施</v>
      </c>
      <c r="R16" s="705" t="s">
        <v>14</v>
      </c>
      <c r="S16" s="706">
        <f>F16</f>
        <v>100</v>
      </c>
      <c r="T16" s="705" t="s">
        <v>14</v>
      </c>
      <c r="U16" s="706">
        <f>H16</f>
        <v>100</v>
      </c>
      <c r="V16" s="705" t="s">
        <v>14</v>
      </c>
      <c r="W16" s="706">
        <f>J16</f>
        <v>100</v>
      </c>
      <c r="X16" s="1353"/>
      <c r="Y16" s="3693"/>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3"/>
      <c r="Q17" s="1350"/>
      <c r="R17" s="705"/>
      <c r="S17" s="706"/>
      <c r="T17" s="705"/>
      <c r="U17" s="706"/>
      <c r="V17" s="705"/>
      <c r="W17" s="706"/>
      <c r="X17" s="1353"/>
      <c r="Y17" s="3693"/>
      <c r="Z17" s="1354"/>
      <c r="AA17" s="1351">
        <v>1</v>
      </c>
      <c r="AB17" s="1351">
        <v>1</v>
      </c>
      <c r="AC17" s="1351">
        <v>1</v>
      </c>
    </row>
    <row r="18" spans="1:29" ht="41.4">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3"/>
      <c r="Q18" s="1350" t="str">
        <f>B18</f>
        <v>基础设施水平</v>
      </c>
      <c r="R18" s="705" t="s">
        <v>14</v>
      </c>
      <c r="S18" s="706">
        <f>F18</f>
        <v>100</v>
      </c>
      <c r="T18" s="705" t="s">
        <v>14</v>
      </c>
      <c r="U18" s="706">
        <f>H18</f>
        <v>100</v>
      </c>
      <c r="V18" s="705" t="s">
        <v>14</v>
      </c>
      <c r="W18" s="706">
        <f>J18</f>
        <v>100</v>
      </c>
      <c r="X18" s="1353"/>
      <c r="Y18" s="3693"/>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93"/>
      <c r="Q19" s="1350"/>
      <c r="R19" s="705"/>
      <c r="S19" s="706"/>
      <c r="T19" s="705"/>
      <c r="U19" s="706"/>
      <c r="V19" s="705"/>
      <c r="W19" s="706"/>
      <c r="X19" s="1353"/>
      <c r="Y19" s="3693"/>
      <c r="Z19" s="1354"/>
      <c r="AA19" s="1351">
        <v>1</v>
      </c>
      <c r="AB19" s="1351">
        <v>1</v>
      </c>
      <c r="AC19" s="1351">
        <v>1</v>
      </c>
    </row>
    <row r="20" spans="1:29" ht="55.2">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3"/>
      <c r="Q20" s="1350" t="str">
        <f>B20</f>
        <v>自然及人文环境</v>
      </c>
      <c r="R20" s="705" t="s">
        <v>14</v>
      </c>
      <c r="S20" s="706">
        <f>F20</f>
        <v>100</v>
      </c>
      <c r="T20" s="705" t="s">
        <v>14</v>
      </c>
      <c r="U20" s="706">
        <f>H20</f>
        <v>100</v>
      </c>
      <c r="V20" s="705" t="s">
        <v>14</v>
      </c>
      <c r="W20" s="706">
        <f>J20</f>
        <v>100</v>
      </c>
      <c r="X20" s="1353"/>
      <c r="Y20" s="3693"/>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3"/>
      <c r="Q21" s="1350"/>
      <c r="R21" s="705"/>
      <c r="S21" s="706"/>
      <c r="T21" s="705"/>
      <c r="U21" s="706"/>
      <c r="V21" s="705"/>
      <c r="W21" s="706"/>
      <c r="X21" s="1353"/>
      <c r="Y21" s="3693"/>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3"/>
      <c r="Q22" s="1350" t="str">
        <f>B22</f>
        <v>楼层</v>
      </c>
      <c r="R22" s="705" t="s">
        <v>14</v>
      </c>
      <c r="S22" s="706">
        <f>F22</f>
        <v>100</v>
      </c>
      <c r="T22" s="705" t="s">
        <v>14</v>
      </c>
      <c r="U22" s="706">
        <f>H22</f>
        <v>100</v>
      </c>
      <c r="V22" s="705" t="s">
        <v>14</v>
      </c>
      <c r="W22" s="706">
        <f>J22</f>
        <v>100</v>
      </c>
      <c r="X22" s="1353"/>
      <c r="Y22" s="3693"/>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3"/>
      <c r="Q23" s="1350">
        <f>B23</f>
        <v>111</v>
      </c>
      <c r="R23" s="705" t="s">
        <v>14</v>
      </c>
      <c r="S23" s="706">
        <f>F23</f>
        <v>100</v>
      </c>
      <c r="T23" s="705" t="s">
        <v>14</v>
      </c>
      <c r="U23" s="706">
        <f>H23</f>
        <v>100</v>
      </c>
      <c r="V23" s="705" t="s">
        <v>14</v>
      </c>
      <c r="W23" s="706">
        <f>J23</f>
        <v>100</v>
      </c>
      <c r="X23" s="1353"/>
      <c r="Y23" s="3693"/>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3"/>
      <c r="Q24" s="1350">
        <f t="shared" ref="Q24:Q34" si="11">B24</f>
        <v>111</v>
      </c>
      <c r="R24" s="705" t="s">
        <v>14</v>
      </c>
      <c r="S24" s="706">
        <f>F24</f>
        <v>100</v>
      </c>
      <c r="T24" s="705" t="s">
        <v>14</v>
      </c>
      <c r="U24" s="706">
        <f>H24</f>
        <v>100</v>
      </c>
      <c r="V24" s="705" t="s">
        <v>14</v>
      </c>
      <c r="W24" s="706">
        <f>J24</f>
        <v>100</v>
      </c>
      <c r="X24" s="1353"/>
      <c r="Y24" s="3693"/>
      <c r="Z24" s="1354">
        <f>Q24</f>
        <v>111</v>
      </c>
      <c r="AA24" s="1351">
        <f t="shared" si="3"/>
        <v>1</v>
      </c>
      <c r="AB24" s="1351">
        <f t="shared" si="4"/>
        <v>1</v>
      </c>
      <c r="AC24" s="1351">
        <f t="shared" si="5"/>
        <v>1</v>
      </c>
    </row>
    <row r="25" spans="1:29" s="108" customFormat="1" ht="15.6"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3"/>
      <c r="Q25" s="1341">
        <f t="shared" si="11"/>
        <v>111</v>
      </c>
      <c r="R25" s="701" t="s">
        <v>14</v>
      </c>
      <c r="S25" s="702">
        <f>F25</f>
        <v>100</v>
      </c>
      <c r="T25" s="701" t="s">
        <v>14</v>
      </c>
      <c r="U25" s="702">
        <f>H25</f>
        <v>100</v>
      </c>
      <c r="V25" s="701" t="s">
        <v>14</v>
      </c>
      <c r="W25" s="702">
        <f>J25</f>
        <v>100</v>
      </c>
      <c r="X25" s="703"/>
      <c r="Y25" s="3693"/>
      <c r="Z25" s="52">
        <f>Q25</f>
        <v>111</v>
      </c>
      <c r="AA25" s="1351">
        <f>D25/F25</f>
        <v>1</v>
      </c>
      <c r="AB25" s="1351">
        <f>D25/H25</f>
        <v>1</v>
      </c>
      <c r="AC25" s="1351">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1"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97"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7"/>
      <c r="Q28" s="1350" t="str">
        <f t="shared" si="11"/>
        <v>物业等级</v>
      </c>
      <c r="R28" s="705" t="s">
        <v>14</v>
      </c>
      <c r="S28" s="706">
        <f t="shared" si="12"/>
        <v>100</v>
      </c>
      <c r="T28" s="705" t="s">
        <v>14</v>
      </c>
      <c r="U28" s="706">
        <f t="shared" si="13"/>
        <v>100</v>
      </c>
      <c r="V28" s="705" t="s">
        <v>14</v>
      </c>
      <c r="W28" s="706">
        <f t="shared" si="14"/>
        <v>100</v>
      </c>
      <c r="X28" s="1353"/>
      <c r="Y28" s="3697"/>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7"/>
      <c r="Q29" s="1350" t="str">
        <f t="shared" si="11"/>
        <v>有无电梯</v>
      </c>
      <c r="R29" s="705" t="s">
        <v>14</v>
      </c>
      <c r="S29" s="706">
        <f t="shared" si="12"/>
        <v>100</v>
      </c>
      <c r="T29" s="705" t="s">
        <v>14</v>
      </c>
      <c r="U29" s="706">
        <f t="shared" si="13"/>
        <v>100</v>
      </c>
      <c r="V29" s="705" t="s">
        <v>14</v>
      </c>
      <c r="W29" s="706">
        <f t="shared" si="14"/>
        <v>100</v>
      </c>
      <c r="X29" s="1353"/>
      <c r="Y29" s="3697"/>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7"/>
      <c r="Q30" s="1350" t="str">
        <f t="shared" si="11"/>
        <v>建筑面积</v>
      </c>
      <c r="R30" s="705" t="s">
        <v>14</v>
      </c>
      <c r="S30" s="706" t="e">
        <f t="shared" si="12"/>
        <v>#N/A</v>
      </c>
      <c r="T30" s="705" t="s">
        <v>14</v>
      </c>
      <c r="U30" s="706" t="e">
        <f t="shared" si="13"/>
        <v>#N/A</v>
      </c>
      <c r="V30" s="705" t="s">
        <v>14</v>
      </c>
      <c r="W30" s="706" t="e">
        <f t="shared" si="14"/>
        <v>#N/A</v>
      </c>
      <c r="X30" s="1353"/>
      <c r="Y30" s="3697"/>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7"/>
      <c r="Q31" s="1341"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7" t="s">
        <v>1696</v>
      </c>
      <c r="Q32" s="1350">
        <f t="shared" si="11"/>
        <v>111</v>
      </c>
      <c r="R32" s="705" t="s">
        <v>14</v>
      </c>
      <c r="S32" s="706">
        <f t="shared" si="12"/>
        <v>100</v>
      </c>
      <c r="T32" s="705" t="s">
        <v>14</v>
      </c>
      <c r="U32" s="706">
        <f t="shared" si="13"/>
        <v>100</v>
      </c>
      <c r="V32" s="705" t="s">
        <v>14</v>
      </c>
      <c r="W32" s="706">
        <f t="shared" si="14"/>
        <v>100</v>
      </c>
      <c r="X32" s="1353"/>
      <c r="Y32" s="3697"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7"/>
      <c r="Q33" s="1350">
        <f t="shared" si="11"/>
        <v>111</v>
      </c>
      <c r="R33" s="705" t="s">
        <v>14</v>
      </c>
      <c r="S33" s="706">
        <f t="shared" si="12"/>
        <v>100</v>
      </c>
      <c r="T33" s="705" t="s">
        <v>14</v>
      </c>
      <c r="U33" s="706">
        <f t="shared" si="13"/>
        <v>100</v>
      </c>
      <c r="V33" s="705" t="s">
        <v>14</v>
      </c>
      <c r="W33" s="706">
        <f t="shared" si="14"/>
        <v>100</v>
      </c>
      <c r="X33" s="1353"/>
      <c r="Y33" s="3697"/>
      <c r="Z33" s="1354">
        <f t="shared" si="15"/>
        <v>111</v>
      </c>
      <c r="AA33" s="1351">
        <f t="shared" si="3"/>
        <v>1</v>
      </c>
      <c r="AB33" s="1351">
        <f t="shared" si="4"/>
        <v>1</v>
      </c>
      <c r="AC33" s="1351">
        <f t="shared" si="5"/>
        <v>1</v>
      </c>
    </row>
    <row r="34" spans="1:30" ht="15.6"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7"/>
      <c r="Q34" s="1350">
        <f t="shared" si="11"/>
        <v>111</v>
      </c>
      <c r="R34" s="705" t="s">
        <v>14</v>
      </c>
      <c r="S34" s="706">
        <f t="shared" si="12"/>
        <v>100</v>
      </c>
      <c r="T34" s="705" t="s">
        <v>14</v>
      </c>
      <c r="U34" s="706">
        <f t="shared" si="13"/>
        <v>100</v>
      </c>
      <c r="V34" s="705" t="s">
        <v>14</v>
      </c>
      <c r="W34" s="706">
        <f t="shared" si="14"/>
        <v>100</v>
      </c>
      <c r="X34" s="1353"/>
      <c r="Y34" s="3697"/>
      <c r="Z34" s="1354">
        <f t="shared" si="15"/>
        <v>111</v>
      </c>
      <c r="AA34" s="1351">
        <f t="shared" si="3"/>
        <v>1</v>
      </c>
      <c r="AB34" s="1351">
        <f t="shared" si="4"/>
        <v>1</v>
      </c>
      <c r="AC34" s="1351">
        <f t="shared" si="5"/>
        <v>1</v>
      </c>
    </row>
    <row r="35" spans="1:30" ht="14.4">
      <c r="A35" s="430" t="s">
        <v>1708</v>
      </c>
      <c r="B35" s="431"/>
      <c r="C35" s="1153" t="s">
        <v>0</v>
      </c>
      <c r="D35" s="1154"/>
      <c r="E35" s="1155"/>
      <c r="F35" s="1156"/>
      <c r="G35" s="1157"/>
      <c r="H35" s="1158"/>
      <c r="I35" s="1155"/>
      <c r="J35" s="1158"/>
      <c r="K35" s="714"/>
      <c r="L35" s="2722"/>
      <c r="M35" s="2723"/>
      <c r="N35" s="2714"/>
      <c r="O35" s="2723"/>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 thickBot="1">
      <c r="A36" s="437" t="s">
        <v>1793</v>
      </c>
      <c r="B36" s="438"/>
      <c r="C36" s="1159" t="e">
        <f>R37</f>
        <v>#DIV/0!</v>
      </c>
      <c r="D36" s="2315" t="s">
        <v>2133</v>
      </c>
      <c r="E36" s="1160" t="e">
        <f>R36</f>
        <v>#DIV/0!</v>
      </c>
      <c r="F36" s="2316"/>
      <c r="G36" s="1159" t="e">
        <f>T36</f>
        <v>#DIV/0!</v>
      </c>
      <c r="H36" s="2316"/>
      <c r="I36" s="1160" t="e">
        <f>V36</f>
        <v>#DIV/0!</v>
      </c>
      <c r="J36" s="2316"/>
      <c r="K36" s="2318">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 thickBot="1">
      <c r="A37" s="441" t="s">
        <v>1794</v>
      </c>
      <c r="B37" s="442"/>
      <c r="C37" s="1162" t="e">
        <f>R37</f>
        <v>#DIV/0!</v>
      </c>
      <c r="D37" s="1162"/>
      <c r="E37" s="1162"/>
      <c r="F37" s="1162"/>
      <c r="G37" s="1162"/>
      <c r="H37" s="1162"/>
      <c r="I37" s="1162"/>
      <c r="J37" s="1162"/>
      <c r="K37" s="715"/>
      <c r="L37" s="2722"/>
      <c r="M37" s="2723"/>
      <c r="N37" s="2723"/>
      <c r="O37" s="2723"/>
      <c r="P37" s="3701" t="str">
        <f>A37</f>
        <v>估价对象XX用房的比较价值（楼面单价，元/平方米）</v>
      </c>
      <c r="Q37" s="3702"/>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4"/>
      <c r="Q46" s="2739"/>
      <c r="R46" s="2739"/>
      <c r="S46" s="2739"/>
      <c r="T46" s="2739"/>
      <c r="U46" s="2739"/>
      <c r="V46" s="2739"/>
      <c r="W46" s="2739"/>
      <c r="X46" s="2739"/>
      <c r="Y46" s="2739"/>
      <c r="Z46" s="2739"/>
      <c r="AA46" s="2739"/>
      <c r="AB46" s="2739"/>
      <c r="AC46" s="2739"/>
      <c r="AD46" s="2739"/>
    </row>
    <row r="47" spans="1:30" s="108" customFormat="1">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3" t="s">
        <v>1771</v>
      </c>
      <c r="S4" s="3664"/>
      <c r="T4" s="3663" t="s">
        <v>1772</v>
      </c>
      <c r="U4" s="3664"/>
      <c r="V4" s="3660" t="s">
        <v>1773</v>
      </c>
      <c r="W4" s="3660"/>
      <c r="X4" s="1353"/>
      <c r="Y4" s="3663" t="s">
        <v>1775</v>
      </c>
      <c r="Z4" s="3664"/>
      <c r="AA4" s="3657" t="s">
        <v>1771</v>
      </c>
      <c r="AB4" s="3658" t="s">
        <v>1772</v>
      </c>
      <c r="AC4" s="3657" t="s">
        <v>1773</v>
      </c>
    </row>
    <row r="5" spans="1:30">
      <c r="A5" s="358"/>
      <c r="B5" s="359"/>
      <c r="C5" s="3673" t="s">
        <v>1673</v>
      </c>
      <c r="D5" s="3670"/>
      <c r="E5" s="3725" t="s">
        <v>1674</v>
      </c>
      <c r="F5" s="3668"/>
      <c r="G5" s="3673" t="s">
        <v>1675</v>
      </c>
      <c r="H5" s="3670"/>
      <c r="I5" s="3673" t="s">
        <v>1676</v>
      </c>
      <c r="J5" s="3670"/>
      <c r="K5" s="559"/>
      <c r="L5" s="2713"/>
      <c r="M5" s="2714"/>
      <c r="N5" s="2714"/>
      <c r="O5" s="2714"/>
      <c r="P5" s="3683"/>
      <c r="Q5" s="3684"/>
      <c r="R5" s="3665"/>
      <c r="S5" s="3666"/>
      <c r="T5" s="3665"/>
      <c r="U5" s="3666"/>
      <c r="V5" s="3660"/>
      <c r="W5" s="3660"/>
      <c r="X5" s="1353"/>
      <c r="Y5" s="3665"/>
      <c r="Z5" s="3666"/>
      <c r="AA5" s="3658"/>
      <c r="AB5" s="3658"/>
      <c r="AC5" s="3658"/>
    </row>
    <row r="6" spans="1:30" ht="15" thickBot="1">
      <c r="A6" s="360"/>
      <c r="B6" s="361"/>
      <c r="C6" s="3671" t="s">
        <v>1677</v>
      </c>
      <c r="D6" s="3672"/>
      <c r="E6" s="3674" t="s">
        <v>1677</v>
      </c>
      <c r="F6" s="3675"/>
      <c r="G6" s="3671" t="s">
        <v>1677</v>
      </c>
      <c r="H6" s="3672"/>
      <c r="I6" s="3671" t="s">
        <v>1677</v>
      </c>
      <c r="J6" s="3672"/>
      <c r="K6" s="559" t="s">
        <v>1678</v>
      </c>
      <c r="L6" s="2713"/>
      <c r="M6" s="2714"/>
      <c r="N6" s="2714"/>
      <c r="O6" s="2714"/>
      <c r="P6" s="3685"/>
      <c r="Q6" s="3686"/>
      <c r="R6" s="3665"/>
      <c r="S6" s="3666"/>
      <c r="T6" s="3687"/>
      <c r="U6" s="3688"/>
      <c r="V6" s="3660"/>
      <c r="W6" s="3660"/>
      <c r="X6" s="1353"/>
      <c r="Y6" s="3687"/>
      <c r="Z6" s="3688"/>
      <c r="AA6" s="3659"/>
      <c r="AB6" s="3659"/>
      <c r="AC6" s="3659"/>
    </row>
    <row r="7" spans="1:30" s="108" customFormat="1" ht="15" thickBot="1">
      <c r="A7" s="362" t="s">
        <v>1679</v>
      </c>
      <c r="B7" s="363"/>
      <c r="C7" s="364">
        <f>'数据-取费表'!B2</f>
        <v>45322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1" t="s">
        <v>1683</v>
      </c>
      <c r="Q8" s="3662"/>
      <c r="R8" s="701" t="s">
        <v>14</v>
      </c>
      <c r="S8" s="702">
        <f t="shared" si="0"/>
        <v>0</v>
      </c>
      <c r="T8" s="701" t="s">
        <v>14</v>
      </c>
      <c r="U8" s="702">
        <f t="shared" si="1"/>
        <v>0</v>
      </c>
      <c r="V8" s="701" t="s">
        <v>14</v>
      </c>
      <c r="W8" s="702">
        <f t="shared" si="2"/>
        <v>0</v>
      </c>
      <c r="X8" s="703"/>
      <c r="Y8" s="3661" t="s">
        <v>1683</v>
      </c>
      <c r="Z8" s="3662"/>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9" t="s">
        <v>1686</v>
      </c>
      <c r="Q9" s="1341"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699"/>
      <c r="Q10" s="1341" t="str">
        <f t="shared" si="6"/>
        <v>土地使用年限（年）</v>
      </c>
      <c r="R10" s="701" t="s">
        <v>14</v>
      </c>
      <c r="S10" s="702">
        <f t="shared" si="0"/>
        <v>110</v>
      </c>
      <c r="T10" s="701" t="s">
        <v>14</v>
      </c>
      <c r="U10" s="702">
        <f t="shared" si="1"/>
        <v>110</v>
      </c>
      <c r="V10" s="701" t="s">
        <v>14</v>
      </c>
      <c r="W10" s="702">
        <f t="shared" si="2"/>
        <v>110</v>
      </c>
      <c r="X10" s="703"/>
      <c r="Y10" s="3619"/>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9"/>
      <c r="Q11" s="1341"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1"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1">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6"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1">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6.6">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2" t="s">
        <v>1691</v>
      </c>
      <c r="Q15" s="1350" t="str">
        <f t="shared" si="6"/>
        <v>居住社区成熟度</v>
      </c>
      <c r="R15" s="705" t="s">
        <v>14</v>
      </c>
      <c r="S15" s="706">
        <f t="shared" si="0"/>
        <v>100</v>
      </c>
      <c r="T15" s="705" t="s">
        <v>14</v>
      </c>
      <c r="U15" s="706">
        <f t="shared" si="1"/>
        <v>100</v>
      </c>
      <c r="V15" s="705" t="s">
        <v>14</v>
      </c>
      <c r="W15" s="706">
        <f t="shared" si="2"/>
        <v>100</v>
      </c>
      <c r="X15" s="1353"/>
      <c r="Y15" s="3692"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3"/>
      <c r="Q16" s="1350"/>
      <c r="R16" s="705"/>
      <c r="S16" s="706"/>
      <c r="T16" s="705"/>
      <c r="U16" s="706"/>
      <c r="V16" s="705"/>
      <c r="W16" s="706"/>
      <c r="X16" s="1353"/>
      <c r="Y16" s="3693"/>
      <c r="Z16" s="1354"/>
      <c r="AA16" s="1351">
        <v>1</v>
      </c>
      <c r="AB16" s="1351">
        <v>1</v>
      </c>
      <c r="AC16" s="1351">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3"/>
      <c r="Q17" s="1350" t="str">
        <f>B17</f>
        <v>商业繁华度</v>
      </c>
      <c r="R17" s="705" t="s">
        <v>14</v>
      </c>
      <c r="S17" s="706">
        <f>F17</f>
        <v>100</v>
      </c>
      <c r="T17" s="705" t="s">
        <v>14</v>
      </c>
      <c r="U17" s="706">
        <f>H17</f>
        <v>100</v>
      </c>
      <c r="V17" s="705" t="s">
        <v>14</v>
      </c>
      <c r="W17" s="706">
        <f>J17</f>
        <v>100</v>
      </c>
      <c r="X17" s="1353"/>
      <c r="Y17" s="3693"/>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3"/>
      <c r="Q18" s="1350"/>
      <c r="R18" s="705"/>
      <c r="S18" s="706"/>
      <c r="T18" s="705"/>
      <c r="U18" s="706"/>
      <c r="V18" s="705"/>
      <c r="W18" s="706"/>
      <c r="X18" s="1353"/>
      <c r="Y18" s="3693"/>
      <c r="Z18" s="1354"/>
      <c r="AA18" s="1351">
        <v>1</v>
      </c>
      <c r="AB18" s="1351">
        <v>1</v>
      </c>
      <c r="AC18" s="1351">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3"/>
      <c r="Q19" s="1350" t="str">
        <f>B19</f>
        <v>办公集聚程度</v>
      </c>
      <c r="R19" s="705" t="s">
        <v>14</v>
      </c>
      <c r="S19" s="706">
        <f>F19</f>
        <v>100</v>
      </c>
      <c r="T19" s="705" t="s">
        <v>14</v>
      </c>
      <c r="U19" s="706">
        <f>H19</f>
        <v>100</v>
      </c>
      <c r="V19" s="705" t="s">
        <v>14</v>
      </c>
      <c r="W19" s="706">
        <f>J19</f>
        <v>100</v>
      </c>
      <c r="X19" s="1353"/>
      <c r="Y19" s="3693"/>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3"/>
      <c r="Q20" s="1350"/>
      <c r="R20" s="705"/>
      <c r="S20" s="706"/>
      <c r="T20" s="705"/>
      <c r="U20" s="706"/>
      <c r="V20" s="705"/>
      <c r="W20" s="706"/>
      <c r="X20" s="1353"/>
      <c r="Y20" s="3693"/>
      <c r="Z20" s="1354"/>
      <c r="AA20" s="1351">
        <v>1</v>
      </c>
      <c r="AB20" s="1351">
        <v>1</v>
      </c>
      <c r="AC20" s="1351">
        <v>1</v>
      </c>
    </row>
    <row r="21" spans="1:29" ht="96.6">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3"/>
      <c r="Q21" s="1350" t="str">
        <f>B21</f>
        <v>交通便捷度</v>
      </c>
      <c r="R21" s="705" t="s">
        <v>14</v>
      </c>
      <c r="S21" s="706">
        <f>F21</f>
        <v>100</v>
      </c>
      <c r="T21" s="705" t="s">
        <v>14</v>
      </c>
      <c r="U21" s="706">
        <f>H21</f>
        <v>100</v>
      </c>
      <c r="V21" s="705" t="s">
        <v>14</v>
      </c>
      <c r="W21" s="706">
        <f>J21</f>
        <v>100</v>
      </c>
      <c r="X21" s="1353"/>
      <c r="Y21" s="3693"/>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20"/>
      <c r="M22" s="2714"/>
      <c r="N22" s="2714"/>
      <c r="O22" s="2772"/>
      <c r="P22" s="3693"/>
      <c r="Q22" s="1350"/>
      <c r="R22" s="705"/>
      <c r="S22" s="706"/>
      <c r="T22" s="705"/>
      <c r="U22" s="706"/>
      <c r="V22" s="705"/>
      <c r="W22" s="706"/>
      <c r="X22" s="1353"/>
      <c r="Y22" s="3693"/>
      <c r="Z22" s="1354"/>
      <c r="AA22" s="1351">
        <v>1</v>
      </c>
      <c r="AB22" s="1351">
        <v>1</v>
      </c>
      <c r="AC22" s="1351">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3"/>
      <c r="Q23" s="1350" t="str">
        <f t="shared" ref="Q23:Q37" si="8">B23</f>
        <v>区域土地利用方向</v>
      </c>
      <c r="R23" s="705" t="s">
        <v>14</v>
      </c>
      <c r="S23" s="706">
        <f>F23</f>
        <v>100</v>
      </c>
      <c r="T23" s="705" t="s">
        <v>14</v>
      </c>
      <c r="U23" s="706">
        <f>H23</f>
        <v>100</v>
      </c>
      <c r="V23" s="705" t="s">
        <v>14</v>
      </c>
      <c r="W23" s="706">
        <f>J23</f>
        <v>100</v>
      </c>
      <c r="X23" s="1353"/>
      <c r="Y23" s="3693"/>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693"/>
      <c r="Q24" s="1350"/>
      <c r="R24" s="705"/>
      <c r="S24" s="706"/>
      <c r="T24" s="705"/>
      <c r="U24" s="706"/>
      <c r="V24" s="705"/>
      <c r="W24" s="706"/>
      <c r="X24" s="1353"/>
      <c r="Y24" s="3693"/>
      <c r="Z24" s="1354"/>
      <c r="AA24" s="1351"/>
      <c r="AB24" s="1351"/>
      <c r="AC24" s="1351"/>
    </row>
    <row r="25" spans="1:29" ht="55.2">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3"/>
      <c r="Q25" s="1350" t="str">
        <f t="shared" si="8"/>
        <v>自然及人文环境状况</v>
      </c>
      <c r="R25" s="705" t="s">
        <v>14</v>
      </c>
      <c r="S25" s="706">
        <f>F25</f>
        <v>100</v>
      </c>
      <c r="T25" s="705" t="s">
        <v>14</v>
      </c>
      <c r="U25" s="706">
        <f>H25</f>
        <v>100</v>
      </c>
      <c r="V25" s="705" t="s">
        <v>14</v>
      </c>
      <c r="W25" s="706">
        <f>J25</f>
        <v>100</v>
      </c>
      <c r="X25" s="1353"/>
      <c r="Y25" s="3693"/>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3"/>
      <c r="Q26" s="1350"/>
      <c r="R26" s="705"/>
      <c r="S26" s="706"/>
      <c r="T26" s="705"/>
      <c r="U26" s="706"/>
      <c r="V26" s="705"/>
      <c r="W26" s="706"/>
      <c r="X26" s="1353"/>
      <c r="Y26" s="3693"/>
      <c r="Z26" s="1354"/>
      <c r="AA26" s="1351">
        <v>1</v>
      </c>
      <c r="AB26" s="1351">
        <v>1</v>
      </c>
      <c r="AC26" s="1351">
        <v>1</v>
      </c>
    </row>
    <row r="27" spans="1:29" s="108" customFormat="1" ht="41.4">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3"/>
      <c r="Q27" s="1341" t="str">
        <f t="shared" si="8"/>
        <v>公共配套设施</v>
      </c>
      <c r="R27" s="701" t="s">
        <v>14</v>
      </c>
      <c r="S27" s="702">
        <f>F27</f>
        <v>100</v>
      </c>
      <c r="T27" s="701" t="s">
        <v>14</v>
      </c>
      <c r="U27" s="702">
        <f>H27</f>
        <v>100</v>
      </c>
      <c r="V27" s="701" t="s">
        <v>14</v>
      </c>
      <c r="W27" s="702">
        <f>J27</f>
        <v>100</v>
      </c>
      <c r="X27" s="703"/>
      <c r="Y27" s="3693"/>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3"/>
      <c r="Q28" s="1341"/>
      <c r="R28" s="701"/>
      <c r="S28" s="702"/>
      <c r="T28" s="701"/>
      <c r="U28" s="702"/>
      <c r="V28" s="701"/>
      <c r="W28" s="702"/>
      <c r="X28" s="703"/>
      <c r="Y28" s="3693"/>
      <c r="Z28" s="52"/>
      <c r="AA28" s="1351">
        <v>1</v>
      </c>
      <c r="AB28" s="1351">
        <v>1</v>
      </c>
      <c r="AC28" s="1351">
        <v>1</v>
      </c>
    </row>
    <row r="29" spans="1:29" s="108" customFormat="1" ht="41.4">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3"/>
      <c r="Q29" s="1341"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3"/>
      <c r="Q30" s="1341"/>
      <c r="R30" s="701"/>
      <c r="S30" s="702"/>
      <c r="T30" s="701"/>
      <c r="U30" s="702"/>
      <c r="V30" s="701"/>
      <c r="W30" s="702"/>
      <c r="X30" s="703"/>
      <c r="Y30" s="3693"/>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3"/>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93"/>
      <c r="Z31" s="1354" t="str">
        <f t="shared" ref="Z31:Z45" si="13">Q31</f>
        <v>临街状况</v>
      </c>
      <c r="AA31" s="1351">
        <f t="shared" si="3"/>
        <v>1</v>
      </c>
      <c r="AB31" s="1351">
        <f t="shared" si="4"/>
        <v>1</v>
      </c>
      <c r="AC31" s="1351">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3"/>
      <c r="Q32" s="1350" t="str">
        <f t="shared" si="8"/>
        <v>毗邻道路的类型与等级</v>
      </c>
      <c r="R32" s="705" t="s">
        <v>14</v>
      </c>
      <c r="S32" s="706">
        <f t="shared" si="10"/>
        <v>100</v>
      </c>
      <c r="T32" s="705" t="s">
        <v>14</v>
      </c>
      <c r="U32" s="706">
        <f t="shared" si="11"/>
        <v>100</v>
      </c>
      <c r="V32" s="705" t="s">
        <v>14</v>
      </c>
      <c r="W32" s="706">
        <f t="shared" si="12"/>
        <v>100</v>
      </c>
      <c r="X32" s="1353"/>
      <c r="Y32" s="3693"/>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3"/>
      <c r="Q33" s="1350"/>
      <c r="R33" s="705"/>
      <c r="S33" s="706"/>
      <c r="T33" s="705"/>
      <c r="U33" s="706"/>
      <c r="V33" s="705"/>
      <c r="W33" s="706"/>
      <c r="X33" s="1353"/>
      <c r="Y33" s="3693"/>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3"/>
      <c r="Q34" s="1350" t="str">
        <f t="shared" si="8"/>
        <v>土地级别</v>
      </c>
      <c r="R34" s="705" t="s">
        <v>14</v>
      </c>
      <c r="S34" s="706">
        <f t="shared" si="10"/>
        <v>100</v>
      </c>
      <c r="T34" s="705" t="s">
        <v>14</v>
      </c>
      <c r="U34" s="706">
        <f t="shared" si="11"/>
        <v>100</v>
      </c>
      <c r="V34" s="705" t="s">
        <v>14</v>
      </c>
      <c r="W34" s="706">
        <f t="shared" si="12"/>
        <v>100</v>
      </c>
      <c r="X34" s="1353"/>
      <c r="Y34" s="3693"/>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3"/>
      <c r="Q35" s="1350">
        <f t="shared" si="8"/>
        <v>111</v>
      </c>
      <c r="R35" s="705" t="s">
        <v>14</v>
      </c>
      <c r="S35" s="706">
        <f t="shared" si="10"/>
        <v>100</v>
      </c>
      <c r="T35" s="705" t="s">
        <v>14</v>
      </c>
      <c r="U35" s="706">
        <f t="shared" si="11"/>
        <v>100</v>
      </c>
      <c r="V35" s="705" t="s">
        <v>14</v>
      </c>
      <c r="W35" s="706">
        <f t="shared" si="12"/>
        <v>100</v>
      </c>
      <c r="X35" s="1353"/>
      <c r="Y35" s="3693"/>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1" t="s">
        <v>1696</v>
      </c>
      <c r="Q36" s="1350">
        <f t="shared" si="8"/>
        <v>111</v>
      </c>
      <c r="R36" s="705" t="s">
        <v>14</v>
      </c>
      <c r="S36" s="706">
        <f t="shared" si="10"/>
        <v>100</v>
      </c>
      <c r="T36" s="705" t="s">
        <v>14</v>
      </c>
      <c r="U36" s="706">
        <f t="shared" si="11"/>
        <v>100</v>
      </c>
      <c r="V36" s="705" t="s">
        <v>14</v>
      </c>
      <c r="W36" s="706">
        <f t="shared" si="12"/>
        <v>100</v>
      </c>
      <c r="X36" s="1353"/>
      <c r="Y36" s="3697" t="s">
        <v>1696</v>
      </c>
      <c r="Z36" s="1354">
        <f t="shared" si="13"/>
        <v>111</v>
      </c>
      <c r="AA36" s="1351">
        <f t="shared" si="3"/>
        <v>1</v>
      </c>
      <c r="AB36" s="1351">
        <f t="shared" si="4"/>
        <v>1</v>
      </c>
      <c r="AC36" s="1351">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7"/>
      <c r="Q37" s="1350">
        <f t="shared" si="8"/>
        <v>111</v>
      </c>
      <c r="R37" s="708" t="s">
        <v>14</v>
      </c>
      <c r="S37" s="709">
        <f t="shared" si="10"/>
        <v>100</v>
      </c>
      <c r="T37" s="708" t="s">
        <v>14</v>
      </c>
      <c r="U37" s="709">
        <f t="shared" si="11"/>
        <v>100</v>
      </c>
      <c r="V37" s="708" t="s">
        <v>14</v>
      </c>
      <c r="W37" s="709">
        <f t="shared" si="12"/>
        <v>100</v>
      </c>
      <c r="X37" s="710"/>
      <c r="Y37" s="3697"/>
      <c r="Z37" s="711">
        <f t="shared" si="13"/>
        <v>111</v>
      </c>
      <c r="AA37" s="1351">
        <f t="shared" si="3"/>
        <v>1</v>
      </c>
      <c r="AB37" s="1351">
        <f t="shared" si="4"/>
        <v>1</v>
      </c>
      <c r="AC37" s="1351">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7"/>
      <c r="Q38" s="1350" t="str">
        <f>B38</f>
        <v>宗地面积</v>
      </c>
      <c r="R38" s="705" t="s">
        <v>14</v>
      </c>
      <c r="S38" s="706" t="e">
        <f t="shared" si="10"/>
        <v>#N/A</v>
      </c>
      <c r="T38" s="705" t="s">
        <v>14</v>
      </c>
      <c r="U38" s="706" t="e">
        <f t="shared" si="11"/>
        <v>#N/A</v>
      </c>
      <c r="V38" s="705" t="s">
        <v>14</v>
      </c>
      <c r="W38" s="706" t="e">
        <f t="shared" si="12"/>
        <v>#N/A</v>
      </c>
      <c r="X38" s="1353"/>
      <c r="Y38" s="3697"/>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7"/>
      <c r="Q39" s="1350" t="str">
        <f t="shared" ref="Q39:Q45" si="14">B39</f>
        <v>宗地形状</v>
      </c>
      <c r="R39" s="705" t="s">
        <v>14</v>
      </c>
      <c r="S39" s="706">
        <f t="shared" si="10"/>
        <v>100</v>
      </c>
      <c r="T39" s="705" t="s">
        <v>14</v>
      </c>
      <c r="U39" s="706">
        <f t="shared" si="11"/>
        <v>100</v>
      </c>
      <c r="V39" s="705" t="s">
        <v>14</v>
      </c>
      <c r="W39" s="706">
        <f t="shared" si="12"/>
        <v>100</v>
      </c>
      <c r="X39" s="1353"/>
      <c r="Y39" s="3697"/>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7"/>
      <c r="Q40" s="1350" t="str">
        <f t="shared" si="14"/>
        <v>临街宽度及深度</v>
      </c>
      <c r="R40" s="705" t="s">
        <v>14</v>
      </c>
      <c r="S40" s="706">
        <f t="shared" si="10"/>
        <v>100</v>
      </c>
      <c r="T40" s="705" t="s">
        <v>14</v>
      </c>
      <c r="U40" s="706">
        <f t="shared" si="11"/>
        <v>100</v>
      </c>
      <c r="V40" s="705" t="s">
        <v>14</v>
      </c>
      <c r="W40" s="706">
        <f t="shared" si="12"/>
        <v>100</v>
      </c>
      <c r="X40" s="1353"/>
      <c r="Y40" s="3697"/>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7"/>
      <c r="Q41" s="1350"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7" t="s">
        <v>1696</v>
      </c>
      <c r="Q42" s="1350" t="str">
        <f t="shared" si="14"/>
        <v>工程地质条件</v>
      </c>
      <c r="R42" s="705" t="s">
        <v>14</v>
      </c>
      <c r="S42" s="706">
        <f t="shared" si="10"/>
        <v>100</v>
      </c>
      <c r="T42" s="705" t="s">
        <v>14</v>
      </c>
      <c r="U42" s="706">
        <f t="shared" si="11"/>
        <v>100</v>
      </c>
      <c r="V42" s="705" t="s">
        <v>14</v>
      </c>
      <c r="W42" s="706">
        <f t="shared" si="12"/>
        <v>100</v>
      </c>
      <c r="X42" s="1353"/>
      <c r="Y42" s="3697"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7"/>
      <c r="Q43" s="1350">
        <f t="shared" si="14"/>
        <v>111</v>
      </c>
      <c r="R43" s="705" t="s">
        <v>14</v>
      </c>
      <c r="S43" s="706">
        <f t="shared" si="10"/>
        <v>100</v>
      </c>
      <c r="T43" s="705" t="s">
        <v>14</v>
      </c>
      <c r="U43" s="706">
        <f t="shared" si="11"/>
        <v>100</v>
      </c>
      <c r="V43" s="705" t="s">
        <v>14</v>
      </c>
      <c r="W43" s="706">
        <f t="shared" si="12"/>
        <v>100</v>
      </c>
      <c r="X43" s="1353"/>
      <c r="Y43" s="3697"/>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7"/>
      <c r="Q44" s="1350">
        <f t="shared" si="14"/>
        <v>111</v>
      </c>
      <c r="R44" s="705" t="s">
        <v>14</v>
      </c>
      <c r="S44" s="706">
        <f t="shared" si="10"/>
        <v>100</v>
      </c>
      <c r="T44" s="705" t="s">
        <v>14</v>
      </c>
      <c r="U44" s="706">
        <f t="shared" si="11"/>
        <v>100</v>
      </c>
      <c r="V44" s="705" t="s">
        <v>14</v>
      </c>
      <c r="W44" s="706">
        <f t="shared" si="12"/>
        <v>100</v>
      </c>
      <c r="X44" s="1353"/>
      <c r="Y44" s="3697"/>
      <c r="Z44" s="1354">
        <f t="shared" si="13"/>
        <v>111</v>
      </c>
      <c r="AA44" s="1351">
        <f t="shared" si="3"/>
        <v>1</v>
      </c>
      <c r="AB44" s="1351">
        <f t="shared" si="4"/>
        <v>1</v>
      </c>
      <c r="AC44" s="1351">
        <f t="shared" si="5"/>
        <v>1</v>
      </c>
    </row>
    <row r="45" spans="1:29" s="422" customFormat="1" ht="15.6"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7"/>
      <c r="Q45" s="1350">
        <f t="shared" si="14"/>
        <v>111</v>
      </c>
      <c r="R45" s="708" t="s">
        <v>14</v>
      </c>
      <c r="S45" s="709">
        <f t="shared" si="10"/>
        <v>100</v>
      </c>
      <c r="T45" s="708" t="s">
        <v>14</v>
      </c>
      <c r="U45" s="709">
        <f t="shared" si="11"/>
        <v>100</v>
      </c>
      <c r="V45" s="708" t="s">
        <v>14</v>
      </c>
      <c r="W45" s="709">
        <f t="shared" si="12"/>
        <v>100</v>
      </c>
      <c r="X45" s="710"/>
      <c r="Y45" s="3697"/>
      <c r="Z45" s="711">
        <f t="shared" si="13"/>
        <v>111</v>
      </c>
      <c r="AA45" s="1351">
        <f t="shared" si="3"/>
        <v>1</v>
      </c>
      <c r="AB45" s="1351">
        <f t="shared" si="4"/>
        <v>1</v>
      </c>
      <c r="AC45" s="1351">
        <f t="shared" si="5"/>
        <v>1</v>
      </c>
    </row>
    <row r="46" spans="1:29" ht="14.4">
      <c r="A46" s="430" t="s">
        <v>1844</v>
      </c>
      <c r="B46" s="1980" t="s">
        <v>1879</v>
      </c>
      <c r="C46" s="630" t="s">
        <v>0</v>
      </c>
      <c r="D46" s="432"/>
      <c r="E46" s="433"/>
      <c r="F46" s="434"/>
      <c r="G46" s="435"/>
      <c r="H46" s="436"/>
      <c r="I46" s="433"/>
      <c r="J46" s="436"/>
      <c r="K46" s="714"/>
      <c r="L46" s="2722"/>
      <c r="M46" s="2723"/>
      <c r="N46" s="2714"/>
      <c r="O46" s="2723"/>
      <c r="P46" s="3699" t="str">
        <f>A46</f>
        <v>成交单价</v>
      </c>
      <c r="Q46" s="3699"/>
      <c r="R46" s="3660">
        <f>E46</f>
        <v>0</v>
      </c>
      <c r="S46" s="3660"/>
      <c r="T46" s="3660">
        <f>G46</f>
        <v>0</v>
      </c>
      <c r="U46" s="3660"/>
      <c r="V46" s="3660">
        <f>I46</f>
        <v>0</v>
      </c>
      <c r="W46" s="3660"/>
      <c r="X46" s="690"/>
      <c r="Y46" s="712"/>
      <c r="Z46" s="690"/>
      <c r="AA46" s="690"/>
      <c r="AB46" s="690"/>
      <c r="AC46" s="690"/>
    </row>
    <row r="47" spans="1:29" ht="15" thickBot="1">
      <c r="A47" s="437" t="s">
        <v>1793</v>
      </c>
      <c r="B47" s="631"/>
      <c r="C47" s="440" t="e">
        <f>R48</f>
        <v>#DIV/0!</v>
      </c>
      <c r="D47" s="2315" t="s">
        <v>2133</v>
      </c>
      <c r="E47" s="440" t="e">
        <f>R47</f>
        <v>#DIV/0!</v>
      </c>
      <c r="F47" s="2316"/>
      <c r="G47" s="439" t="e">
        <f>T47</f>
        <v>#DIV/0!</v>
      </c>
      <c r="H47" s="2316"/>
      <c r="I47" s="440" t="e">
        <f>V47</f>
        <v>#DIV/0!</v>
      </c>
      <c r="J47" s="2316"/>
      <c r="K47" s="2318">
        <f>F47+H47+J47</f>
        <v>0</v>
      </c>
      <c r="L47" s="2722"/>
      <c r="M47" s="2723"/>
      <c r="N47" s="2723"/>
      <c r="O47" s="2723"/>
      <c r="P47" s="3699" t="str">
        <f>A47</f>
        <v>比较价值（元/平方米）</v>
      </c>
      <c r="Q47" s="3699"/>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01" t="str">
        <f>A48</f>
        <v>估价对象XX用房的比较价值（楼面单价，元/平方米）</v>
      </c>
      <c r="Q48" s="3702"/>
      <c r="R48" s="3744" t="e">
        <f>ROUND(IF(D47="简单平均",AVERAGE(R47:W47),R47*F47+T47*H47+V47*J47),0)</f>
        <v>#DIV/0!</v>
      </c>
      <c r="S48" s="3744"/>
      <c r="T48" s="3744"/>
      <c r="U48" s="3744"/>
      <c r="V48" s="3744"/>
      <c r="W48" s="374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77" t="s">
        <v>1887</v>
      </c>
      <c r="H55" s="3745"/>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87.01</v>
      </c>
      <c r="F56" s="886" t="e">
        <f t="shared" ref="F56:F64" si="15">ROUND(B56*E56/10000,0)</f>
        <v>#DIV/0!</v>
      </c>
      <c r="G56" s="3676"/>
      <c r="H56" s="369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3" t="s">
        <v>1771</v>
      </c>
      <c r="S4" s="3664"/>
      <c r="T4" s="3663" t="s">
        <v>1772</v>
      </c>
      <c r="U4" s="3664"/>
      <c r="V4" s="3660" t="s">
        <v>1773</v>
      </c>
      <c r="W4" s="3660"/>
      <c r="X4" s="1353"/>
      <c r="Y4" s="3663" t="s">
        <v>1775</v>
      </c>
      <c r="Z4" s="3664"/>
      <c r="AA4" s="3657" t="s">
        <v>1771</v>
      </c>
      <c r="AB4" s="3658" t="s">
        <v>1772</v>
      </c>
      <c r="AC4" s="3657" t="s">
        <v>1773</v>
      </c>
    </row>
    <row r="5" spans="1:29">
      <c r="A5" s="358"/>
      <c r="B5" s="359"/>
      <c r="C5" s="3673" t="s">
        <v>1673</v>
      </c>
      <c r="D5" s="3670"/>
      <c r="E5" s="3725" t="s">
        <v>1674</v>
      </c>
      <c r="F5" s="3668"/>
      <c r="G5" s="3673" t="s">
        <v>1675</v>
      </c>
      <c r="H5" s="3670"/>
      <c r="I5" s="3673" t="s">
        <v>1676</v>
      </c>
      <c r="J5" s="3670"/>
      <c r="K5" s="559"/>
      <c r="L5" s="2713"/>
      <c r="M5" s="2714"/>
      <c r="N5" s="2714"/>
      <c r="O5" s="2714"/>
      <c r="P5" s="3683"/>
      <c r="Q5" s="3684"/>
      <c r="R5" s="3665"/>
      <c r="S5" s="3666"/>
      <c r="T5" s="3665"/>
      <c r="U5" s="3666"/>
      <c r="V5" s="3660"/>
      <c r="W5" s="3660"/>
      <c r="X5" s="1353"/>
      <c r="Y5" s="3665"/>
      <c r="Z5" s="3666"/>
      <c r="AA5" s="3658"/>
      <c r="AB5" s="3658"/>
      <c r="AC5" s="3658"/>
    </row>
    <row r="6" spans="1:29" ht="15" thickBot="1">
      <c r="A6" s="360"/>
      <c r="B6" s="361"/>
      <c r="C6" s="3746" t="s">
        <v>1919</v>
      </c>
      <c r="D6" s="3747"/>
      <c r="E6" s="3748" t="s">
        <v>1919</v>
      </c>
      <c r="F6" s="3749"/>
      <c r="G6" s="3746" t="s">
        <v>1919</v>
      </c>
      <c r="H6" s="3747"/>
      <c r="I6" s="3746" t="s">
        <v>1919</v>
      </c>
      <c r="J6" s="3747"/>
      <c r="K6" s="559" t="s">
        <v>1678</v>
      </c>
      <c r="L6" s="2713"/>
      <c r="M6" s="2714"/>
      <c r="N6" s="2714"/>
      <c r="O6" s="2714"/>
      <c r="P6" s="3685"/>
      <c r="Q6" s="3686"/>
      <c r="R6" s="3665"/>
      <c r="S6" s="3666"/>
      <c r="T6" s="3687"/>
      <c r="U6" s="3688"/>
      <c r="V6" s="3660"/>
      <c r="W6" s="3660"/>
      <c r="X6" s="1353"/>
      <c r="Y6" s="3687"/>
      <c r="Z6" s="3688"/>
      <c r="AA6" s="3659"/>
      <c r="AB6" s="3659"/>
      <c r="AC6" s="3659"/>
    </row>
    <row r="7" spans="1:29" s="108" customFormat="1" ht="15" thickBot="1">
      <c r="A7" s="362" t="s">
        <v>1679</v>
      </c>
      <c r="B7" s="363"/>
      <c r="C7" s="364">
        <f>'数据-取费表'!B2</f>
        <v>45322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1" t="s">
        <v>1683</v>
      </c>
      <c r="Q8" s="3662"/>
      <c r="R8" s="701" t="s">
        <v>14</v>
      </c>
      <c r="S8" s="702">
        <f t="shared" si="0"/>
        <v>0</v>
      </c>
      <c r="T8" s="701" t="s">
        <v>14</v>
      </c>
      <c r="U8" s="702">
        <f t="shared" si="1"/>
        <v>0</v>
      </c>
      <c r="V8" s="701" t="s">
        <v>14</v>
      </c>
      <c r="W8" s="702">
        <f t="shared" si="2"/>
        <v>0</v>
      </c>
      <c r="X8" s="703"/>
      <c r="Y8" s="3661" t="s">
        <v>1683</v>
      </c>
      <c r="Z8" s="3662"/>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9" t="s">
        <v>1686</v>
      </c>
      <c r="Q9" s="1341"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699"/>
      <c r="Q10" s="1341" t="str">
        <f t="shared" si="6"/>
        <v>土地使用年限（年）</v>
      </c>
      <c r="R10" s="701" t="s">
        <v>14</v>
      </c>
      <c r="S10" s="702">
        <f t="shared" si="0"/>
        <v>110</v>
      </c>
      <c r="T10" s="701" t="s">
        <v>14</v>
      </c>
      <c r="U10" s="702">
        <f t="shared" si="1"/>
        <v>110</v>
      </c>
      <c r="V10" s="701" t="s">
        <v>14</v>
      </c>
      <c r="W10" s="702">
        <f t="shared" si="2"/>
        <v>110</v>
      </c>
      <c r="X10" s="703"/>
      <c r="Y10" s="3619"/>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1"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1">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1">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1">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2" t="s">
        <v>1691</v>
      </c>
      <c r="Q15" s="1350" t="str">
        <f t="shared" si="6"/>
        <v>产业集聚程度</v>
      </c>
      <c r="R15" s="705" t="s">
        <v>14</v>
      </c>
      <c r="S15" s="706">
        <f t="shared" si="0"/>
        <v>100</v>
      </c>
      <c r="T15" s="705" t="s">
        <v>14</v>
      </c>
      <c r="U15" s="706">
        <f t="shared" si="1"/>
        <v>100</v>
      </c>
      <c r="V15" s="705" t="s">
        <v>14</v>
      </c>
      <c r="W15" s="706">
        <f t="shared" si="2"/>
        <v>100</v>
      </c>
      <c r="X15" s="1353"/>
      <c r="Y15" s="3692"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3"/>
      <c r="Q16" s="1350"/>
      <c r="R16" s="705"/>
      <c r="S16" s="706"/>
      <c r="T16" s="705"/>
      <c r="U16" s="706"/>
      <c r="V16" s="705"/>
      <c r="W16" s="706"/>
      <c r="X16" s="1353"/>
      <c r="Y16" s="3693"/>
      <c r="Z16" s="1354"/>
      <c r="AA16" s="1351">
        <v>1</v>
      </c>
      <c r="AB16" s="1351">
        <v>1</v>
      </c>
      <c r="AC16" s="1351">
        <v>1</v>
      </c>
    </row>
    <row r="17" spans="1:29" ht="96.6">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3"/>
      <c r="Q17" s="1350" t="str">
        <f>B17</f>
        <v>交通便捷度</v>
      </c>
      <c r="R17" s="705" t="s">
        <v>14</v>
      </c>
      <c r="S17" s="706">
        <f>F17</f>
        <v>100</v>
      </c>
      <c r="T17" s="705" t="s">
        <v>14</v>
      </c>
      <c r="U17" s="706">
        <f>H17</f>
        <v>100</v>
      </c>
      <c r="V17" s="705" t="s">
        <v>14</v>
      </c>
      <c r="W17" s="706">
        <f>J17</f>
        <v>100</v>
      </c>
      <c r="X17" s="1353"/>
      <c r="Y17" s="3693"/>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3"/>
      <c r="Q18" s="1350"/>
      <c r="R18" s="705"/>
      <c r="S18" s="706"/>
      <c r="T18" s="705"/>
      <c r="U18" s="706"/>
      <c r="V18" s="705"/>
      <c r="W18" s="706"/>
      <c r="X18" s="1353"/>
      <c r="Y18" s="3693"/>
      <c r="Z18" s="1354"/>
      <c r="AA18" s="1351">
        <v>1</v>
      </c>
      <c r="AB18" s="1351">
        <v>1</v>
      </c>
      <c r="AC18" s="1351">
        <v>1</v>
      </c>
    </row>
    <row r="19" spans="1:29" ht="28.8">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3"/>
      <c r="Q19" s="1350" t="str">
        <f t="shared" ref="Q19:Q33" si="8">B19</f>
        <v>区域土地利用方向</v>
      </c>
      <c r="R19" s="705" t="s">
        <v>14</v>
      </c>
      <c r="S19" s="706">
        <f>F19</f>
        <v>100</v>
      </c>
      <c r="T19" s="705" t="s">
        <v>14</v>
      </c>
      <c r="U19" s="706">
        <f>H19</f>
        <v>100</v>
      </c>
      <c r="V19" s="705" t="s">
        <v>14</v>
      </c>
      <c r="W19" s="706">
        <f>J19</f>
        <v>100</v>
      </c>
      <c r="X19" s="1353"/>
      <c r="Y19" s="3693"/>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693"/>
      <c r="Q20" s="1350"/>
      <c r="R20" s="705"/>
      <c r="S20" s="706"/>
      <c r="T20" s="705"/>
      <c r="U20" s="706"/>
      <c r="V20" s="705"/>
      <c r="W20" s="706"/>
      <c r="X20" s="1353"/>
      <c r="Y20" s="3693"/>
      <c r="Z20" s="1354"/>
      <c r="AA20" s="1351"/>
      <c r="AB20" s="1351"/>
      <c r="AC20" s="1351"/>
    </row>
    <row r="21" spans="1:29" ht="82.8">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3"/>
      <c r="Q21" s="1350" t="str">
        <f t="shared" si="8"/>
        <v>环境状况</v>
      </c>
      <c r="R21" s="705" t="s">
        <v>14</v>
      </c>
      <c r="S21" s="706">
        <f>F21</f>
        <v>100</v>
      </c>
      <c r="T21" s="705" t="s">
        <v>14</v>
      </c>
      <c r="U21" s="706">
        <f>H21</f>
        <v>100</v>
      </c>
      <c r="V21" s="705" t="s">
        <v>14</v>
      </c>
      <c r="W21" s="706">
        <f>J21</f>
        <v>100</v>
      </c>
      <c r="X21" s="1353"/>
      <c r="Y21" s="3693"/>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3"/>
      <c r="Q22" s="1350"/>
      <c r="R22" s="705"/>
      <c r="S22" s="706"/>
      <c r="T22" s="705"/>
      <c r="U22" s="706"/>
      <c r="V22" s="705"/>
      <c r="W22" s="706"/>
      <c r="X22" s="1353"/>
      <c r="Y22" s="3693"/>
      <c r="Z22" s="1354"/>
      <c r="AA22" s="1351">
        <v>1</v>
      </c>
      <c r="AB22" s="1351">
        <v>1</v>
      </c>
      <c r="AC22" s="1351">
        <v>1</v>
      </c>
    </row>
    <row r="23" spans="1:29" s="108" customFormat="1" ht="41.4">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3"/>
      <c r="Q23" s="1341" t="str">
        <f t="shared" si="8"/>
        <v>公共配套设施</v>
      </c>
      <c r="R23" s="701" t="s">
        <v>14</v>
      </c>
      <c r="S23" s="702">
        <f>F23</f>
        <v>100</v>
      </c>
      <c r="T23" s="701" t="s">
        <v>14</v>
      </c>
      <c r="U23" s="702">
        <f>H23</f>
        <v>100</v>
      </c>
      <c r="V23" s="701" t="s">
        <v>14</v>
      </c>
      <c r="W23" s="702">
        <f>J23</f>
        <v>100</v>
      </c>
      <c r="X23" s="703"/>
      <c r="Y23" s="3693"/>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3"/>
      <c r="Q24" s="1341"/>
      <c r="R24" s="701"/>
      <c r="S24" s="702"/>
      <c r="T24" s="701"/>
      <c r="U24" s="702"/>
      <c r="V24" s="701"/>
      <c r="W24" s="702"/>
      <c r="X24" s="703"/>
      <c r="Y24" s="3693"/>
      <c r="Z24" s="52"/>
      <c r="AA24" s="704">
        <v>1</v>
      </c>
      <c r="AB24" s="704">
        <v>1</v>
      </c>
      <c r="AC24" s="704">
        <v>1</v>
      </c>
    </row>
    <row r="25" spans="1:29" s="108" customFormat="1" ht="41.4">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3"/>
      <c r="Q25" s="1341"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3"/>
      <c r="Q26" s="1341"/>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3"/>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93"/>
      <c r="Z27" s="1354" t="str">
        <f t="shared" ref="Z27:Z40" si="13">Q27</f>
        <v>临街状况</v>
      </c>
      <c r="AA27" s="1351">
        <f t="shared" si="3"/>
        <v>1</v>
      </c>
      <c r="AB27" s="1351">
        <f t="shared" si="4"/>
        <v>1</v>
      </c>
      <c r="AC27" s="1351">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3"/>
      <c r="Q28" s="1350" t="str">
        <f t="shared" si="8"/>
        <v>毗邻道路的类型与等级</v>
      </c>
      <c r="R28" s="705" t="s">
        <v>14</v>
      </c>
      <c r="S28" s="706">
        <f t="shared" si="10"/>
        <v>100</v>
      </c>
      <c r="T28" s="705" t="s">
        <v>14</v>
      </c>
      <c r="U28" s="706">
        <f t="shared" si="11"/>
        <v>100</v>
      </c>
      <c r="V28" s="705" t="s">
        <v>14</v>
      </c>
      <c r="W28" s="706">
        <f t="shared" si="12"/>
        <v>100</v>
      </c>
      <c r="X28" s="1353"/>
      <c r="Y28" s="3693"/>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3"/>
      <c r="Q29" s="1350"/>
      <c r="R29" s="705"/>
      <c r="S29" s="706"/>
      <c r="T29" s="705"/>
      <c r="U29" s="706"/>
      <c r="V29" s="705"/>
      <c r="W29" s="706"/>
      <c r="X29" s="1353"/>
      <c r="Y29" s="3693"/>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3"/>
      <c r="Q30" s="1350" t="str">
        <f t="shared" si="8"/>
        <v>土地级别</v>
      </c>
      <c r="R30" s="705" t="s">
        <v>14</v>
      </c>
      <c r="S30" s="706">
        <f t="shared" si="10"/>
        <v>100</v>
      </c>
      <c r="T30" s="705" t="s">
        <v>14</v>
      </c>
      <c r="U30" s="706">
        <f t="shared" si="11"/>
        <v>100</v>
      </c>
      <c r="V30" s="705" t="s">
        <v>14</v>
      </c>
      <c r="W30" s="706">
        <f t="shared" si="12"/>
        <v>100</v>
      </c>
      <c r="X30" s="1353"/>
      <c r="Y30" s="3693"/>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3"/>
      <c r="Q31" s="1350">
        <f t="shared" si="8"/>
        <v>111</v>
      </c>
      <c r="R31" s="705" t="s">
        <v>14</v>
      </c>
      <c r="S31" s="706">
        <f t="shared" si="10"/>
        <v>100</v>
      </c>
      <c r="T31" s="705" t="s">
        <v>14</v>
      </c>
      <c r="U31" s="706">
        <f t="shared" si="11"/>
        <v>100</v>
      </c>
      <c r="V31" s="705" t="s">
        <v>14</v>
      </c>
      <c r="W31" s="706">
        <f t="shared" si="12"/>
        <v>100</v>
      </c>
      <c r="X31" s="1353"/>
      <c r="Y31" s="3693"/>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1" t="s">
        <v>1696</v>
      </c>
      <c r="Q32" s="1350">
        <f t="shared" si="8"/>
        <v>111</v>
      </c>
      <c r="R32" s="705" t="s">
        <v>14</v>
      </c>
      <c r="S32" s="706">
        <f t="shared" si="10"/>
        <v>100</v>
      </c>
      <c r="T32" s="705" t="s">
        <v>14</v>
      </c>
      <c r="U32" s="706">
        <f t="shared" si="11"/>
        <v>100</v>
      </c>
      <c r="V32" s="705" t="s">
        <v>14</v>
      </c>
      <c r="W32" s="706">
        <f t="shared" si="12"/>
        <v>100</v>
      </c>
      <c r="X32" s="1353"/>
      <c r="Y32" s="3697" t="s">
        <v>1696</v>
      </c>
      <c r="Z32" s="1354">
        <f t="shared" si="13"/>
        <v>111</v>
      </c>
      <c r="AA32" s="1351">
        <f t="shared" si="3"/>
        <v>1</v>
      </c>
      <c r="AB32" s="1351">
        <f t="shared" si="4"/>
        <v>1</v>
      </c>
      <c r="AC32" s="1351">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7"/>
      <c r="Q33" s="1350">
        <f t="shared" si="8"/>
        <v>111</v>
      </c>
      <c r="R33" s="708" t="s">
        <v>14</v>
      </c>
      <c r="S33" s="709">
        <f t="shared" si="10"/>
        <v>100</v>
      </c>
      <c r="T33" s="708" t="s">
        <v>14</v>
      </c>
      <c r="U33" s="709">
        <f t="shared" si="11"/>
        <v>100</v>
      </c>
      <c r="V33" s="708" t="s">
        <v>14</v>
      </c>
      <c r="W33" s="709">
        <f t="shared" si="12"/>
        <v>100</v>
      </c>
      <c r="X33" s="710"/>
      <c r="Y33" s="3697"/>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7"/>
      <c r="Q34" s="1350" t="str">
        <f>B34</f>
        <v>宗地面积</v>
      </c>
      <c r="R34" s="705" t="s">
        <v>14</v>
      </c>
      <c r="S34" s="706" t="e">
        <f t="shared" si="10"/>
        <v>#N/A</v>
      </c>
      <c r="T34" s="705" t="s">
        <v>14</v>
      </c>
      <c r="U34" s="706" t="e">
        <f t="shared" si="11"/>
        <v>#N/A</v>
      </c>
      <c r="V34" s="705" t="s">
        <v>14</v>
      </c>
      <c r="W34" s="706" t="e">
        <f t="shared" si="12"/>
        <v>#N/A</v>
      </c>
      <c r="X34" s="1353"/>
      <c r="Y34" s="3697"/>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7"/>
      <c r="Q35" s="1350" t="str">
        <f t="shared" ref="Q35:Q40" si="14">B35</f>
        <v>宗地形状</v>
      </c>
      <c r="R35" s="705" t="s">
        <v>14</v>
      </c>
      <c r="S35" s="706">
        <f t="shared" si="10"/>
        <v>100</v>
      </c>
      <c r="T35" s="705" t="s">
        <v>14</v>
      </c>
      <c r="U35" s="706">
        <f t="shared" si="11"/>
        <v>100</v>
      </c>
      <c r="V35" s="705" t="s">
        <v>14</v>
      </c>
      <c r="W35" s="706">
        <f t="shared" si="12"/>
        <v>100</v>
      </c>
      <c r="X35" s="1353"/>
      <c r="Y35" s="3697"/>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7"/>
      <c r="Q36" s="1350"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7" t="s">
        <v>1696</v>
      </c>
      <c r="Q37" s="1350" t="str">
        <f t="shared" si="14"/>
        <v>工程地质条件</v>
      </c>
      <c r="R37" s="705" t="s">
        <v>14</v>
      </c>
      <c r="S37" s="706">
        <f t="shared" si="10"/>
        <v>100</v>
      </c>
      <c r="T37" s="705" t="s">
        <v>14</v>
      </c>
      <c r="U37" s="706">
        <f t="shared" si="11"/>
        <v>100</v>
      </c>
      <c r="V37" s="705" t="s">
        <v>14</v>
      </c>
      <c r="W37" s="706">
        <f t="shared" si="12"/>
        <v>100</v>
      </c>
      <c r="X37" s="1353"/>
      <c r="Y37" s="3697"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7"/>
      <c r="Q38" s="1350">
        <f t="shared" si="14"/>
        <v>111</v>
      </c>
      <c r="R38" s="705" t="s">
        <v>14</v>
      </c>
      <c r="S38" s="706">
        <f t="shared" si="10"/>
        <v>100</v>
      </c>
      <c r="T38" s="705" t="s">
        <v>14</v>
      </c>
      <c r="U38" s="706">
        <f t="shared" si="11"/>
        <v>100</v>
      </c>
      <c r="V38" s="705" t="s">
        <v>14</v>
      </c>
      <c r="W38" s="706">
        <f t="shared" si="12"/>
        <v>100</v>
      </c>
      <c r="X38" s="1353"/>
      <c r="Y38" s="3697"/>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7"/>
      <c r="Q39" s="1350">
        <f t="shared" si="14"/>
        <v>111</v>
      </c>
      <c r="R39" s="705" t="s">
        <v>14</v>
      </c>
      <c r="S39" s="706">
        <f t="shared" si="10"/>
        <v>100</v>
      </c>
      <c r="T39" s="705" t="s">
        <v>14</v>
      </c>
      <c r="U39" s="706">
        <f t="shared" si="11"/>
        <v>100</v>
      </c>
      <c r="V39" s="705" t="s">
        <v>14</v>
      </c>
      <c r="W39" s="706">
        <f t="shared" si="12"/>
        <v>100</v>
      </c>
      <c r="X39" s="1353"/>
      <c r="Y39" s="3697"/>
      <c r="Z39" s="1354">
        <f t="shared" si="13"/>
        <v>111</v>
      </c>
      <c r="AA39" s="1351">
        <f t="shared" si="3"/>
        <v>1</v>
      </c>
      <c r="AB39" s="1351">
        <f t="shared" si="4"/>
        <v>1</v>
      </c>
      <c r="AC39" s="1351">
        <f t="shared" si="5"/>
        <v>1</v>
      </c>
    </row>
    <row r="40" spans="1:31" s="422" customFormat="1" ht="15.6"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7"/>
      <c r="Q40" s="1350">
        <f t="shared" si="14"/>
        <v>111</v>
      </c>
      <c r="R40" s="708" t="s">
        <v>14</v>
      </c>
      <c r="S40" s="709">
        <f t="shared" si="10"/>
        <v>100</v>
      </c>
      <c r="T40" s="708" t="s">
        <v>14</v>
      </c>
      <c r="U40" s="709">
        <f t="shared" si="11"/>
        <v>100</v>
      </c>
      <c r="V40" s="708" t="s">
        <v>14</v>
      </c>
      <c r="W40" s="709">
        <f t="shared" si="12"/>
        <v>100</v>
      </c>
      <c r="X40" s="710"/>
      <c r="Y40" s="3697"/>
      <c r="Z40" s="711">
        <f t="shared" si="13"/>
        <v>111</v>
      </c>
      <c r="AA40" s="1351">
        <f t="shared" si="3"/>
        <v>1</v>
      </c>
      <c r="AB40" s="1351">
        <f t="shared" si="4"/>
        <v>1</v>
      </c>
      <c r="AC40" s="1351">
        <f t="shared" si="5"/>
        <v>1</v>
      </c>
    </row>
    <row r="41" spans="1:31" ht="14.4">
      <c r="A41" s="430" t="s">
        <v>1844</v>
      </c>
      <c r="B41" s="1980" t="s">
        <v>1922</v>
      </c>
      <c r="C41" s="630" t="s">
        <v>0</v>
      </c>
      <c r="D41" s="432"/>
      <c r="E41" s="433"/>
      <c r="F41" s="434"/>
      <c r="G41" s="435"/>
      <c r="H41" s="436"/>
      <c r="I41" s="433"/>
      <c r="J41" s="436"/>
      <c r="K41" s="714"/>
      <c r="L41" s="2722"/>
      <c r="M41" s="2714"/>
      <c r="N41" s="2714"/>
      <c r="O41" s="2723"/>
      <c r="P41" s="3699" t="str">
        <f>A41</f>
        <v>成交单价</v>
      </c>
      <c r="Q41" s="3699"/>
      <c r="R41" s="3660">
        <f>E41</f>
        <v>0</v>
      </c>
      <c r="S41" s="3660"/>
      <c r="T41" s="3660">
        <f>G41</f>
        <v>0</v>
      </c>
      <c r="U41" s="3660"/>
      <c r="V41" s="3660">
        <f>I41</f>
        <v>0</v>
      </c>
      <c r="W41" s="3660"/>
      <c r="X41" s="690"/>
      <c r="Y41" s="712"/>
      <c r="Z41" s="690"/>
      <c r="AA41" s="690"/>
      <c r="AB41" s="690"/>
      <c r="AC41" s="690"/>
    </row>
    <row r="42" spans="1:31" ht="15" thickBot="1">
      <c r="A42" s="437" t="s">
        <v>1793</v>
      </c>
      <c r="B42" s="631"/>
      <c r="C42" s="440" t="e">
        <f>R43</f>
        <v>#DIV/0!</v>
      </c>
      <c r="D42" s="2315" t="s">
        <v>2133</v>
      </c>
      <c r="E42" s="440" t="e">
        <f>R42</f>
        <v>#DIV/0!</v>
      </c>
      <c r="F42" s="2316"/>
      <c r="G42" s="439" t="e">
        <f>T42</f>
        <v>#DIV/0!</v>
      </c>
      <c r="H42" s="2316"/>
      <c r="I42" s="440" t="e">
        <f>V42</f>
        <v>#DIV/0!</v>
      </c>
      <c r="J42" s="2316"/>
      <c r="K42" s="2318">
        <f>F42+H42+J42</f>
        <v>0</v>
      </c>
      <c r="L42" s="2722"/>
      <c r="M42" s="2714"/>
      <c r="N42" s="2714"/>
      <c r="O42" s="2723"/>
      <c r="P42" s="3699" t="str">
        <f>A42</f>
        <v>比较价值（元/平方米）</v>
      </c>
      <c r="Q42" s="3699"/>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01" t="str">
        <f>A43</f>
        <v>估价对象XX用房的比较价值（楼面单价，元/平方米）</v>
      </c>
      <c r="Q43" s="3702"/>
      <c r="R43" s="3744" t="e">
        <f>ROUND(IF(D42="简单平均",AVERAGE(R42:W42),R42*F42+T42*H42+V42*J42),0)</f>
        <v>#DIV/0!</v>
      </c>
      <c r="S43" s="3744"/>
      <c r="T43" s="3744"/>
      <c r="U43" s="3744"/>
      <c r="V43" s="3744"/>
      <c r="W43" s="374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677" t="s">
        <v>1887</v>
      </c>
      <c r="H50" s="3745"/>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87.01</v>
      </c>
      <c r="F51" s="639" t="e">
        <f t="shared" ref="F51:F60" si="15">ROUND(B51*E51/10000,0)</f>
        <v>#DIV/0!</v>
      </c>
      <c r="G51" s="3676"/>
      <c r="H51" s="369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2081</v>
      </c>
      <c r="B1" s="2145"/>
      <c r="C1" s="2145"/>
      <c r="D1" s="2145"/>
      <c r="E1" s="2145"/>
      <c r="F1" s="2791"/>
      <c r="G1" s="2791"/>
      <c r="H1" s="2791"/>
      <c r="I1" s="2791"/>
      <c r="J1" s="2791"/>
      <c r="K1" s="2791"/>
      <c r="L1" s="2791"/>
      <c r="M1" s="2791"/>
      <c r="N1" s="2791"/>
      <c r="O1" s="2791"/>
      <c r="P1" s="2791"/>
    </row>
    <row r="2" spans="1:16" ht="15.6">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6">
      <c r="A3" s="2143" t="s">
        <v>2076</v>
      </c>
      <c r="B3" s="2600" t="e">
        <f ca="1">ROUND(B2*10000/E2,0)</f>
        <v>#DIV/0!</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0"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6">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6">
      <c r="A4" s="3757"/>
      <c r="B4" s="3758"/>
      <c r="C4" s="3758"/>
      <c r="D4" s="3759"/>
      <c r="E4" s="3759"/>
      <c r="F4" s="3759"/>
      <c r="G4" s="3759"/>
      <c r="H4" s="3759"/>
      <c r="I4" s="3759"/>
      <c r="J4" s="3760"/>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6"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6"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6" thickBot="1">
      <c r="A7" s="3302" t="s">
        <v>3236</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6"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54" t="s">
        <v>1960</v>
      </c>
      <c r="X8" s="375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56"/>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8" thickBot="1">
      <c r="A12" s="3302" t="s">
        <v>3237</v>
      </c>
      <c r="B12" s="3303" t="s">
        <v>3238</v>
      </c>
      <c r="C12" s="3304"/>
      <c r="D12" s="3305" t="s">
        <v>3239</v>
      </c>
      <c r="E12" s="3306" t="s">
        <v>3240</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24.6" thickBot="1">
      <c r="A13" s="3302" t="s">
        <v>3241</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24">
      <c r="A14" s="3296"/>
      <c r="B14" s="2038" t="s">
        <v>1985</v>
      </c>
      <c r="C14" s="2039" t="s">
        <v>1986</v>
      </c>
      <c r="D14" s="1348"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3243</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ht="24">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3.8">
      <c r="A18" s="3331"/>
      <c r="B18" s="3008"/>
      <c r="C18" s="3326"/>
      <c r="D18" s="3321" t="s">
        <v>3247</v>
      </c>
      <c r="E18" s="3327"/>
      <c r="F18" s="3322" t="s">
        <v>3250</v>
      </c>
      <c r="G18" s="3326">
        <f>ROUND(1-(1/(POWER(1+G24,E18))),4)</f>
        <v>0</v>
      </c>
      <c r="H18" s="3322" t="s">
        <v>3252</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4.4" thickBot="1">
      <c r="A19" s="3333"/>
      <c r="B19" s="3334"/>
      <c r="C19" s="3335"/>
      <c r="D19" s="3335" t="s">
        <v>3248</v>
      </c>
      <c r="E19" s="3336"/>
      <c r="F19" s="3337" t="s">
        <v>3251</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3.8">
      <c r="A20" s="3761" t="s">
        <v>3253</v>
      </c>
      <c r="B20" s="167" t="s">
        <v>1994</v>
      </c>
      <c r="C20" s="3323" t="e">
        <f>ROUND(IF(F21="与级别开发程度一致",0,(G21-E21)/C21),0)</f>
        <v>#DIV/0!</v>
      </c>
      <c r="D20" s="3339" t="s">
        <v>1998</v>
      </c>
      <c r="E20" s="3340"/>
      <c r="F20" s="3767" t="s">
        <v>1995</v>
      </c>
      <c r="G20" s="3768"/>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4.4" thickBot="1">
      <c r="A21" s="3762"/>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7" thickBot="1">
      <c r="A23" s="2048" t="s">
        <v>364</v>
      </c>
      <c r="B23" s="2049"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61">
        <v>44197</v>
      </c>
      <c r="F23" s="2052" t="s">
        <v>2003</v>
      </c>
      <c r="G23" s="762">
        <f>'数据-取费表'!B2</f>
        <v>45322</v>
      </c>
      <c r="H23" s="3341" t="s">
        <v>3255</v>
      </c>
      <c r="I23" s="3342" t="str">
        <f>IF(H23="季度增幅（自定义）",SUMIF(N25:N28,E2,O25:O28),"")</f>
        <v/>
      </c>
      <c r="J23" s="3444" t="s">
        <v>3254</v>
      </c>
      <c r="K23" s="1124"/>
      <c r="L23" s="2053" t="s">
        <v>2004</v>
      </c>
      <c r="M23" s="1327">
        <f>ROUND(SUMIF(地价!B2:G2,E2,地价!B16:G16),0)</f>
        <v>0</v>
      </c>
      <c r="N23" s="2054" t="s">
        <v>2005</v>
      </c>
      <c r="O23" s="763">
        <f>ROUNDDOWN(DATEDIF(E23,G23,"M")/3,0)</f>
        <v>12</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6" thickBot="1">
      <c r="A24" s="2056" t="s">
        <v>365</v>
      </c>
      <c r="B24" s="2057" t="s">
        <v>2006</v>
      </c>
      <c r="C24" s="764" t="e">
        <f>ROUND(POWER(1+G24,J24-I24)*(POWER(1+G24,I24)-1)/(POWER(1+G24,J24)-1),4)</f>
        <v>#DIV/0!</v>
      </c>
      <c r="D24" s="2058" t="s">
        <v>2007</v>
      </c>
      <c r="E24" s="1334">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4.4">
      <c r="A25" s="2063" t="s">
        <v>366</v>
      </c>
      <c r="B25" s="2064" t="s">
        <v>3334</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4">
      <c r="A26" s="1953" t="s">
        <v>2014</v>
      </c>
      <c r="B26" s="2068" t="s">
        <v>2015</v>
      </c>
      <c r="C26" s="3343" t="s">
        <v>3256</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3257</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4.4">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3261</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3.8">
      <c r="A33" s="2094"/>
      <c r="B33" s="2095" t="s">
        <v>2030</v>
      </c>
      <c r="C33" s="175" t="e">
        <f>ROUND(C5*C22*C23*C24*C25*C28,0)</f>
        <v>#DIV/0!</v>
      </c>
      <c r="D33" s="2096"/>
      <c r="E33" s="773" t="e">
        <f>ROUND(C33*D33/10000,0)</f>
        <v>#DIV/0!</v>
      </c>
      <c r="F33" s="3344" t="s">
        <v>3259</v>
      </c>
      <c r="G33" s="2097"/>
      <c r="H33" s="2097"/>
      <c r="I33" s="2097"/>
      <c r="J33" s="2098"/>
      <c r="K33" s="1118"/>
      <c r="L33" s="3347" t="s">
        <v>3262</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8"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3263</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3260</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6" thickBot="1">
      <c r="A37" s="3765"/>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3265</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66"/>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8" thickBot="1">
      <c r="A39" s="3766"/>
      <c r="B39" s="2039" t="s">
        <v>3258</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3266</v>
      </c>
      <c r="M41" s="2116">
        <v>0.25</v>
      </c>
      <c r="Z41" s="1119"/>
      <c r="AA41" s="1119"/>
      <c r="AB41" s="1119"/>
      <c r="AC41" s="1119"/>
      <c r="AD41" s="1119"/>
      <c r="AE41" s="1119"/>
      <c r="AF41" s="1119"/>
      <c r="AG41" s="1119"/>
      <c r="AH41" s="1119"/>
      <c r="AI41" s="1119"/>
      <c r="AJ41" s="1119"/>
    </row>
    <row r="42" spans="1:37" s="1118" customFormat="1" ht="13.8"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2" t="s">
        <v>2117</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4.4">
      <c r="A48" s="2124" t="s">
        <v>2043</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5.2">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52.8">
      <c r="A51" s="2128" t="s">
        <v>2053</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7" t="s">
        <v>3268</v>
      </c>
      <c r="B52" s="2132">
        <f>估价对象房地状况!C19</f>
        <v>0</v>
      </c>
      <c r="C52" s="2042"/>
      <c r="D52" s="1064">
        <f t="shared" si="7"/>
        <v>0</v>
      </c>
      <c r="E52" s="745"/>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8" t="s">
        <v>2054</v>
      </c>
      <c r="B53" s="2133" t="s">
        <v>2055</v>
      </c>
      <c r="C53" s="2042"/>
      <c r="D53" s="1064">
        <f t="shared" si="7"/>
        <v>0</v>
      </c>
      <c r="E53" s="745"/>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8" t="s">
        <v>2057</v>
      </c>
      <c r="B55" s="2134" t="s">
        <v>2058</v>
      </c>
      <c r="C55" s="2042"/>
      <c r="D55" s="1064">
        <f t="shared" si="7"/>
        <v>0</v>
      </c>
      <c r="E55" s="745"/>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6.4">
      <c r="A56" s="2135" t="s">
        <v>2059</v>
      </c>
      <c r="B56" s="1325" t="str">
        <f>估价对象房地状况!C21</f>
        <v>估价对象所在区域公共配套设施齐备情况</v>
      </c>
      <c r="C56" s="2042"/>
      <c r="D56" s="1064">
        <f t="shared" si="7"/>
        <v>0</v>
      </c>
      <c r="E56" s="745"/>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6.4">
      <c r="A57" s="2135" t="s">
        <v>2060</v>
      </c>
      <c r="B57" s="2132" t="str">
        <f>估价对象房地状况!C22</f>
        <v>估价对象所在区域基础设施水平</v>
      </c>
      <c r="C57" s="2042"/>
      <c r="D57" s="1064">
        <f t="shared" si="7"/>
        <v>0</v>
      </c>
      <c r="E57" s="745"/>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40.200000000000003" thickBot="1">
      <c r="A58" s="2136" t="s">
        <v>2061</v>
      </c>
      <c r="B58" s="2137" t="str">
        <f>估价对象房地状况!C20</f>
        <v>区域自然环境：；人文环境；综合评价环境状况一般</v>
      </c>
      <c r="C58" s="2042"/>
      <c r="D58" s="1064">
        <f t="shared" si="7"/>
        <v>0</v>
      </c>
      <c r="E58" s="746"/>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8" t="s">
        <v>2053</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67" t="s">
        <v>3268</v>
      </c>
      <c r="B63" s="2132">
        <f>估价对象房地状况!C19</f>
        <v>0</v>
      </c>
      <c r="C63" s="2042"/>
      <c r="D63" s="1064">
        <f t="shared" si="12"/>
        <v>0</v>
      </c>
      <c r="E63" s="745"/>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8" t="s">
        <v>2054</v>
      </c>
      <c r="B64" s="2133" t="s">
        <v>2055</v>
      </c>
      <c r="C64" s="2042"/>
      <c r="D64" s="1064">
        <f t="shared" si="12"/>
        <v>0</v>
      </c>
      <c r="E64" s="745"/>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8" t="s">
        <v>2057</v>
      </c>
      <c r="B66" s="2134" t="s">
        <v>2058</v>
      </c>
      <c r="C66" s="2042"/>
      <c r="D66" s="1064">
        <f t="shared" si="12"/>
        <v>0</v>
      </c>
      <c r="E66" s="745"/>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8" t="s">
        <v>2059</v>
      </c>
      <c r="B67" s="1325" t="str">
        <f>估价对象房地状况!C21</f>
        <v>估价对象所在区域公共配套设施齐备情况</v>
      </c>
      <c r="C67" s="2042"/>
      <c r="D67" s="1064">
        <f t="shared" si="12"/>
        <v>0</v>
      </c>
      <c r="E67" s="745"/>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8" t="s">
        <v>2060</v>
      </c>
      <c r="B68" s="1325" t="str">
        <f>估价对象房地状况!C22</f>
        <v>估价对象所在区域基础设施水平</v>
      </c>
      <c r="C68" s="2042"/>
      <c r="D68" s="1064">
        <f t="shared" si="12"/>
        <v>0</v>
      </c>
      <c r="E68" s="745"/>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6" t="s">
        <v>2061</v>
      </c>
      <c r="B69" s="2138" t="str">
        <f>估价对象房地状况!C20</f>
        <v>区域自然环境：；人文环境；综合评价环境状况一般</v>
      </c>
      <c r="C69" s="2042"/>
      <c r="D69" s="1064">
        <f t="shared" si="12"/>
        <v>0</v>
      </c>
      <c r="E69" s="746"/>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8" t="s">
        <v>2053</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48">
      <c r="A74" s="3367" t="s">
        <v>3268</v>
      </c>
      <c r="B74" s="2132">
        <f>估价对象房地状况!C19</f>
        <v>0</v>
      </c>
      <c r="C74" s="2042"/>
      <c r="D74" s="1064">
        <f t="shared" si="17"/>
        <v>0</v>
      </c>
      <c r="E74" s="747"/>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3.8">
      <c r="A75" s="2128" t="s">
        <v>2067</v>
      </c>
      <c r="B75" s="2132">
        <f>估价对象房地状况!C24</f>
        <v>0</v>
      </c>
      <c r="C75" s="2042"/>
      <c r="D75" s="1064">
        <f t="shared" si="17"/>
        <v>0</v>
      </c>
      <c r="E75" s="747"/>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6.4">
      <c r="A76" s="2128" t="s">
        <v>2059</v>
      </c>
      <c r="B76" s="1325" t="str">
        <f>估价对象房地状况!C21</f>
        <v>估价对象所在区域公共配套设施齐备情况</v>
      </c>
      <c r="C76" s="2042"/>
      <c r="D76" s="1064">
        <f t="shared" si="17"/>
        <v>0</v>
      </c>
      <c r="E76" s="747"/>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6.4">
      <c r="A77" s="2128" t="s">
        <v>2060</v>
      </c>
      <c r="B77" s="1325" t="str">
        <f>估价对象房地状况!C22</f>
        <v>估价对象所在区域基础设施水平</v>
      </c>
      <c r="C77" s="2042"/>
      <c r="D77" s="1064">
        <f t="shared" si="17"/>
        <v>0</v>
      </c>
      <c r="E77" s="747"/>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36">
      <c r="A78" s="2128" t="s">
        <v>2057</v>
      </c>
      <c r="B78" s="2134" t="s">
        <v>2058</v>
      </c>
      <c r="C78" s="2042"/>
      <c r="D78" s="1064">
        <f t="shared" si="17"/>
        <v>0</v>
      </c>
      <c r="E78" s="747"/>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39.6">
      <c r="A79" s="2128" t="s">
        <v>2061</v>
      </c>
      <c r="B79" s="2131" t="str">
        <f>估价对象房地状况!C20</f>
        <v>区域自然环境：；人文环境；综合评价环境状况一般</v>
      </c>
      <c r="C79" s="2042"/>
      <c r="D79" s="1064">
        <f t="shared" si="17"/>
        <v>0</v>
      </c>
      <c r="E79" s="747"/>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36.6" thickBot="1">
      <c r="A80" s="2136" t="s">
        <v>2068</v>
      </c>
      <c r="B80" s="2140"/>
      <c r="C80" s="2042"/>
      <c r="D80" s="1064">
        <f t="shared" si="17"/>
        <v>0</v>
      </c>
      <c r="E80" s="748"/>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4.4">
      <c r="A81" s="2124" t="s">
        <v>2069</v>
      </c>
      <c r="B81" s="2125">
        <f>1+E83</f>
        <v>1</v>
      </c>
      <c r="C81" s="741"/>
      <c r="D81" s="741"/>
      <c r="E81" s="742"/>
      <c r="F81" s="2127"/>
      <c r="G81" s="3"/>
      <c r="H81" s="3"/>
      <c r="I81" s="3"/>
      <c r="J81" s="4"/>
      <c r="K81" s="4"/>
      <c r="L81" s="4"/>
      <c r="M81" s="4"/>
      <c r="N81" s="4"/>
      <c r="Z81" s="1996"/>
      <c r="AA81" s="2051"/>
      <c r="AG81" s="1120"/>
      <c r="AK81" s="2051"/>
    </row>
    <row r="82" spans="1:37" ht="25.2">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20"/>
      <c r="AK82" s="2051"/>
    </row>
    <row r="83" spans="1:37" ht="39.6">
      <c r="A83" s="2128" t="s">
        <v>2070</v>
      </c>
      <c r="B83" s="2132" t="str">
        <f>估价对象房地状况!G15</f>
        <v>估价对象位于XX开发区，园区建设成熟度XX，产业集聚程度XX</v>
      </c>
      <c r="C83" s="2042"/>
      <c r="D83" s="1064">
        <f t="shared" ref="D83:D90" si="22">SUMIF($J$82:$N$82,C83,J83:N83)</f>
        <v>0</v>
      </c>
      <c r="E83" s="744">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52.8">
      <c r="A84" s="2128" t="s">
        <v>2053</v>
      </c>
      <c r="B84" s="2132" t="str">
        <f>估价对象房地状况!G16</f>
        <v>估价对象周边道路状况、公共交通通达情况、停车便捷程度，综合评价交通便捷度较好</v>
      </c>
      <c r="C84" s="2042"/>
      <c r="D84" s="1064">
        <f t="shared" si="22"/>
        <v>0</v>
      </c>
      <c r="E84" s="747"/>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48">
      <c r="A85" s="3367" t="s">
        <v>3269</v>
      </c>
      <c r="B85" s="2132">
        <f>估价对象房地状况!G17</f>
        <v>0</v>
      </c>
      <c r="C85" s="2042"/>
      <c r="D85" s="1064">
        <f t="shared" si="22"/>
        <v>0</v>
      </c>
      <c r="E85" s="747"/>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3.8">
      <c r="A86" s="2128" t="s">
        <v>2067</v>
      </c>
      <c r="B86" s="2132">
        <f>估价对象房地状况!G22</f>
        <v>0</v>
      </c>
      <c r="C86" s="2042"/>
      <c r="D86" s="1064">
        <f t="shared" si="22"/>
        <v>0</v>
      </c>
      <c r="E86" s="747"/>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6.4">
      <c r="A87" s="2128" t="s">
        <v>2059</v>
      </c>
      <c r="B87" s="1325" t="str">
        <f>估价对象房地状况!G19</f>
        <v>估价对象所在区域公共配套设施齐备情况</v>
      </c>
      <c r="C87" s="2042"/>
      <c r="D87" s="1064">
        <f t="shared" si="22"/>
        <v>0</v>
      </c>
      <c r="E87" s="747"/>
      <c r="F87" s="1812"/>
      <c r="G87" s="1062"/>
      <c r="H87" s="1065" t="str">
        <f t="shared" si="23"/>
        <v>——</v>
      </c>
      <c r="I87" s="3365">
        <v>0.06</v>
      </c>
      <c r="J87" s="1063">
        <f t="shared" si="24"/>
        <v>0</v>
      </c>
      <c r="K87" s="1063">
        <f t="shared" si="25"/>
        <v>0</v>
      </c>
      <c r="L87" s="1063">
        <v>0</v>
      </c>
      <c r="M87" s="1063">
        <f t="shared" si="26"/>
        <v>0</v>
      </c>
      <c r="N87" s="1063">
        <f t="shared" si="26"/>
        <v>0</v>
      </c>
    </row>
    <row r="88" spans="1:37" ht="26.4">
      <c r="A88" s="2128" t="s">
        <v>2060</v>
      </c>
      <c r="B88" s="1325" t="str">
        <f>估价对象房地状况!G20</f>
        <v>估价对象所在区域基础设施水平</v>
      </c>
      <c r="C88" s="2042"/>
      <c r="D88" s="1064">
        <f t="shared" si="22"/>
        <v>0</v>
      </c>
      <c r="E88" s="747"/>
      <c r="F88" s="1812"/>
      <c r="G88" s="1062"/>
      <c r="H88" s="1065" t="str">
        <f t="shared" si="23"/>
        <v>——</v>
      </c>
      <c r="I88" s="3365">
        <v>0.12</v>
      </c>
      <c r="J88" s="1063">
        <f t="shared" si="24"/>
        <v>0</v>
      </c>
      <c r="K88" s="1063">
        <f t="shared" si="25"/>
        <v>0</v>
      </c>
      <c r="L88" s="1063">
        <v>0</v>
      </c>
      <c r="M88" s="1063">
        <f t="shared" si="26"/>
        <v>0</v>
      </c>
      <c r="N88" s="1063">
        <f t="shared" si="26"/>
        <v>0</v>
      </c>
    </row>
    <row r="89" spans="1:37" ht="36">
      <c r="A89" s="2128" t="s">
        <v>2057</v>
      </c>
      <c r="B89" s="2134" t="s">
        <v>2071</v>
      </c>
      <c r="C89" s="2042"/>
      <c r="D89" s="1064">
        <f t="shared" si="22"/>
        <v>0</v>
      </c>
      <c r="E89" s="747"/>
      <c r="F89" s="1812"/>
      <c r="G89" s="1062"/>
      <c r="H89" s="1065" t="str">
        <f t="shared" si="23"/>
        <v>——</v>
      </c>
      <c r="I89" s="3365">
        <v>0.06</v>
      </c>
      <c r="J89" s="1063">
        <f t="shared" si="24"/>
        <v>0</v>
      </c>
      <c r="K89" s="1063">
        <f t="shared" si="25"/>
        <v>0</v>
      </c>
      <c r="L89" s="1063">
        <v>0</v>
      </c>
      <c r="M89" s="1063">
        <f t="shared" si="26"/>
        <v>0</v>
      </c>
      <c r="N89" s="1063">
        <f t="shared" si="26"/>
        <v>0</v>
      </c>
    </row>
    <row r="90" spans="1:37" ht="40.200000000000003" thickBot="1">
      <c r="A90" s="2136" t="s">
        <v>2072</v>
      </c>
      <c r="B90" s="2141" t="str">
        <f>估价对象房地状况!G18</f>
        <v>该园区内是否有污染型企业，绿化情况，卫生条件，整体环境状况判断</v>
      </c>
      <c r="C90" s="2042"/>
      <c r="D90" s="1064">
        <f t="shared" si="22"/>
        <v>0</v>
      </c>
      <c r="E90" s="748"/>
      <c r="F90" s="1812"/>
      <c r="G90" s="1062"/>
      <c r="H90" s="1065" t="str">
        <f t="shared" si="23"/>
        <v>——</v>
      </c>
      <c r="I90" s="3366">
        <v>0.05</v>
      </c>
      <c r="J90" s="1063">
        <f t="shared" si="24"/>
        <v>0</v>
      </c>
      <c r="K90" s="1063">
        <f t="shared" si="25"/>
        <v>0</v>
      </c>
      <c r="L90" s="1063">
        <v>0</v>
      </c>
      <c r="M90" s="1063">
        <f t="shared" si="26"/>
        <v>0</v>
      </c>
      <c r="N90" s="1063">
        <f t="shared" si="26"/>
        <v>0</v>
      </c>
    </row>
    <row r="91" spans="1:37" ht="13.8">
      <c r="A91" s="3375" t="s">
        <v>2611</v>
      </c>
      <c r="B91" s="3376">
        <f>1+E93</f>
        <v>1</v>
      </c>
      <c r="C91" s="3369"/>
      <c r="D91" s="3370"/>
      <c r="E91" s="1812"/>
      <c r="F91" s="1812"/>
      <c r="G91" s="3371"/>
      <c r="H91" s="3372"/>
      <c r="I91" s="3373"/>
      <c r="J91" s="3374"/>
      <c r="K91" s="3374"/>
      <c r="L91" s="3374"/>
      <c r="M91" s="3374"/>
      <c r="N91" s="3374"/>
    </row>
    <row r="92" spans="1:37" ht="25.2">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3272</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3268</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3273</v>
      </c>
      <c r="B96" s="3383" t="s">
        <v>3284</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36">
      <c r="A98" s="3377" t="s">
        <v>3275</v>
      </c>
      <c r="B98" s="3384" t="s">
        <v>3285</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6.4">
      <c r="A99" s="3377" t="s">
        <v>3276</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6.4">
      <c r="A100" s="3377" t="s">
        <v>3277</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3278</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3293</v>
      </c>
      <c r="B103" s="3763"/>
      <c r="C103" s="3763"/>
      <c r="D103" s="3763"/>
      <c r="E103" s="3763"/>
      <c r="F103" s="3763"/>
      <c r="G103" s="3763"/>
      <c r="H103" s="3763"/>
      <c r="I103" s="3763"/>
      <c r="J103" s="3763"/>
      <c r="K103" s="3388"/>
      <c r="L103" s="3388"/>
      <c r="M103" s="3388"/>
      <c r="N103" s="3388"/>
    </row>
    <row r="104" spans="1:14">
      <c r="A104" s="3764" t="s">
        <v>3294</v>
      </c>
      <c r="B104" s="3764" t="s">
        <v>3295</v>
      </c>
      <c r="C104" s="3389" t="s">
        <v>3296</v>
      </c>
      <c r="D104" s="3390"/>
      <c r="E104" s="3390"/>
      <c r="F104" s="3390"/>
      <c r="G104" s="3390"/>
      <c r="H104" s="3390"/>
      <c r="I104" s="3390"/>
      <c r="J104" s="3391"/>
      <c r="K104" s="3392"/>
      <c r="L104" s="3392"/>
      <c r="M104" s="3392"/>
      <c r="N104" s="3392"/>
    </row>
    <row r="105" spans="1:14">
      <c r="A105" s="3764"/>
      <c r="B105" s="3764"/>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0"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3" t="s">
        <v>3310</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3311</v>
      </c>
      <c r="B116" s="3414">
        <f>G3</f>
        <v>0</v>
      </c>
      <c r="C116" s="3398" t="s">
        <v>3312</v>
      </c>
      <c r="D116" s="3399">
        <f>SUMPRODUCT((A118:A122=F116)*(B117:M117=H116)*B118:M122)</f>
        <v>0</v>
      </c>
      <c r="E116" s="1998" t="s">
        <v>3313</v>
      </c>
      <c r="F116" s="3400">
        <f>E2</f>
        <v>0</v>
      </c>
      <c r="G116" s="1998" t="s">
        <v>3314</v>
      </c>
      <c r="H116" s="3400">
        <f>G2</f>
        <v>0</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3328</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3329</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3330</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76" t="s">
        <v>2606</v>
      </c>
      <c r="B20" s="3769" t="s">
        <v>2627</v>
      </c>
      <c r="C20" s="3101" t="s">
        <v>2438</v>
      </c>
      <c r="D20" s="3102"/>
      <c r="E20" s="3103">
        <v>1</v>
      </c>
      <c r="F20" s="3104" t="s">
        <v>2439</v>
      </c>
      <c r="G20" s="3104"/>
    </row>
    <row r="21" spans="1:13" ht="19.5" customHeight="1">
      <c r="A21" s="3777"/>
      <c r="B21" s="3770"/>
      <c r="C21" s="3105" t="s">
        <v>2440</v>
      </c>
      <c r="D21" s="3106"/>
      <c r="E21" s="3107">
        <v>1</v>
      </c>
      <c r="F21" s="3104" t="s">
        <v>2441</v>
      </c>
      <c r="G21" s="3104"/>
    </row>
    <row r="22" spans="1:13" ht="19.5" customHeight="1">
      <c r="A22" s="3777"/>
      <c r="B22" s="3770"/>
      <c r="C22" s="3105" t="s">
        <v>2442</v>
      </c>
      <c r="D22" s="3106"/>
      <c r="E22" s="3107">
        <v>0.9</v>
      </c>
      <c r="F22" s="3104" t="s">
        <v>2443</v>
      </c>
      <c r="G22" s="3104"/>
    </row>
    <row r="23" spans="1:13" ht="19.5" customHeight="1">
      <c r="A23" s="3777"/>
      <c r="B23" s="3770"/>
      <c r="C23" s="3105" t="s">
        <v>2444</v>
      </c>
      <c r="D23" s="3106"/>
      <c r="E23" s="3107">
        <v>0.9</v>
      </c>
      <c r="F23" s="3104" t="s">
        <v>2445</v>
      </c>
      <c r="G23" s="3104"/>
    </row>
    <row r="24" spans="1:13" ht="19.5" customHeight="1">
      <c r="A24" s="3777"/>
      <c r="B24" s="3770"/>
      <c r="C24" s="3105" t="s">
        <v>2446</v>
      </c>
      <c r="D24" s="3106"/>
      <c r="E24" s="3107">
        <v>0.8</v>
      </c>
      <c r="F24" s="3104" t="s">
        <v>2447</v>
      </c>
      <c r="G24" s="3104"/>
    </row>
    <row r="25" spans="1:13" ht="19.5" customHeight="1" thickBot="1">
      <c r="A25" s="3778"/>
      <c r="B25" s="3771"/>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72" t="s">
        <v>2630</v>
      </c>
      <c r="B27" s="3769" t="s">
        <v>2611</v>
      </c>
      <c r="C27" s="3101" t="s">
        <v>2451</v>
      </c>
      <c r="D27" s="3102"/>
      <c r="E27" s="3103">
        <v>1</v>
      </c>
      <c r="F27" s="3104" t="s">
        <v>2452</v>
      </c>
      <c r="G27" s="3104"/>
    </row>
    <row r="28" spans="1:13" ht="19.5" customHeight="1">
      <c r="A28" s="3773"/>
      <c r="B28" s="3770"/>
      <c r="C28" s="3105" t="s">
        <v>2453</v>
      </c>
      <c r="D28" s="3106"/>
      <c r="E28" s="3107">
        <v>1</v>
      </c>
      <c r="F28" s="3104" t="s">
        <v>2454</v>
      </c>
      <c r="G28" s="3104"/>
    </row>
    <row r="29" spans="1:13" ht="19.5" customHeight="1">
      <c r="A29" s="3773"/>
      <c r="B29" s="3770"/>
      <c r="C29" s="3105" t="s">
        <v>2455</v>
      </c>
      <c r="D29" s="3106"/>
      <c r="E29" s="3107">
        <v>0.8</v>
      </c>
      <c r="F29" s="3104" t="s">
        <v>2456</v>
      </c>
      <c r="G29" s="3104"/>
    </row>
    <row r="30" spans="1:13" ht="19.5" customHeight="1">
      <c r="A30" s="3773"/>
      <c r="B30" s="3770"/>
      <c r="C30" s="3105" t="s">
        <v>2457</v>
      </c>
      <c r="D30" s="3106"/>
      <c r="E30" s="3107">
        <v>0.8</v>
      </c>
      <c r="F30" s="3104" t="s">
        <v>2458</v>
      </c>
      <c r="G30" s="3104"/>
    </row>
    <row r="31" spans="1:13" ht="19.5" customHeight="1">
      <c r="A31" s="3773"/>
      <c r="B31" s="3770"/>
      <c r="C31" s="3105" t="s">
        <v>2459</v>
      </c>
      <c r="D31" s="3106"/>
      <c r="E31" s="3107">
        <v>0.8</v>
      </c>
      <c r="F31" s="3104" t="s">
        <v>2460</v>
      </c>
      <c r="G31" s="3104"/>
    </row>
    <row r="32" spans="1:13" ht="19.5" customHeight="1">
      <c r="A32" s="3773"/>
      <c r="B32" s="3770"/>
      <c r="C32" s="3105" t="s">
        <v>2461</v>
      </c>
      <c r="D32" s="3106"/>
      <c r="E32" s="3107">
        <v>0.7</v>
      </c>
      <c r="F32" s="3104" t="s">
        <v>2462</v>
      </c>
      <c r="G32" s="3104"/>
    </row>
    <row r="33" spans="1:7" ht="19.5" customHeight="1">
      <c r="A33" s="3773"/>
      <c r="B33" s="3770"/>
      <c r="C33" s="3105" t="s">
        <v>2463</v>
      </c>
      <c r="D33" s="3106"/>
      <c r="E33" s="3107">
        <v>0.8</v>
      </c>
      <c r="F33" s="3104" t="s">
        <v>2464</v>
      </c>
      <c r="G33" s="3104"/>
    </row>
    <row r="34" spans="1:7" ht="19.5" customHeight="1">
      <c r="A34" s="3773"/>
      <c r="B34" s="3770"/>
      <c r="C34" s="3105" t="s">
        <v>2465</v>
      </c>
      <c r="D34" s="3106"/>
      <c r="E34" s="3107">
        <v>0.6</v>
      </c>
      <c r="F34" s="3104" t="s">
        <v>2466</v>
      </c>
      <c r="G34" s="3104"/>
    </row>
    <row r="35" spans="1:7" ht="19.5" customHeight="1">
      <c r="A35" s="3773"/>
      <c r="B35" s="3770"/>
      <c r="C35" s="3105" t="s">
        <v>2467</v>
      </c>
      <c r="D35" s="3106"/>
      <c r="E35" s="3107">
        <v>0.2</v>
      </c>
      <c r="F35" s="3104" t="s">
        <v>2468</v>
      </c>
      <c r="G35" s="3104"/>
    </row>
    <row r="36" spans="1:7" ht="19.5" customHeight="1">
      <c r="A36" s="3773"/>
      <c r="B36" s="3770"/>
      <c r="C36" s="3105" t="s">
        <v>2469</v>
      </c>
      <c r="D36" s="3106"/>
      <c r="E36" s="3107">
        <v>0.2</v>
      </c>
      <c r="F36" s="3104" t="s">
        <v>2470</v>
      </c>
      <c r="G36" s="3104"/>
    </row>
    <row r="37" spans="1:7" ht="19.5" customHeight="1">
      <c r="A37" s="3773"/>
      <c r="B37" s="3775" t="s">
        <v>2631</v>
      </c>
      <c r="C37" s="3105" t="s">
        <v>2471</v>
      </c>
      <c r="D37" s="3106"/>
      <c r="E37" s="3107">
        <v>0.6</v>
      </c>
      <c r="F37" s="3104" t="s">
        <v>2472</v>
      </c>
      <c r="G37" s="3104"/>
    </row>
    <row r="38" spans="1:7" ht="19.5" customHeight="1">
      <c r="A38" s="3773"/>
      <c r="B38" s="3770"/>
      <c r="C38" s="3105" t="s">
        <v>2473</v>
      </c>
      <c r="D38" s="3106"/>
      <c r="E38" s="3107">
        <v>0.6</v>
      </c>
      <c r="F38" s="3104" t="s">
        <v>2474</v>
      </c>
      <c r="G38" s="3104"/>
    </row>
    <row r="39" spans="1:7" ht="19.5" customHeight="1" thickBot="1">
      <c r="A39" s="3774"/>
      <c r="B39" s="3771"/>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76" t="s">
        <v>2609</v>
      </c>
      <c r="B41" s="3769" t="s">
        <v>2633</v>
      </c>
      <c r="C41" s="3101" t="s">
        <v>2478</v>
      </c>
      <c r="D41" s="3102"/>
      <c r="E41" s="3103">
        <v>1</v>
      </c>
      <c r="F41" s="3104" t="s">
        <v>2479</v>
      </c>
      <c r="G41" s="3104"/>
    </row>
    <row r="42" spans="1:7" ht="19.5" customHeight="1">
      <c r="A42" s="3777"/>
      <c r="B42" s="3770"/>
      <c r="C42" s="3105" t="s">
        <v>2480</v>
      </c>
      <c r="D42" s="3106"/>
      <c r="E42" s="3107">
        <v>1</v>
      </c>
      <c r="F42" s="3104" t="s">
        <v>2481</v>
      </c>
      <c r="G42" s="3104"/>
    </row>
    <row r="43" spans="1:7" ht="19.5" customHeight="1">
      <c r="A43" s="3777"/>
      <c r="B43" s="3779"/>
      <c r="C43" s="3105" t="s">
        <v>2482</v>
      </c>
      <c r="D43" s="3106"/>
      <c r="E43" s="3107">
        <v>1.5</v>
      </c>
      <c r="F43" s="3104" t="s">
        <v>2483</v>
      </c>
      <c r="G43" s="3104"/>
    </row>
    <row r="44" spans="1:7" ht="19.5" customHeight="1">
      <c r="A44" s="3777"/>
      <c r="B44" s="3116" t="s">
        <v>2634</v>
      </c>
      <c r="C44" s="3105" t="s">
        <v>2635</v>
      </c>
      <c r="D44" s="3106"/>
      <c r="E44" s="3107">
        <v>2</v>
      </c>
      <c r="F44" s="3104" t="s">
        <v>2484</v>
      </c>
      <c r="G44" s="3104"/>
    </row>
    <row r="45" spans="1:7" ht="19.5" customHeight="1">
      <c r="A45" s="3777"/>
      <c r="B45" s="3775" t="s">
        <v>2636</v>
      </c>
      <c r="C45" s="3105" t="s">
        <v>2485</v>
      </c>
      <c r="D45" s="3106"/>
      <c r="E45" s="3107">
        <v>1</v>
      </c>
      <c r="F45" s="3104" t="s">
        <v>2486</v>
      </c>
      <c r="G45" s="3104"/>
    </row>
    <row r="46" spans="1:7" ht="19.5" customHeight="1">
      <c r="A46" s="3777"/>
      <c r="B46" s="3770"/>
      <c r="C46" s="3105" t="s">
        <v>2487</v>
      </c>
      <c r="D46" s="3106"/>
      <c r="E46" s="3107">
        <v>1</v>
      </c>
      <c r="F46" s="3104" t="s">
        <v>2488</v>
      </c>
      <c r="G46" s="3104"/>
    </row>
    <row r="47" spans="1:7" ht="19.5" customHeight="1">
      <c r="A47" s="3777"/>
      <c r="B47" s="3770"/>
      <c r="C47" s="3105" t="s">
        <v>2489</v>
      </c>
      <c r="D47" s="3106"/>
      <c r="E47" s="3107">
        <v>1</v>
      </c>
      <c r="F47" s="3104" t="s">
        <v>2490</v>
      </c>
      <c r="G47" s="3104"/>
    </row>
    <row r="48" spans="1:7" ht="19.5" customHeight="1">
      <c r="A48" s="3777"/>
      <c r="B48" s="3770"/>
      <c r="C48" s="3105" t="s">
        <v>2491</v>
      </c>
      <c r="D48" s="3106"/>
      <c r="E48" s="3107">
        <v>1</v>
      </c>
      <c r="F48" s="3104" t="s">
        <v>2492</v>
      </c>
      <c r="G48" s="3104"/>
    </row>
    <row r="49" spans="1:7" ht="19.5" customHeight="1">
      <c r="A49" s="3777"/>
      <c r="B49" s="3770"/>
      <c r="C49" s="3105" t="s">
        <v>2493</v>
      </c>
      <c r="D49" s="3106"/>
      <c r="E49" s="3107">
        <v>1</v>
      </c>
      <c r="F49" s="3104" t="s">
        <v>2494</v>
      </c>
      <c r="G49" s="3104"/>
    </row>
    <row r="50" spans="1:7" ht="19.5" customHeight="1">
      <c r="A50" s="3777"/>
      <c r="B50" s="3770"/>
      <c r="C50" s="3105" t="s">
        <v>2495</v>
      </c>
      <c r="D50" s="3106"/>
      <c r="E50" s="3107">
        <v>1</v>
      </c>
      <c r="F50" s="3104" t="s">
        <v>2496</v>
      </c>
      <c r="G50" s="3104"/>
    </row>
    <row r="51" spans="1:7" ht="19.5" customHeight="1" thickBot="1">
      <c r="A51" s="3778"/>
      <c r="B51" s="3771"/>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4.4">
      <c r="A72" s="3116"/>
      <c r="B72" s="3116"/>
      <c r="C72" s="3116" t="s">
        <v>2649</v>
      </c>
      <c r="D72" s="3116"/>
      <c r="E72" s="3116" t="s">
        <v>2620</v>
      </c>
      <c r="F72" s="3116" t="s">
        <v>2620</v>
      </c>
    </row>
    <row r="73" spans="1:7" ht="14.4">
      <c r="A73" s="3116">
        <v>1</v>
      </c>
      <c r="B73" s="3775" t="s">
        <v>2650</v>
      </c>
      <c r="C73" s="3090" t="s">
        <v>2651</v>
      </c>
      <c r="D73" s="3090" t="s">
        <v>2652</v>
      </c>
      <c r="E73" s="3116">
        <v>0.2</v>
      </c>
      <c r="F73" s="3116">
        <v>25</v>
      </c>
    </row>
    <row r="74" spans="1:7" ht="24">
      <c r="A74" s="3116">
        <v>2</v>
      </c>
      <c r="B74" s="3770"/>
      <c r="C74" s="3090" t="s">
        <v>2653</v>
      </c>
      <c r="D74" s="3090" t="s">
        <v>2654</v>
      </c>
      <c r="E74" s="3116">
        <v>0.2</v>
      </c>
      <c r="F74" s="3116">
        <v>25</v>
      </c>
    </row>
    <row r="75" spans="1:7" ht="24">
      <c r="A75" s="3116">
        <v>3</v>
      </c>
      <c r="B75" s="3770"/>
      <c r="C75" s="3090" t="s">
        <v>2655</v>
      </c>
      <c r="D75" s="3090" t="s">
        <v>2656</v>
      </c>
      <c r="E75" s="3116">
        <v>0.2</v>
      </c>
      <c r="F75" s="3116">
        <v>25</v>
      </c>
    </row>
    <row r="76" spans="1:7" ht="14.4">
      <c r="A76" s="3116">
        <v>4</v>
      </c>
      <c r="B76" s="3770"/>
      <c r="C76" s="3090" t="s">
        <v>2657</v>
      </c>
      <c r="D76" s="3090" t="s">
        <v>2658</v>
      </c>
      <c r="E76" s="3116">
        <v>0.15</v>
      </c>
      <c r="F76" s="3116">
        <v>20</v>
      </c>
    </row>
    <row r="77" spans="1:7" ht="24">
      <c r="A77" s="3116">
        <v>5</v>
      </c>
      <c r="B77" s="3770"/>
      <c r="C77" s="3090" t="s">
        <v>2659</v>
      </c>
      <c r="D77" s="3090" t="s">
        <v>2660</v>
      </c>
      <c r="E77" s="3116">
        <v>0.15</v>
      </c>
      <c r="F77" s="3116">
        <v>20</v>
      </c>
    </row>
    <row r="78" spans="1:7" ht="24">
      <c r="A78" s="3116">
        <v>6</v>
      </c>
      <c r="B78" s="3770"/>
      <c r="C78" s="3090" t="s">
        <v>2661</v>
      </c>
      <c r="D78" s="3090" t="s">
        <v>2662</v>
      </c>
      <c r="E78" s="3116">
        <v>0.15</v>
      </c>
      <c r="F78" s="3116">
        <v>20</v>
      </c>
    </row>
    <row r="79" spans="1:7" ht="24">
      <c r="A79" s="3116">
        <v>7</v>
      </c>
      <c r="B79" s="3770"/>
      <c r="C79" s="3090" t="s">
        <v>2663</v>
      </c>
      <c r="D79" s="3090" t="s">
        <v>2664</v>
      </c>
      <c r="E79" s="3116">
        <v>0.15</v>
      </c>
      <c r="F79" s="3116">
        <v>20</v>
      </c>
    </row>
    <row r="80" spans="1:7" ht="24">
      <c r="A80" s="3116">
        <v>8</v>
      </c>
      <c r="B80" s="3770"/>
      <c r="C80" s="3090" t="s">
        <v>2665</v>
      </c>
      <c r="D80" s="3090" t="s">
        <v>2666</v>
      </c>
      <c r="E80" s="3116">
        <v>0.1</v>
      </c>
      <c r="F80" s="3116">
        <v>15</v>
      </c>
    </row>
    <row r="81" spans="1:6" ht="24">
      <c r="A81" s="3116">
        <v>9</v>
      </c>
      <c r="B81" s="3770"/>
      <c r="C81" s="3090" t="s">
        <v>2667</v>
      </c>
      <c r="D81" s="3090" t="s">
        <v>2668</v>
      </c>
      <c r="E81" s="3116">
        <v>0.1</v>
      </c>
      <c r="F81" s="3116">
        <v>15</v>
      </c>
    </row>
    <row r="82" spans="1:6" ht="24">
      <c r="A82" s="3116">
        <v>10</v>
      </c>
      <c r="B82" s="3770"/>
      <c r="C82" s="3090" t="s">
        <v>2669</v>
      </c>
      <c r="D82" s="3090" t="s">
        <v>2670</v>
      </c>
      <c r="E82" s="3116">
        <v>0.1</v>
      </c>
      <c r="F82" s="3116">
        <v>15</v>
      </c>
    </row>
    <row r="83" spans="1:6" ht="24">
      <c r="A83" s="3116">
        <v>11</v>
      </c>
      <c r="B83" s="3770"/>
      <c r="C83" s="3090" t="s">
        <v>2671</v>
      </c>
      <c r="D83" s="3090" t="s">
        <v>2672</v>
      </c>
      <c r="E83" s="3116">
        <v>0.1</v>
      </c>
      <c r="F83" s="3116">
        <v>15</v>
      </c>
    </row>
    <row r="84" spans="1:6" ht="24">
      <c r="A84" s="3116">
        <v>12</v>
      </c>
      <c r="B84" s="3770"/>
      <c r="C84" s="3090" t="s">
        <v>2673</v>
      </c>
      <c r="D84" s="3090" t="s">
        <v>2674</v>
      </c>
      <c r="E84" s="3116">
        <v>0.1</v>
      </c>
      <c r="F84" s="3116">
        <v>15</v>
      </c>
    </row>
    <row r="85" spans="1:6" ht="24">
      <c r="A85" s="3116">
        <v>13</v>
      </c>
      <c r="B85" s="3770"/>
      <c r="C85" s="3090" t="s">
        <v>2675</v>
      </c>
      <c r="D85" s="3090" t="s">
        <v>2676</v>
      </c>
      <c r="E85" s="3116">
        <v>0.1</v>
      </c>
      <c r="F85" s="3116">
        <v>15</v>
      </c>
    </row>
    <row r="86" spans="1:6" ht="24">
      <c r="A86" s="3116">
        <v>14</v>
      </c>
      <c r="B86" s="3770"/>
      <c r="C86" s="3090" t="s">
        <v>2677</v>
      </c>
      <c r="D86" s="3090" t="s">
        <v>2678</v>
      </c>
      <c r="E86" s="3116">
        <v>0.1</v>
      </c>
      <c r="F86" s="3116">
        <v>15</v>
      </c>
    </row>
    <row r="87" spans="1:6" ht="24">
      <c r="A87" s="3116">
        <v>15</v>
      </c>
      <c r="B87" s="3770"/>
      <c r="C87" s="3090" t="s">
        <v>2679</v>
      </c>
      <c r="D87" s="3090" t="s">
        <v>2680</v>
      </c>
      <c r="E87" s="3116">
        <v>0.1</v>
      </c>
      <c r="F87" s="3116">
        <v>15</v>
      </c>
    </row>
    <row r="88" spans="1:6" ht="24">
      <c r="A88" s="3116">
        <v>16</v>
      </c>
      <c r="B88" s="3770"/>
      <c r="C88" s="3090" t="s">
        <v>2681</v>
      </c>
      <c r="D88" s="3090" t="s">
        <v>2682</v>
      </c>
      <c r="E88" s="3116">
        <v>0.1</v>
      </c>
      <c r="F88" s="3116">
        <v>15</v>
      </c>
    </row>
    <row r="89" spans="1:6" ht="24">
      <c r="A89" s="3116">
        <v>17</v>
      </c>
      <c r="B89" s="3779"/>
      <c r="C89" s="3090" t="s">
        <v>2683</v>
      </c>
      <c r="D89" s="3090" t="s">
        <v>2684</v>
      </c>
      <c r="E89" s="3116">
        <v>0.1</v>
      </c>
      <c r="F89" s="3116">
        <v>15</v>
      </c>
    </row>
    <row r="90" spans="1:6" ht="14.4">
      <c r="A90" s="3116">
        <v>18</v>
      </c>
      <c r="B90" s="3775" t="s">
        <v>2685</v>
      </c>
      <c r="C90" s="3090" t="s">
        <v>2686</v>
      </c>
      <c r="D90" s="3090" t="s">
        <v>2687</v>
      </c>
      <c r="E90" s="3116">
        <v>0.2</v>
      </c>
      <c r="F90" s="3116">
        <v>25</v>
      </c>
    </row>
    <row r="91" spans="1:6" ht="24">
      <c r="A91" s="3116">
        <v>19</v>
      </c>
      <c r="B91" s="3770"/>
      <c r="C91" s="3090" t="s">
        <v>2688</v>
      </c>
      <c r="D91" s="3090" t="s">
        <v>2689</v>
      </c>
      <c r="E91" s="3116">
        <v>0.2</v>
      </c>
      <c r="F91" s="3116">
        <v>25</v>
      </c>
    </row>
    <row r="92" spans="1:6" ht="14.4">
      <c r="A92" s="3116">
        <v>20</v>
      </c>
      <c r="B92" s="3770"/>
      <c r="C92" s="3090" t="s">
        <v>2690</v>
      </c>
      <c r="D92" s="3090" t="s">
        <v>2691</v>
      </c>
      <c r="E92" s="3116">
        <v>0.15</v>
      </c>
      <c r="F92" s="3116">
        <v>20</v>
      </c>
    </row>
    <row r="93" spans="1:6" ht="24">
      <c r="A93" s="3116">
        <v>21</v>
      </c>
      <c r="B93" s="3770"/>
      <c r="C93" s="3090" t="s">
        <v>2692</v>
      </c>
      <c r="D93" s="3090" t="s">
        <v>2693</v>
      </c>
      <c r="E93" s="3116">
        <v>0.15</v>
      </c>
      <c r="F93" s="3116">
        <v>20</v>
      </c>
    </row>
    <row r="94" spans="1:6" ht="24">
      <c r="A94" s="3116">
        <v>22</v>
      </c>
      <c r="B94" s="3770"/>
      <c r="C94" s="3090" t="s">
        <v>2694</v>
      </c>
      <c r="D94" s="3090" t="s">
        <v>2695</v>
      </c>
      <c r="E94" s="3116">
        <v>0.15</v>
      </c>
      <c r="F94" s="3116">
        <v>20</v>
      </c>
    </row>
    <row r="95" spans="1:6" ht="36">
      <c r="A95" s="3116">
        <v>23</v>
      </c>
      <c r="B95" s="3770"/>
      <c r="C95" s="3090" t="s">
        <v>2696</v>
      </c>
      <c r="D95" s="3090" t="s">
        <v>2697</v>
      </c>
      <c r="E95" s="3116">
        <v>0.15</v>
      </c>
      <c r="F95" s="3116">
        <v>20</v>
      </c>
    </row>
    <row r="96" spans="1:6" ht="24">
      <c r="A96" s="3116">
        <v>24</v>
      </c>
      <c r="B96" s="3770"/>
      <c r="C96" s="3090" t="s">
        <v>2698</v>
      </c>
      <c r="D96" s="3090" t="s">
        <v>2699</v>
      </c>
      <c r="E96" s="3116">
        <v>0.1</v>
      </c>
      <c r="F96" s="3116">
        <v>15</v>
      </c>
    </row>
    <row r="97" spans="1:6" ht="24">
      <c r="A97" s="3116">
        <v>25</v>
      </c>
      <c r="B97" s="3770"/>
      <c r="C97" s="3090" t="s">
        <v>2700</v>
      </c>
      <c r="D97" s="3090" t="s">
        <v>2701</v>
      </c>
      <c r="E97" s="3116">
        <v>0.1</v>
      </c>
      <c r="F97" s="3116">
        <v>15</v>
      </c>
    </row>
    <row r="98" spans="1:6" ht="24">
      <c r="A98" s="3116">
        <v>26</v>
      </c>
      <c r="B98" s="3770"/>
      <c r="C98" s="3090" t="s">
        <v>2702</v>
      </c>
      <c r="D98" s="3090" t="s">
        <v>2703</v>
      </c>
      <c r="E98" s="3116">
        <v>0.1</v>
      </c>
      <c r="F98" s="3116">
        <v>15</v>
      </c>
    </row>
    <row r="99" spans="1:6" ht="24">
      <c r="A99" s="3116">
        <v>27</v>
      </c>
      <c r="B99" s="3770"/>
      <c r="C99" s="3090" t="s">
        <v>2704</v>
      </c>
      <c r="D99" s="3090" t="s">
        <v>2705</v>
      </c>
      <c r="E99" s="3116">
        <v>0.1</v>
      </c>
      <c r="F99" s="3116">
        <v>15</v>
      </c>
    </row>
    <row r="100" spans="1:6" ht="24">
      <c r="A100" s="3116">
        <v>28</v>
      </c>
      <c r="B100" s="3770"/>
      <c r="C100" s="3090" t="s">
        <v>2706</v>
      </c>
      <c r="D100" s="3090" t="s">
        <v>2707</v>
      </c>
      <c r="E100" s="3116">
        <v>0.1</v>
      </c>
      <c r="F100" s="3116">
        <v>15</v>
      </c>
    </row>
    <row r="101" spans="1:6" ht="24">
      <c r="A101" s="3116">
        <v>29</v>
      </c>
      <c r="B101" s="3770"/>
      <c r="C101" s="3090" t="s">
        <v>2708</v>
      </c>
      <c r="D101" s="3090" t="s">
        <v>2709</v>
      </c>
      <c r="E101" s="3116">
        <v>0.1</v>
      </c>
      <c r="F101" s="3116">
        <v>15</v>
      </c>
    </row>
    <row r="102" spans="1:6" ht="24">
      <c r="A102" s="3116">
        <v>30</v>
      </c>
      <c r="B102" s="3770"/>
      <c r="C102" s="3090" t="s">
        <v>2710</v>
      </c>
      <c r="D102" s="3090" t="s">
        <v>2711</v>
      </c>
      <c r="E102" s="3116">
        <v>0.1</v>
      </c>
      <c r="F102" s="3116">
        <v>15</v>
      </c>
    </row>
    <row r="103" spans="1:6" ht="24">
      <c r="A103" s="3116">
        <v>31</v>
      </c>
      <c r="B103" s="3770"/>
      <c r="C103" s="3090" t="s">
        <v>2712</v>
      </c>
      <c r="D103" s="3090" t="s">
        <v>2713</v>
      </c>
      <c r="E103" s="3116">
        <v>0.1</v>
      </c>
      <c r="F103" s="3116">
        <v>15</v>
      </c>
    </row>
    <row r="104" spans="1:6" ht="24">
      <c r="A104" s="3116">
        <v>32</v>
      </c>
      <c r="B104" s="3770"/>
      <c r="C104" s="3090" t="s">
        <v>2714</v>
      </c>
      <c r="D104" s="3090" t="s">
        <v>2715</v>
      </c>
      <c r="E104" s="3116">
        <v>0.1</v>
      </c>
      <c r="F104" s="3116">
        <v>15</v>
      </c>
    </row>
    <row r="105" spans="1:6" ht="24">
      <c r="A105" s="3116">
        <v>33</v>
      </c>
      <c r="B105" s="3770"/>
      <c r="C105" s="3090" t="s">
        <v>2716</v>
      </c>
      <c r="D105" s="3090" t="s">
        <v>2717</v>
      </c>
      <c r="E105" s="3116">
        <v>0.1</v>
      </c>
      <c r="F105" s="3116">
        <v>15</v>
      </c>
    </row>
    <row r="106" spans="1:6" ht="24">
      <c r="A106" s="3116">
        <v>34</v>
      </c>
      <c r="B106" s="3779"/>
      <c r="C106" s="3090" t="s">
        <v>2718</v>
      </c>
      <c r="D106" s="3090" t="s">
        <v>2719</v>
      </c>
      <c r="E106" s="3116">
        <v>0.1</v>
      </c>
      <c r="F106" s="3116">
        <v>15</v>
      </c>
    </row>
    <row r="107" spans="1:6" ht="36">
      <c r="A107" s="3116">
        <v>35</v>
      </c>
      <c r="B107" s="3775" t="s">
        <v>2720</v>
      </c>
      <c r="C107" s="3116" t="s">
        <v>2721</v>
      </c>
      <c r="D107" s="3090" t="s">
        <v>2722</v>
      </c>
      <c r="E107" s="3116">
        <v>0.15</v>
      </c>
      <c r="F107" s="3116">
        <v>20</v>
      </c>
    </row>
    <row r="108" spans="1:6" ht="24">
      <c r="A108" s="3116">
        <v>36</v>
      </c>
      <c r="B108" s="3770"/>
      <c r="C108" s="3116" t="s">
        <v>2723</v>
      </c>
      <c r="D108" s="3090" t="s">
        <v>2724</v>
      </c>
      <c r="E108" s="3116">
        <v>0.15</v>
      </c>
      <c r="F108" s="3116">
        <v>20</v>
      </c>
    </row>
    <row r="109" spans="1:6" ht="24">
      <c r="A109" s="3116">
        <v>37</v>
      </c>
      <c r="B109" s="3770"/>
      <c r="C109" s="3116" t="s">
        <v>2725</v>
      </c>
      <c r="D109" s="3090" t="s">
        <v>2726</v>
      </c>
      <c r="E109" s="3116">
        <v>0.15</v>
      </c>
      <c r="F109" s="3116">
        <v>20</v>
      </c>
    </row>
    <row r="110" spans="1:6" ht="24">
      <c r="A110" s="3116">
        <v>38</v>
      </c>
      <c r="B110" s="3770"/>
      <c r="C110" s="3116" t="s">
        <v>2727</v>
      </c>
      <c r="D110" s="3090" t="s">
        <v>2728</v>
      </c>
      <c r="E110" s="3116">
        <v>0.1</v>
      </c>
      <c r="F110" s="3116">
        <v>15</v>
      </c>
    </row>
    <row r="111" spans="1:6" ht="24">
      <c r="A111" s="3116">
        <v>39</v>
      </c>
      <c r="B111" s="3770"/>
      <c r="C111" s="3116" t="s">
        <v>2729</v>
      </c>
      <c r="D111" s="3090" t="s">
        <v>2730</v>
      </c>
      <c r="E111" s="3116">
        <v>0.1</v>
      </c>
      <c r="F111" s="3116">
        <v>15</v>
      </c>
    </row>
    <row r="112" spans="1:6" ht="24">
      <c r="A112" s="3116">
        <v>40</v>
      </c>
      <c r="B112" s="3779"/>
      <c r="C112" s="3116" t="s">
        <v>2731</v>
      </c>
      <c r="D112" s="3090" t="s">
        <v>2732</v>
      </c>
      <c r="E112" s="3116">
        <v>0.1</v>
      </c>
      <c r="F112" s="3116">
        <v>15</v>
      </c>
    </row>
    <row r="113" spans="1:6" ht="24">
      <c r="A113" s="3116">
        <v>41</v>
      </c>
      <c r="B113" s="3780" t="s">
        <v>2733</v>
      </c>
      <c r="C113" s="3116" t="s">
        <v>2734</v>
      </c>
      <c r="D113" s="3090" t="s">
        <v>2735</v>
      </c>
      <c r="E113" s="3116">
        <v>0.1</v>
      </c>
      <c r="F113" s="3116">
        <v>15</v>
      </c>
    </row>
    <row r="114" spans="1:6" ht="24">
      <c r="A114" s="3116">
        <v>42</v>
      </c>
      <c r="B114" s="3780"/>
      <c r="C114" s="3116" t="s">
        <v>2736</v>
      </c>
      <c r="D114" s="3090" t="s">
        <v>2737</v>
      </c>
      <c r="E114" s="3116">
        <v>0.1</v>
      </c>
      <c r="F114" s="3116">
        <v>15</v>
      </c>
    </row>
    <row r="115" spans="1:6" ht="24">
      <c r="A115" s="3116">
        <v>43</v>
      </c>
      <c r="B115" s="3780"/>
      <c r="C115" s="3116" t="s">
        <v>2738</v>
      </c>
      <c r="D115" s="3090" t="s">
        <v>2739</v>
      </c>
      <c r="E115" s="3116">
        <v>0.1</v>
      </c>
      <c r="F115" s="3116">
        <v>15</v>
      </c>
    </row>
    <row r="116" spans="1:6" ht="24">
      <c r="A116" s="3116">
        <v>44</v>
      </c>
      <c r="B116" s="3775" t="s">
        <v>2740</v>
      </c>
      <c r="C116" s="3116" t="s">
        <v>2741</v>
      </c>
      <c r="D116" s="3090" t="s">
        <v>2742</v>
      </c>
      <c r="E116" s="3116">
        <v>0.1</v>
      </c>
      <c r="F116" s="3116">
        <v>15</v>
      </c>
    </row>
    <row r="117" spans="1:6" ht="24">
      <c r="A117" s="3116">
        <v>45</v>
      </c>
      <c r="B117" s="3779"/>
      <c r="C117" s="3090" t="s">
        <v>2743</v>
      </c>
      <c r="D117" s="3090" t="s">
        <v>2744</v>
      </c>
      <c r="E117" s="3116">
        <v>0.1</v>
      </c>
      <c r="F117" s="3116">
        <v>15</v>
      </c>
    </row>
    <row r="118" spans="1:6" ht="24">
      <c r="A118" s="3116">
        <v>46</v>
      </c>
      <c r="B118" s="3775" t="s">
        <v>2745</v>
      </c>
      <c r="C118" s="3116" t="s">
        <v>2746</v>
      </c>
      <c r="D118" s="3090" t="s">
        <v>2747</v>
      </c>
      <c r="E118" s="3116">
        <v>0.1</v>
      </c>
      <c r="F118" s="3116">
        <v>15</v>
      </c>
    </row>
    <row r="119" spans="1:6" ht="24">
      <c r="A119" s="3116">
        <v>47</v>
      </c>
      <c r="B119" s="3779"/>
      <c r="C119" s="3116" t="s">
        <v>2748</v>
      </c>
      <c r="D119" s="3090" t="s">
        <v>2749</v>
      </c>
      <c r="E119" s="3116">
        <v>0.1</v>
      </c>
      <c r="F119" s="3116">
        <v>15</v>
      </c>
    </row>
    <row r="120" spans="1:6" ht="24">
      <c r="A120" s="3116">
        <v>48</v>
      </c>
      <c r="B120" s="3775" t="s">
        <v>2750</v>
      </c>
      <c r="C120" s="3116" t="s">
        <v>2751</v>
      </c>
      <c r="D120" s="3090" t="s">
        <v>2752</v>
      </c>
      <c r="E120" s="3116">
        <v>0.1</v>
      </c>
      <c r="F120" s="3116">
        <v>15</v>
      </c>
    </row>
    <row r="121" spans="1:6" ht="24">
      <c r="A121" s="3116">
        <v>49</v>
      </c>
      <c r="B121" s="3779"/>
      <c r="C121" s="3116" t="s">
        <v>2753</v>
      </c>
      <c r="D121" s="3090" t="s">
        <v>2754</v>
      </c>
      <c r="E121" s="3116">
        <v>0.1</v>
      </c>
      <c r="F121" s="3116">
        <v>15</v>
      </c>
    </row>
    <row r="122" spans="1:6" ht="24">
      <c r="A122" s="3116">
        <v>50</v>
      </c>
      <c r="B122" s="3780" t="s">
        <v>2755</v>
      </c>
      <c r="C122" s="3116" t="s">
        <v>2756</v>
      </c>
      <c r="D122" s="3090" t="s">
        <v>2757</v>
      </c>
      <c r="E122" s="3116">
        <v>0.1</v>
      </c>
      <c r="F122" s="3116">
        <v>15</v>
      </c>
    </row>
    <row r="123" spans="1:6" ht="24">
      <c r="A123" s="3116">
        <v>51</v>
      </c>
      <c r="B123" s="3780"/>
      <c r="C123" s="3116" t="s">
        <v>2758</v>
      </c>
      <c r="D123" s="3090" t="s">
        <v>2759</v>
      </c>
      <c r="E123" s="3116">
        <v>0.1</v>
      </c>
      <c r="F123" s="3116">
        <v>15</v>
      </c>
    </row>
    <row r="124" spans="1:6" ht="24">
      <c r="A124" s="3116">
        <v>52</v>
      </c>
      <c r="B124" s="3780" t="s">
        <v>2760</v>
      </c>
      <c r="C124" s="3116" t="s">
        <v>2761</v>
      </c>
      <c r="D124" s="3090" t="s">
        <v>2762</v>
      </c>
      <c r="E124" s="3116">
        <v>0.1</v>
      </c>
      <c r="F124" s="3116">
        <v>15</v>
      </c>
    </row>
    <row r="125" spans="1:6" ht="24">
      <c r="A125" s="3116">
        <v>53</v>
      </c>
      <c r="B125" s="3780"/>
      <c r="C125" s="3116" t="s">
        <v>2763</v>
      </c>
      <c r="D125" s="3090" t="s">
        <v>2764</v>
      </c>
      <c r="E125" s="3116">
        <v>0.1</v>
      </c>
      <c r="F125" s="3116">
        <v>15</v>
      </c>
    </row>
    <row r="126" spans="1:6" ht="24">
      <c r="A126" s="3116">
        <v>54</v>
      </c>
      <c r="B126" s="3116" t="s">
        <v>2765</v>
      </c>
      <c r="C126" s="3116" t="s">
        <v>2766</v>
      </c>
      <c r="D126" s="3090" t="s">
        <v>2767</v>
      </c>
      <c r="E126" s="3116">
        <v>0.1</v>
      </c>
      <c r="F126" s="3116">
        <v>15</v>
      </c>
    </row>
    <row r="127" spans="1:6" ht="24">
      <c r="A127" s="3116">
        <v>55</v>
      </c>
      <c r="B127" s="3780" t="s">
        <v>2768</v>
      </c>
      <c r="C127" s="3116" t="s">
        <v>2769</v>
      </c>
      <c r="D127" s="3090" t="s">
        <v>2770</v>
      </c>
      <c r="E127" s="3116">
        <v>0.1</v>
      </c>
      <c r="F127" s="3116">
        <v>15</v>
      </c>
    </row>
    <row r="128" spans="1:6" ht="24">
      <c r="A128" s="3116">
        <v>56</v>
      </c>
      <c r="B128" s="3780"/>
      <c r="C128" s="3116" t="s">
        <v>2771</v>
      </c>
      <c r="D128" s="3090" t="s">
        <v>2772</v>
      </c>
      <c r="E128" s="3116">
        <v>0.1</v>
      </c>
      <c r="F128" s="3116">
        <v>15</v>
      </c>
    </row>
    <row r="129" spans="1:6" ht="24">
      <c r="A129" s="3116">
        <v>57</v>
      </c>
      <c r="B129" s="3780"/>
      <c r="C129" s="3116" t="s">
        <v>2773</v>
      </c>
      <c r="D129" s="3090" t="s">
        <v>2774</v>
      </c>
      <c r="E129" s="3116">
        <v>0.1</v>
      </c>
      <c r="F129" s="3116">
        <v>15</v>
      </c>
    </row>
    <row r="130" spans="1:6" ht="24">
      <c r="A130" s="3116">
        <v>58</v>
      </c>
      <c r="B130" s="3780" t="s">
        <v>2775</v>
      </c>
      <c r="C130" s="3116" t="s">
        <v>2776</v>
      </c>
      <c r="D130" s="3090" t="s">
        <v>2777</v>
      </c>
      <c r="E130" s="3116">
        <v>0.1</v>
      </c>
      <c r="F130" s="3116">
        <v>15</v>
      </c>
    </row>
    <row r="131" spans="1:6" ht="24">
      <c r="A131" s="3116">
        <v>59</v>
      </c>
      <c r="B131" s="3780"/>
      <c r="C131" s="3116" t="s">
        <v>2778</v>
      </c>
      <c r="D131" s="3090" t="s">
        <v>2779</v>
      </c>
      <c r="E131" s="3116">
        <v>0.1</v>
      </c>
      <c r="F131" s="3116">
        <v>15</v>
      </c>
    </row>
    <row r="132" spans="1:6" ht="24">
      <c r="A132" s="3116">
        <v>60</v>
      </c>
      <c r="B132" s="3775" t="s">
        <v>2780</v>
      </c>
      <c r="C132" s="3116" t="s">
        <v>2781</v>
      </c>
      <c r="D132" s="3090" t="s">
        <v>2782</v>
      </c>
      <c r="E132" s="3116">
        <v>0.1</v>
      </c>
      <c r="F132" s="3116">
        <v>15</v>
      </c>
    </row>
    <row r="133" spans="1:6" ht="24">
      <c r="A133" s="3116">
        <v>61</v>
      </c>
      <c r="B133" s="3779"/>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24">
      <c r="A135" s="3116">
        <v>63</v>
      </c>
      <c r="B135" s="3780" t="s">
        <v>2788</v>
      </c>
      <c r="C135" s="3116" t="s">
        <v>2789</v>
      </c>
      <c r="D135" s="3090" t="s">
        <v>2790</v>
      </c>
      <c r="E135" s="3116">
        <v>0.1</v>
      </c>
      <c r="F135" s="3116">
        <v>15</v>
      </c>
    </row>
    <row r="136" spans="1:6" ht="24">
      <c r="A136" s="3116">
        <v>64</v>
      </c>
      <c r="B136" s="3780"/>
      <c r="C136" s="3116" t="s">
        <v>2791</v>
      </c>
      <c r="D136" s="3090" t="s">
        <v>2792</v>
      </c>
      <c r="E136" s="3116">
        <v>0.1</v>
      </c>
      <c r="F136" s="3116">
        <v>15</v>
      </c>
    </row>
    <row r="137" spans="1:6" ht="24">
      <c r="A137" s="3116">
        <v>65</v>
      </c>
      <c r="B137" s="3116" t="s">
        <v>2793</v>
      </c>
      <c r="C137" s="3116" t="s">
        <v>2794</v>
      </c>
      <c r="D137" s="3090" t="s">
        <v>2795</v>
      </c>
      <c r="E137" s="3116">
        <v>0.1</v>
      </c>
      <c r="F137" s="3116">
        <v>15</v>
      </c>
    </row>
    <row r="138" spans="1:6" ht="14.4">
      <c r="A138" s="3116"/>
      <c r="B138" s="3116"/>
      <c r="C138" s="3116"/>
      <c r="D138" s="3116"/>
      <c r="E138" s="3116" t="s">
        <v>2796</v>
      </c>
      <c r="F138" s="311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7.399999999999999">
      <c r="A3" s="3466" t="str">
        <f>IF(项目基本情况!B9="房地产市场价值","估价结果一览表（市场价值不需“结果表-1”）","估价结果一览表")</f>
        <v>估价结果一览表</v>
      </c>
      <c r="B3" s="3466"/>
      <c r="C3" s="3466"/>
      <c r="D3" s="3466"/>
      <c r="E3" s="3466"/>
    </row>
    <row r="4" spans="1:5" ht="18" thickBot="1">
      <c r="A4" s="1491"/>
      <c r="B4" s="3464" t="s">
        <v>917</v>
      </c>
      <c r="C4" s="3464"/>
      <c r="D4" s="3464"/>
      <c r="E4" s="1491"/>
    </row>
    <row r="5" spans="1:5" ht="16.2" thickTop="1">
      <c r="A5" s="1489"/>
      <c r="B5" s="3462" t="s">
        <v>909</v>
      </c>
      <c r="C5" s="1492" t="s">
        <v>910</v>
      </c>
      <c r="D5" s="850" t="e">
        <f ca="1">结果表!H101</f>
        <v>#REF!</v>
      </c>
      <c r="E5" s="1489"/>
    </row>
    <row r="6" spans="1:5" ht="15.6">
      <c r="A6" s="1489"/>
      <c r="B6" s="3462"/>
      <c r="C6" s="1492" t="s">
        <v>911</v>
      </c>
      <c r="D6" s="850" t="e">
        <f ca="1">NUMBERSTRING(INT(D5*10000),2)&amp;"元整"</f>
        <v>#REF!</v>
      </c>
      <c r="E6" s="1489"/>
    </row>
    <row r="7" spans="1:5" ht="15.6">
      <c r="A7" s="1489"/>
      <c r="B7" s="3467"/>
      <c r="C7" s="1493" t="s">
        <v>912</v>
      </c>
      <c r="D7" s="851" t="e">
        <f ca="1">结果表!H102</f>
        <v>#REF!</v>
      </c>
      <c r="E7" s="1489"/>
    </row>
    <row r="8" spans="1:5" ht="15.6">
      <c r="A8" s="1489"/>
      <c r="B8" s="3468" t="str">
        <f>结果表!E103</f>
        <v>2.估价师知悉的法定优先受偿款</v>
      </c>
      <c r="C8" s="1494" t="s">
        <v>913</v>
      </c>
      <c r="D8" s="851">
        <f>结果表!H103</f>
        <v>0</v>
      </c>
      <c r="E8" s="1489"/>
    </row>
    <row r="9" spans="1:5" ht="15.6">
      <c r="A9" s="1489"/>
      <c r="B9" s="3470"/>
      <c r="C9" s="1492" t="s">
        <v>911</v>
      </c>
      <c r="D9" s="850" t="str">
        <f>NUMBERSTRING(INT(D8*10000),2)&amp;"元整"</f>
        <v>零元整</v>
      </c>
      <c r="E9" s="1489"/>
    </row>
    <row r="10" spans="1:5" ht="15.6">
      <c r="A10" s="1489"/>
      <c r="B10" s="1495" t="s">
        <v>916</v>
      </c>
      <c r="C10" s="1496" t="s">
        <v>914</v>
      </c>
      <c r="D10" s="852">
        <f>结果表!H104</f>
        <v>0</v>
      </c>
      <c r="E10" s="1489"/>
    </row>
    <row r="11" spans="1:5" ht="15.6">
      <c r="A11" s="1489"/>
      <c r="B11" s="1495" t="s">
        <v>918</v>
      </c>
      <c r="C11" s="1496" t="s">
        <v>919</v>
      </c>
      <c r="D11" s="852">
        <f>结果表!H105</f>
        <v>0</v>
      </c>
      <c r="E11" s="1489"/>
    </row>
    <row r="12" spans="1:5" ht="15.6">
      <c r="A12" s="1489"/>
      <c r="B12" s="1495" t="s">
        <v>920</v>
      </c>
      <c r="C12" s="1496" t="s">
        <v>919</v>
      </c>
      <c r="D12" s="852">
        <f>结果表!H106</f>
        <v>0</v>
      </c>
      <c r="E12" s="1489"/>
    </row>
    <row r="13" spans="1:5" ht="15.6">
      <c r="A13" s="1489"/>
      <c r="B13" s="3461" t="str">
        <f>结果表!E107</f>
        <v>3.房地产抵押价值</v>
      </c>
      <c r="C13" s="1497" t="s">
        <v>910</v>
      </c>
      <c r="D13" s="853" t="e">
        <f ca="1">结果表!H107</f>
        <v>#REF!</v>
      </c>
      <c r="E13" s="1489"/>
    </row>
    <row r="14" spans="1:5" ht="15.6">
      <c r="A14" s="1489"/>
      <c r="B14" s="3462"/>
      <c r="C14" s="1492" t="s">
        <v>911</v>
      </c>
      <c r="D14" s="850" t="e">
        <f ca="1">NUMBERSTRING(INT(D13*10000),2)&amp;"元整"</f>
        <v>#REF!</v>
      </c>
      <c r="E14" s="1489"/>
    </row>
    <row r="15" spans="1:5" ht="15.6">
      <c r="A15" s="1489"/>
      <c r="B15" s="3467"/>
      <c r="C15" s="1493" t="s">
        <v>921</v>
      </c>
      <c r="D15" s="859" t="e">
        <f ca="1">结果表!H108</f>
        <v>#REF!</v>
      </c>
      <c r="E15" s="1489"/>
    </row>
    <row r="16" spans="1:5" ht="15.6">
      <c r="A16" s="1489"/>
      <c r="B16" s="3468" t="str">
        <f>结果表!E109</f>
        <v>——</v>
      </c>
      <c r="C16" s="1497" t="s">
        <v>922</v>
      </c>
      <c r="D16" s="1498" t="str">
        <f>结果表!H109</f>
        <v>——</v>
      </c>
      <c r="E16" s="1489"/>
    </row>
    <row r="17" spans="1:5" ht="15.6">
      <c r="A17" s="1489"/>
      <c r="B17" s="3469"/>
      <c r="C17" s="1492" t="s">
        <v>923</v>
      </c>
      <c r="D17" s="850" t="e">
        <f>NUMBERSTRING(INT(D16*10000),2)&amp;"元整"</f>
        <v>#VALUE!</v>
      </c>
      <c r="E17" s="1489"/>
    </row>
    <row r="18" spans="1:5" ht="15.6">
      <c r="A18" s="1489"/>
      <c r="B18" s="3470"/>
      <c r="C18" s="1493" t="s">
        <v>912</v>
      </c>
      <c r="D18" s="859" t="str">
        <f>结果表!H110</f>
        <v>——</v>
      </c>
      <c r="E18" s="1489"/>
    </row>
    <row r="19" spans="1:5" ht="15.6">
      <c r="A19" s="1489"/>
      <c r="B19" s="3461" t="str">
        <f>结果表!E111</f>
        <v>——</v>
      </c>
      <c r="C19" s="1497" t="s">
        <v>910</v>
      </c>
      <c r="D19" s="851" t="str">
        <f>结果表!H111</f>
        <v>——</v>
      </c>
      <c r="E19" s="1489"/>
    </row>
    <row r="20" spans="1:5" ht="15.6">
      <c r="A20" s="1489"/>
      <c r="B20" s="3462"/>
      <c r="C20" s="1492" t="s">
        <v>923</v>
      </c>
      <c r="D20" s="850" t="e">
        <f>NUMBERSTRING(INT(D19*10000),2)&amp;"元整"</f>
        <v>#VALUE!</v>
      </c>
      <c r="E20" s="1489"/>
    </row>
    <row r="21" spans="1:5" ht="16.2" thickBot="1">
      <c r="A21" s="1489"/>
      <c r="B21" s="3463"/>
      <c r="C21" s="1499" t="s">
        <v>921</v>
      </c>
      <c r="D21" s="860"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6.9999999999999999E-4</v>
      </c>
      <c r="D44" s="238"/>
      <c r="E44" s="238"/>
      <c r="F44" s="239"/>
      <c r="G44" s="3645"/>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8"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83" t="s">
        <v>2838</v>
      </c>
      <c r="B1" s="3783"/>
      <c r="C1" s="3783"/>
      <c r="D1" s="3783"/>
      <c r="E1" s="3783"/>
      <c r="F1" s="3783"/>
      <c r="G1" s="3784"/>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1.4"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81"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1.4" thickBot="1">
      <c r="A4" s="3782"/>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1.4"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1.4"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1.4"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1.4"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85" t="s">
        <v>3180</v>
      </c>
      <c r="B1" s="3785"/>
    </row>
    <row r="2" spans="1:7" ht="15" thickBot="1">
      <c r="A2" s="3253"/>
      <c r="B2" s="3253"/>
    </row>
    <row r="3" spans="1:7" ht="15" thickBot="1">
      <c r="A3" s="3253"/>
      <c r="B3" s="3253"/>
      <c r="C3" s="3254" t="s">
        <v>2810</v>
      </c>
      <c r="D3" s="3254" t="s">
        <v>2866</v>
      </c>
      <c r="E3" s="3254" t="s">
        <v>2812</v>
      </c>
      <c r="F3" s="3254" t="s">
        <v>2867</v>
      </c>
      <c r="G3" s="3254" t="s">
        <v>2630</v>
      </c>
    </row>
    <row r="4" spans="1:7" ht="1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8"/>
  </cols>
  <sheetData>
    <row r="1" spans="1:6">
      <c r="A1" s="3786" t="s">
        <v>3231</v>
      </c>
      <c r="B1" s="3786"/>
      <c r="C1" s="3786"/>
      <c r="D1" s="3786"/>
      <c r="E1" s="3786"/>
      <c r="F1" s="3787"/>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9">
        <f>基准地价修正!G23</f>
        <v>45322</v>
      </c>
      <c r="B1" s="3208" t="s">
        <v>3370</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3.2">
      <c r="A3" s="3147" t="s">
        <v>2818</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3" t="s">
        <v>3373</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3.2">
      <c r="A6" s="2203" t="s">
        <v>3374</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3.2">
      <c r="A7" s="3184" t="s">
        <v>3376</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3.2">
      <c r="A8" s="3174" t="s">
        <v>3377</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3.2">
      <c r="A9" s="3174" t="s">
        <v>3369</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3.2">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3.2">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3.2">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3.2">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3.2">
      <c r="A14" s="3174" t="s">
        <v>2819</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3.2">
      <c r="A15" s="3174" t="s">
        <v>2820</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3.2">
      <c r="A16" s="3174" t="s">
        <v>2821</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3.2">
      <c r="A17" s="3174" t="s">
        <v>2822</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ht="13.8" thickBot="1">
      <c r="A18" s="3195" t="s">
        <v>2823</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5" thickTop="1"/>
    <row r="20" spans="1:30" s="3007" customFormat="1">
      <c r="A20" s="3446" t="s">
        <v>3365</v>
      </c>
    </row>
    <row r="21" spans="1:30" s="3007" customFormat="1">
      <c r="I21" s="3206" t="s">
        <v>2824</v>
      </c>
    </row>
    <row r="22" spans="1:30" s="3007" customFormat="1"/>
    <row r="23" spans="1:30" s="3207" customFormat="1" ht="13.2">
      <c r="B23" s="3208" t="s">
        <v>3371</v>
      </c>
      <c r="C23" s="3209"/>
      <c r="D23" s="3209"/>
      <c r="E23" s="3209"/>
      <c r="F23" s="3209"/>
      <c r="G23" s="3209"/>
      <c r="H23" s="3209"/>
      <c r="I23" s="3209"/>
      <c r="J23" s="3163"/>
      <c r="K23" s="3209" t="s">
        <v>2825</v>
      </c>
      <c r="L23" s="3209"/>
      <c r="M23" s="3209"/>
      <c r="N23" s="3209"/>
      <c r="O23" s="3209"/>
      <c r="P23" s="3209"/>
      <c r="Q23" s="3163"/>
      <c r="R23" s="3788" t="s">
        <v>2826</v>
      </c>
      <c r="S23" s="3789"/>
      <c r="T23" s="3789"/>
      <c r="U23" s="3789"/>
      <c r="V23" s="3789"/>
      <c r="W23" s="3789"/>
      <c r="X23" s="3163"/>
      <c r="Y23" s="3788" t="s">
        <v>2827</v>
      </c>
      <c r="Z23" s="3789"/>
      <c r="AA23" s="3789"/>
      <c r="AB23" s="3789"/>
      <c r="AC23" s="3789"/>
      <c r="AD23" s="3789"/>
    </row>
    <row r="24" spans="1:30" s="3141" customFormat="1" ht="15" thickBot="1">
      <c r="B24" s="3142"/>
      <c r="C24" s="3143"/>
      <c r="D24" s="3144" t="s">
        <v>2828</v>
      </c>
      <c r="E24" s="3145" t="s">
        <v>2829</v>
      </c>
      <c r="F24" s="3145" t="s">
        <v>2830</v>
      </c>
      <c r="G24" s="3145" t="s">
        <v>2831</v>
      </c>
      <c r="H24" s="3145"/>
      <c r="I24" s="3145" t="s">
        <v>2832</v>
      </c>
      <c r="J24" s="3146"/>
      <c r="K24" s="3144" t="s">
        <v>2828</v>
      </c>
      <c r="L24" s="3145" t="s">
        <v>2829</v>
      </c>
      <c r="M24" s="3145" t="s">
        <v>2830</v>
      </c>
      <c r="N24" s="3145" t="s">
        <v>2831</v>
      </c>
      <c r="O24" s="3145"/>
      <c r="P24" s="3145" t="s">
        <v>2832</v>
      </c>
      <c r="Q24" s="3146"/>
      <c r="R24" s="3144" t="s">
        <v>2828</v>
      </c>
      <c r="S24" s="3145" t="s">
        <v>2829</v>
      </c>
      <c r="T24" s="3145" t="s">
        <v>2830</v>
      </c>
      <c r="U24" s="3145" t="s">
        <v>2831</v>
      </c>
      <c r="V24" s="3145"/>
      <c r="W24" s="3145" t="s">
        <v>2832</v>
      </c>
      <c r="X24" s="3146"/>
      <c r="Y24" s="3144" t="s">
        <v>2828</v>
      </c>
      <c r="Z24" s="3145" t="s">
        <v>2829</v>
      </c>
      <c r="AA24" s="3145" t="s">
        <v>2830</v>
      </c>
      <c r="AB24" s="3145" t="s">
        <v>2831</v>
      </c>
      <c r="AC24" s="3145"/>
      <c r="AD24" s="3145" t="s">
        <v>2832</v>
      </c>
    </row>
    <row r="25" spans="1:30" s="3159" customFormat="1" ht="13.2">
      <c r="A25" s="3147" t="s">
        <v>2833</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3.2">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3.2">
      <c r="A27" s="2203" t="s">
        <v>3373</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3.2">
      <c r="A28" s="2203" t="s">
        <v>3374</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3.2">
      <c r="A29" s="3184" t="s">
        <v>3378</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3.2">
      <c r="A30" s="3174" t="s">
        <v>3377</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3.2">
      <c r="A31" s="3174" t="s">
        <v>3372</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3.2">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3.2">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3.2">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3.2">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3.2">
      <c r="A36" s="3174" t="s">
        <v>2834</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3.2">
      <c r="A37" s="3174" t="s">
        <v>2835</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3.2">
      <c r="A38" s="3174" t="s">
        <v>2836</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3.2">
      <c r="A39" s="3174" t="s">
        <v>2837</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ht="13.8" thickBot="1">
      <c r="A40" s="3195" t="s">
        <v>2823</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79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79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79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79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79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79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79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79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79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79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79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79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79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79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79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3">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794">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79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3">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794">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45322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1"/>
      <c r="B23" s="2814" t="s">
        <v>2308</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6">
      <c r="A3" s="3473"/>
      <c r="B3" s="3473"/>
      <c r="C3" s="3473"/>
      <c r="D3" s="854" t="s">
        <v>925</v>
      </c>
      <c r="E3" s="854" t="s">
        <v>931</v>
      </c>
      <c r="F3" s="854" t="s">
        <v>925</v>
      </c>
      <c r="G3" s="854" t="s">
        <v>926</v>
      </c>
      <c r="H3" s="854" t="s">
        <v>925</v>
      </c>
      <c r="I3" s="854" t="s">
        <v>926</v>
      </c>
    </row>
    <row r="4" spans="1:9" ht="15">
      <c r="A4" s="1503"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6">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6">
      <c r="A8" s="3474" t="str">
        <f>结果表!A122</f>
        <v>房地产抵押价值</v>
      </c>
      <c r="B8" s="3474"/>
      <c r="C8" s="3474"/>
      <c r="D8" s="3474" t="e">
        <f ca="1">结果表!D122</f>
        <v>#REF!</v>
      </c>
      <c r="E8" s="3474"/>
      <c r="F8" s="3474"/>
      <c r="G8" s="3474"/>
      <c r="H8" s="3474"/>
      <c r="I8" s="3474"/>
    </row>
    <row r="9" spans="1:9" ht="15">
      <c r="A9" s="3473" t="s">
        <v>927</v>
      </c>
      <c r="B9" s="3473"/>
      <c r="C9" s="3473"/>
      <c r="D9" s="3473" t="e">
        <f ca="1">结果表!D123</f>
        <v>#REF!</v>
      </c>
      <c r="E9" s="3473"/>
      <c r="F9" s="3473"/>
      <c r="G9" s="3473"/>
      <c r="H9" s="3473"/>
      <c r="I9" s="3473"/>
    </row>
    <row r="10" spans="1:9" ht="15.6">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6">
      <c r="A12" s="3474" t="str">
        <f>结果表!A126</f>
        <v/>
      </c>
      <c r="B12" s="3474"/>
      <c r="C12" s="3474"/>
      <c r="D12" s="3474" t="str">
        <f>结果表!D126</f>
        <v>——</v>
      </c>
      <c r="E12" s="3474"/>
      <c r="F12" s="3474"/>
      <c r="G12" s="3474"/>
      <c r="H12" s="3474"/>
      <c r="I12" s="3474"/>
    </row>
    <row r="13" spans="1:9" ht="15.6" thickBot="1">
      <c r="A13" s="3478" t="s">
        <v>927</v>
      </c>
      <c r="B13" s="3478"/>
      <c r="C13" s="3478"/>
      <c r="D13" s="3478" t="e">
        <f>结果表!D127</f>
        <v>#VALUE!</v>
      </c>
      <c r="E13" s="3478"/>
      <c r="F13" s="3478"/>
      <c r="G13" s="3478"/>
      <c r="H13" s="3478"/>
      <c r="I13" s="3478"/>
    </row>
    <row r="14" spans="1:9" ht="14.4" thickTop="1">
      <c r="A14" s="3479" t="s">
        <v>932</v>
      </c>
      <c r="B14" s="3479"/>
      <c r="C14" s="3479"/>
      <c r="D14" s="3479"/>
      <c r="E14" s="3479"/>
      <c r="F14" s="3479"/>
      <c r="G14" s="3479"/>
      <c r="H14" s="3479"/>
      <c r="I14" s="3479"/>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480" t="s">
        <v>949</v>
      </c>
      <c r="B1" s="3480"/>
      <c r="C1" s="3480"/>
      <c r="D1" s="3480"/>
    </row>
    <row r="2" spans="1:4" ht="17.399999999999999">
      <c r="A2" s="3481" t="s">
        <v>933</v>
      </c>
      <c r="B2" s="3481"/>
      <c r="C2" s="3481"/>
      <c r="D2" s="3481"/>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481" t="s">
        <v>939</v>
      </c>
      <c r="B6" s="3481"/>
      <c r="C6" s="3481"/>
      <c r="D6" s="3481"/>
    </row>
    <row r="7" spans="1:4" ht="17.399999999999999">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7.399999999999999">
      <c r="A10" s="1514" t="s">
        <v>941</v>
      </c>
      <c r="B10" s="675"/>
      <c r="C10" s="675"/>
      <c r="D10" s="675"/>
    </row>
    <row r="11" spans="1:4" ht="30" customHeight="1">
      <c r="A11" s="3482" t="s">
        <v>942</v>
      </c>
      <c r="B11" s="3483"/>
      <c r="C11" s="3483"/>
      <c r="D11" s="3483"/>
    </row>
    <row r="12" spans="1:4" ht="15.6">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494" t="s">
        <v>956</v>
      </c>
      <c r="B15" s="3489" t="s">
        <v>109</v>
      </c>
      <c r="C15" s="3490"/>
    </row>
    <row r="16" spans="1:7" ht="14.4">
      <c r="A16" s="3495"/>
      <c r="B16" s="3489" t="s">
        <v>42</v>
      </c>
      <c r="C16" s="3490"/>
    </row>
    <row r="17" spans="1:3" ht="14.4">
      <c r="A17" s="3495"/>
      <c r="B17" s="3492" t="s">
        <v>957</v>
      </c>
      <c r="C17" s="1530" t="s">
        <v>956</v>
      </c>
    </row>
    <row r="18" spans="1:3" ht="14.4">
      <c r="A18" s="3495"/>
      <c r="B18" s="3492"/>
      <c r="C18" s="1530" t="s">
        <v>958</v>
      </c>
    </row>
    <row r="19" spans="1:3" ht="14.4">
      <c r="A19" s="3495"/>
      <c r="B19" s="3492"/>
      <c r="C19" s="1530" t="s">
        <v>959</v>
      </c>
    </row>
    <row r="20" spans="1:3" ht="14.4">
      <c r="A20" s="3496"/>
      <c r="B20" s="3491" t="s">
        <v>960</v>
      </c>
      <c r="C20" s="3490"/>
    </row>
    <row r="21" spans="1:3" ht="14.4">
      <c r="A21" s="1531" t="s">
        <v>961</v>
      </c>
      <c r="B21" s="1532"/>
      <c r="C21" s="1533"/>
    </row>
    <row r="22" spans="1:3" ht="14.4">
      <c r="A22" s="3493" t="s">
        <v>962</v>
      </c>
      <c r="B22" s="3491" t="s">
        <v>963</v>
      </c>
      <c r="C22" s="3490"/>
    </row>
    <row r="23" spans="1:3" ht="14.4">
      <c r="A23" s="3493"/>
      <c r="B23" s="3491" t="s">
        <v>964</v>
      </c>
      <c r="C23" s="3490"/>
    </row>
    <row r="24" spans="1:3" ht="14.4">
      <c r="A24" s="3493"/>
      <c r="B24" s="3491" t="s">
        <v>965</v>
      </c>
      <c r="C24" s="3490"/>
    </row>
    <row r="25" spans="1:3" ht="14.4">
      <c r="A25" s="3493"/>
      <c r="B25" s="3492" t="s">
        <v>966</v>
      </c>
      <c r="C25" s="1530" t="s">
        <v>967</v>
      </c>
    </row>
    <row r="26" spans="1:3" ht="14.4">
      <c r="A26" s="3493"/>
      <c r="B26" s="3492"/>
      <c r="C26" s="1530" t="s">
        <v>968</v>
      </c>
    </row>
    <row r="27" spans="1:3" ht="14.4">
      <c r="A27" s="3493"/>
      <c r="B27" s="3492"/>
      <c r="C27" s="1530" t="s">
        <v>969</v>
      </c>
    </row>
    <row r="28" spans="1:3" ht="14.4">
      <c r="A28" s="3493"/>
      <c r="B28" s="3492"/>
      <c r="C28" s="1530" t="s">
        <v>970</v>
      </c>
    </row>
    <row r="29" spans="1:3" ht="14.4">
      <c r="A29" s="3493"/>
      <c r="B29" s="3492"/>
      <c r="C29" s="1530" t="s">
        <v>971</v>
      </c>
    </row>
    <row r="30" spans="1:3" ht="14.4">
      <c r="A30" s="3493"/>
      <c r="B30" s="3492"/>
      <c r="C30" s="1530" t="s">
        <v>972</v>
      </c>
    </row>
    <row r="31" spans="1:3" ht="14.4">
      <c r="A31" s="3493"/>
      <c r="B31" s="3492"/>
      <c r="C31" s="1530" t="s">
        <v>973</v>
      </c>
    </row>
    <row r="32" spans="1:3" ht="14.4">
      <c r="A32" s="3493"/>
      <c r="B32" s="3492"/>
      <c r="C32" s="1530" t="s">
        <v>974</v>
      </c>
    </row>
    <row r="33" spans="1:3" ht="14.4">
      <c r="A33" s="3493"/>
      <c r="B33" s="3492"/>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2134</v>
      </c>
      <c r="B2" s="2337">
        <f ca="1">TODAY()</f>
        <v>45323</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f ca="1">IF(C6&lt;B2,"已过期",1120050019)</f>
        <v>1120050019</v>
      </c>
      <c r="C6" s="2343">
        <v>45410</v>
      </c>
      <c r="D6" s="2344" t="str">
        <f t="shared" ca="1" si="0"/>
        <v>王鹏（注册号：1120050019）</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f ca="1">IF(C9&lt;B2,"已过期",1120060040)</f>
        <v>1120060040</v>
      </c>
      <c r="C9" s="2348">
        <v>45592</v>
      </c>
      <c r="D9" s="2344" t="str">
        <f t="shared" ca="1" si="0"/>
        <v>陈颖（注册号：1120060040）</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f ca="1">IF(C13&lt;B2,"已过期",1120020033)</f>
        <v>1120020033</v>
      </c>
      <c r="C13" s="2343">
        <v>45375</v>
      </c>
      <c r="D13" s="2344" t="str">
        <f t="shared" ca="1" si="0"/>
        <v>刘敬东（注册号：1120020033）</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2436</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497" t="s">
        <v>2155</v>
      </c>
      <c r="B17" s="3497"/>
      <c r="C17" s="3497"/>
      <c r="D17" s="3497"/>
      <c r="E17" s="3497"/>
      <c r="F17" s="3497"/>
      <c r="G17" s="3497"/>
      <c r="H17" s="3497"/>
    </row>
    <row r="18" spans="1:8" ht="24" customHeight="1">
      <c r="A18" s="3498" t="s">
        <v>2156</v>
      </c>
      <c r="B18" s="3498"/>
      <c r="C18" s="3498"/>
      <c r="D18" s="2341"/>
      <c r="E18" s="3499" t="s">
        <v>2157</v>
      </c>
      <c r="F18" s="3498"/>
      <c r="G18" s="3498"/>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2024-02-01T09:19:19Z</dcterms:modified>
</cp:coreProperties>
</file>