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r:id="rId38"/>
    <sheet name="收益法-车库" sheetId="80" r:id="rId39"/>
    <sheet name="比较法-租金" sheetId="79"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新房商业" sheetId="81" r:id="rId48"/>
    <sheet name="新房写字楼"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0" i="33" l="1"/>
  <c r="I149" i="33"/>
  <c r="I148" i="33"/>
  <c r="I147" i="33"/>
  <c r="I146" i="33"/>
  <c r="I145" i="33"/>
  <c r="I144" i="33"/>
  <c r="I143" i="33"/>
  <c r="I142" i="33"/>
  <c r="I141" i="33"/>
  <c r="I140" i="33"/>
  <c r="I139" i="33"/>
  <c r="G149" i="33"/>
  <c r="G148" i="33"/>
  <c r="G147" i="33"/>
  <c r="G146" i="33"/>
  <c r="G145" i="33"/>
  <c r="G144" i="33"/>
  <c r="G143" i="33"/>
  <c r="G142" i="33"/>
  <c r="G141" i="33"/>
  <c r="G140" i="33"/>
  <c r="G139" i="33"/>
  <c r="G47" i="33"/>
  <c r="G33" i="33"/>
  <c r="I47" i="33"/>
  <c r="I33" i="33"/>
  <c r="I7" i="33"/>
  <c r="E47" i="33"/>
  <c r="E33" i="33"/>
  <c r="I5" i="33"/>
  <c r="G5" i="33"/>
  <c r="E5" i="33"/>
  <c r="Q72" i="80" l="1"/>
  <c r="Q59" i="80"/>
  <c r="K59" i="80"/>
  <c r="P61" i="80" s="1"/>
  <c r="F59" i="80"/>
  <c r="Q58" i="80"/>
  <c r="Q51" i="80"/>
  <c r="J51" i="80"/>
  <c r="J50" i="80"/>
  <c r="M47" i="80"/>
  <c r="D46" i="80"/>
  <c r="F33" i="80"/>
  <c r="F61" i="80" s="1"/>
  <c r="F31" i="80"/>
  <c r="F23" i="80"/>
  <c r="D24" i="80" s="1"/>
  <c r="D22" i="80"/>
  <c r="F21" i="80"/>
  <c r="F20" i="80"/>
  <c r="M19" i="80"/>
  <c r="F18" i="80"/>
  <c r="M17" i="80"/>
  <c r="F17" i="80"/>
  <c r="F15" i="80"/>
  <c r="AM7" i="1"/>
  <c r="AL7" i="1"/>
  <c r="AK7" i="1"/>
  <c r="Y7" i="1"/>
  <c r="W7" i="1"/>
  <c r="N7" i="1"/>
  <c r="D23" i="80" l="1"/>
  <c r="P74" i="80"/>
  <c r="J7" i="1" l="1"/>
  <c r="K15" i="3"/>
  <c r="B31" i="3"/>
  <c r="K14" i="3" s="1"/>
  <c r="AN14" i="3" s="1"/>
  <c r="B135" i="79"/>
  <c r="F136" i="79" l="1"/>
  <c r="F137" i="79"/>
  <c r="F138" i="79"/>
  <c r="F139" i="79"/>
  <c r="F140" i="79"/>
  <c r="F141" i="79"/>
  <c r="F142" i="79"/>
  <c r="F143" i="79"/>
  <c r="F144" i="79"/>
  <c r="F145" i="79"/>
  <c r="D123" i="39" l="1"/>
  <c r="E123" i="39"/>
  <c r="F123" i="39"/>
  <c r="G123" i="39"/>
  <c r="H123" i="39"/>
  <c r="C123" i="39"/>
  <c r="E118" i="39"/>
  <c r="F118" i="39" s="1"/>
  <c r="G118" i="39" s="1"/>
  <c r="H118" i="39" s="1"/>
  <c r="D118" i="39"/>
  <c r="D71" i="39"/>
  <c r="E71" i="39" s="1"/>
  <c r="F71" i="39" s="1"/>
  <c r="G71" i="39" s="1"/>
  <c r="H71" i="39" s="1"/>
  <c r="I71" i="39" s="1"/>
  <c r="J71" i="39" s="1"/>
  <c r="K71" i="39" s="1"/>
  <c r="L71" i="39" s="1"/>
  <c r="M71" i="39" s="1"/>
  <c r="N71" i="39" s="1"/>
  <c r="O71" i="39" s="1"/>
  <c r="I46" i="39"/>
  <c r="G46" i="39"/>
  <c r="E46" i="39"/>
  <c r="I38" i="39"/>
  <c r="G38" i="39"/>
  <c r="E38" i="39"/>
  <c r="I11" i="39"/>
  <c r="G11" i="39"/>
  <c r="E11" i="39"/>
  <c r="I7" i="39"/>
  <c r="G7" i="39"/>
  <c r="E7" i="39"/>
  <c r="I5" i="39"/>
  <c r="G5" i="39"/>
  <c r="E5" i="39"/>
  <c r="AH4" i="77"/>
  <c r="AH3" i="77"/>
  <c r="AH2" i="77"/>
  <c r="S9" i="43"/>
  <c r="S10" i="43"/>
  <c r="S11" i="43"/>
  <c r="S12" i="43"/>
  <c r="S8" i="43"/>
  <c r="U3" i="43"/>
  <c r="U4" i="43"/>
  <c r="U5" i="43"/>
  <c r="U6" i="43"/>
  <c r="U7" i="43"/>
  <c r="U8" i="43"/>
  <c r="U9" i="43"/>
  <c r="U10" i="43"/>
  <c r="U11" i="43"/>
  <c r="U12" i="43"/>
  <c r="I16" i="3"/>
  <c r="AN13" i="3"/>
  <c r="B14" i="3"/>
  <c r="F135" i="79" l="1"/>
  <c r="C33" i="33"/>
  <c r="U2" i="43"/>
  <c r="T9" i="31" l="1"/>
  <c r="T7" i="31"/>
  <c r="T5"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H45" i="79" s="1"/>
  <c r="AB45" i="79" s="1"/>
  <c r="B126" i="79"/>
  <c r="E125" i="79"/>
  <c r="F125" i="79" s="1"/>
  <c r="G125" i="79" s="1"/>
  <c r="D125" i="79"/>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H30" i="79" s="1"/>
  <c r="AB30" i="79" s="1"/>
  <c r="B94" i="79"/>
  <c r="B92" i="79"/>
  <c r="H28" i="79" s="1"/>
  <c r="AB28" i="79" s="1"/>
  <c r="D91" i="79"/>
  <c r="E91" i="79" s="1"/>
  <c r="F91" i="79" s="1"/>
  <c r="G91" i="79" s="1"/>
  <c r="H91" i="79" s="1"/>
  <c r="I91" i="79" s="1"/>
  <c r="J91" i="79" s="1"/>
  <c r="K91" i="79" s="1"/>
  <c r="L91" i="79" s="1"/>
  <c r="M91" i="79" s="1"/>
  <c r="B90" i="79"/>
  <c r="H27" i="79" s="1"/>
  <c r="U27" i="79" s="1"/>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H37" i="79"/>
  <c r="AB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F32" i="79"/>
  <c r="AA32" i="79" s="1"/>
  <c r="Q31" i="79"/>
  <c r="Z31" i="79" s="1"/>
  <c r="J31" i="79"/>
  <c r="AC31" i="79" s="1"/>
  <c r="H31" i="79"/>
  <c r="AB31" i="79" s="1"/>
  <c r="F31" i="79"/>
  <c r="AA31" i="79" s="1"/>
  <c r="Q30" i="79"/>
  <c r="Z30" i="79" s="1"/>
  <c r="J30" i="79"/>
  <c r="AC30" i="79" s="1"/>
  <c r="F30" i="79"/>
  <c r="AA30" i="79" s="1"/>
  <c r="Q29" i="79"/>
  <c r="Z29" i="79" s="1"/>
  <c r="J29" i="79"/>
  <c r="AC29" i="79" s="1"/>
  <c r="H29" i="79"/>
  <c r="AB29" i="79" s="1"/>
  <c r="F29" i="79"/>
  <c r="AA29" i="79" s="1"/>
  <c r="Q28" i="79"/>
  <c r="Z28" i="79" s="1"/>
  <c r="J28" i="79"/>
  <c r="AC28" i="79" s="1"/>
  <c r="F28" i="79"/>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E59" i="33"/>
  <c r="F59" i="33" s="1"/>
  <c r="G59" i="33" s="1"/>
  <c r="H59" i="33" s="1"/>
  <c r="I59" i="33" s="1"/>
  <c r="D59" i="33"/>
  <c r="D104" i="33"/>
  <c r="E104" i="33" s="1"/>
  <c r="F104" i="33" s="1"/>
  <c r="G104" i="33" s="1"/>
  <c r="H104" i="33" s="1"/>
  <c r="H4" i="31" s="1"/>
  <c r="I4" i="31" s="1"/>
  <c r="J4" i="31" s="1"/>
  <c r="D2" i="79"/>
  <c r="H32" i="79" l="1"/>
  <c r="AB32" i="79" s="1"/>
  <c r="F37" i="79"/>
  <c r="AA37" i="79" s="1"/>
  <c r="J37" i="79"/>
  <c r="AC37" i="79" s="1"/>
  <c r="F38" i="79"/>
  <c r="AA38" i="79" s="1"/>
  <c r="J38" i="79"/>
  <c r="AC38" i="79" s="1"/>
  <c r="F41" i="79"/>
  <c r="AA41" i="79" s="1"/>
  <c r="J41" i="79"/>
  <c r="AC41" i="79" s="1"/>
  <c r="F4" i="31"/>
  <c r="D4" i="31"/>
  <c r="G4" i="31"/>
  <c r="E4" i="31"/>
  <c r="F123" i="79"/>
  <c r="H42" i="79"/>
  <c r="AB42" i="79" s="1"/>
  <c r="H36" i="79"/>
  <c r="AB36" i="79" s="1"/>
  <c r="F36" i="79"/>
  <c r="AA36" i="79" s="1"/>
  <c r="J36" i="79"/>
  <c r="W36"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F62" i="33"/>
  <c r="E62" i="33"/>
  <c r="U42" i="79" l="1"/>
  <c r="G123" i="79"/>
  <c r="H123" i="79" s="1"/>
  <c r="I123" i="79" s="1"/>
  <c r="J123" i="79" s="1"/>
  <c r="K123" i="79" s="1"/>
  <c r="L123" i="79" s="1"/>
  <c r="M123" i="79" s="1"/>
  <c r="F42" i="79"/>
  <c r="J42" i="79"/>
  <c r="U36" i="79"/>
  <c r="AC42" i="79" l="1"/>
  <c r="W42" i="79"/>
  <c r="AA42" i="79"/>
  <c r="S42"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7" i="76"/>
  <c r="E8" i="76"/>
  <c r="E10" i="76"/>
  <c r="E13" i="76"/>
  <c r="E11" i="76"/>
  <c r="B12" i="76"/>
  <c r="B8" i="76"/>
  <c r="B9" i="76"/>
  <c r="E12" i="76"/>
  <c r="B11" i="76"/>
  <c r="E9" i="76"/>
  <c r="E7" i="76"/>
  <c r="B13"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4" i="73"/>
  <c r="F5" i="73"/>
  <c r="F6" i="73"/>
  <c r="D6" i="73"/>
  <c r="I1" i="73" l="1"/>
  <c r="B39" i="1" s="1"/>
  <c r="D7" i="73"/>
  <c r="D4" i="73"/>
  <c r="D5" i="73"/>
  <c r="D3"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6" i="71" l="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2"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H12" i="35" s="1"/>
  <c r="B131" i="34"/>
  <c r="F47" i="34" s="1"/>
  <c r="S47" i="34" s="1"/>
  <c r="B129" i="34"/>
  <c r="B127" i="34"/>
  <c r="B99" i="34"/>
  <c r="B97" i="34"/>
  <c r="H31" i="34" s="1"/>
  <c r="AB31" i="34" s="1"/>
  <c r="B95" i="34"/>
  <c r="B93" i="34"/>
  <c r="B75" i="34"/>
  <c r="B73" i="34"/>
  <c r="J13" i="34" s="1"/>
  <c r="W13" i="34" s="1"/>
  <c r="B71" i="34"/>
  <c r="J12" i="34" s="1"/>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H38" i="33" s="1"/>
  <c r="AB38"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W28" i="36"/>
  <c r="AA31" i="36"/>
  <c r="AC31" i="36"/>
  <c r="W31" i="36"/>
  <c r="J33" i="36"/>
  <c r="W33" i="36" s="1"/>
  <c r="H22" i="35"/>
  <c r="AB22" i="35" s="1"/>
  <c r="AC27" i="35"/>
  <c r="U31" i="35"/>
  <c r="W34" i="35"/>
  <c r="S31" i="35"/>
  <c r="F36" i="34"/>
  <c r="J35" i="34"/>
  <c r="U34" i="34"/>
  <c r="H39" i="33"/>
  <c r="AB39" i="33" s="1"/>
  <c r="S9" i="33"/>
  <c r="U33" i="33"/>
  <c r="S40" i="33"/>
  <c r="H39" i="37"/>
  <c r="AB39" i="37" s="1"/>
  <c r="S27" i="35"/>
  <c r="F11" i="40"/>
  <c r="AA11" i="40" s="1"/>
  <c r="H11" i="40"/>
  <c r="AB11" i="40" s="1"/>
  <c r="W8" i="40"/>
  <c r="AA9" i="40"/>
  <c r="AC9" i="40"/>
  <c r="U9" i="40"/>
  <c r="S34" i="40"/>
  <c r="F42" i="39"/>
  <c r="AA42" i="39" s="1"/>
  <c r="F41" i="39"/>
  <c r="S41" i="39" s="1"/>
  <c r="H40" i="39"/>
  <c r="AB40"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F27" i="39"/>
  <c r="F11" i="21"/>
  <c r="S11" i="21" s="1"/>
  <c r="U34" i="21"/>
  <c r="C27" i="39"/>
  <c r="C21" i="39"/>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U34"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U31" i="34"/>
  <c r="AA14" i="33"/>
  <c r="J36" i="37"/>
  <c r="AC36" i="37" s="1"/>
  <c r="AB11" i="36"/>
  <c r="J10" i="36"/>
  <c r="AC10" i="36" s="1"/>
  <c r="AA14" i="37"/>
  <c r="W31" i="34"/>
  <c r="W13"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AA12" i="35"/>
  <c r="W14" i="37"/>
  <c r="U33" i="37"/>
  <c r="U39" i="37"/>
  <c r="W26" i="37"/>
  <c r="AC8" i="37"/>
  <c r="U26" i="37"/>
  <c r="AB13" i="34"/>
  <c r="W37" i="34"/>
  <c r="AB37" i="34"/>
  <c r="AC36" i="34"/>
  <c r="AC31" i="33"/>
  <c r="W44" i="33"/>
  <c r="U11" i="33"/>
  <c r="U19" i="21"/>
  <c r="U26" i="21"/>
  <c r="AB38" i="21"/>
  <c r="F43" i="33"/>
  <c r="AA43" i="33" s="1"/>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W23" i="39"/>
  <c r="W43" i="39"/>
  <c r="U44"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209" i="3"/>
  <c r="AZ303" i="3"/>
  <c r="G342" i="3"/>
  <c r="BL345" i="3"/>
  <c r="AZ345" i="3" s="1"/>
  <c r="G346" i="3"/>
  <c r="BL349" i="3"/>
  <c r="BL352" i="3"/>
  <c r="G353" i="3"/>
  <c r="BA357" i="3"/>
  <c r="AZ357" i="3" s="1"/>
  <c r="BL358" i="3"/>
  <c r="AZ358" i="3" s="1"/>
  <c r="G359" i="3"/>
  <c r="BA361" i="3"/>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O5" i="3"/>
  <c r="BM5" i="3"/>
  <c r="BJ5" i="3"/>
  <c r="BH5" i="3"/>
  <c r="BF5" i="3"/>
  <c r="BD5" i="3"/>
  <c r="AZ333" i="3"/>
  <c r="AC5" i="3"/>
  <c r="AZ506" i="3"/>
  <c r="G548" i="3"/>
  <c r="G538" i="3"/>
  <c r="G520" i="3"/>
  <c r="G502" i="3"/>
  <c r="BS5" i="3"/>
  <c r="BP5" i="3"/>
  <c r="BN5" i="3"/>
  <c r="BK5" i="3"/>
  <c r="BI5" i="3"/>
  <c r="BG5" i="3"/>
  <c r="BE5" i="3"/>
  <c r="BC5" i="3"/>
  <c r="G17" i="3"/>
  <c r="BA17" i="3"/>
  <c r="BT5" i="3"/>
  <c r="AZ352" i="3"/>
  <c r="BA15" i="3"/>
  <c r="BB5" i="3"/>
  <c r="E8" i="6" s="1"/>
  <c r="BR5" i="3"/>
  <c r="AZ380" i="3"/>
  <c r="AZ499" i="3"/>
  <c r="G509" i="3"/>
  <c r="BL493" i="3"/>
  <c r="AZ376" i="3"/>
  <c r="U36" i="40"/>
  <c r="N4" i="43"/>
  <c r="F36" i="43"/>
  <c r="F81" i="43"/>
  <c r="H83" i="43" s="1"/>
  <c r="H113" i="43"/>
  <c r="N7" i="43"/>
  <c r="F70" i="43"/>
  <c r="H73" i="43" s="1"/>
  <c r="M6" i="43"/>
  <c r="M11" i="43"/>
  <c r="E17" i="43"/>
  <c r="F39" i="43"/>
  <c r="I17" i="43"/>
  <c r="F35" i="43"/>
  <c r="J17" i="43"/>
  <c r="F6" i="1"/>
  <c r="C10" i="39" s="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296" i="3"/>
  <c r="AZ114" i="3"/>
  <c r="AZ29" i="3"/>
  <c r="AZ31" i="3"/>
  <c r="AZ33" i="3"/>
  <c r="AZ45" i="3"/>
  <c r="AZ50" i="3"/>
  <c r="AZ82" i="3"/>
  <c r="AZ102" i="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8" i="33" l="1"/>
  <c r="AZ509" i="3"/>
  <c r="AB38" i="40"/>
  <c r="U38" i="40"/>
  <c r="I20" i="43"/>
  <c r="H75" i="43"/>
  <c r="U17" i="39"/>
  <c r="AZ493" i="3"/>
  <c r="BQ5" i="3"/>
  <c r="F29" i="6"/>
  <c r="AZ361" i="3"/>
  <c r="AZ318" i="3"/>
  <c r="AZ310" i="3"/>
  <c r="AZ355" i="3"/>
  <c r="AZ351" i="3"/>
  <c r="AZ304" i="3"/>
  <c r="AZ394" i="3"/>
  <c r="AZ341" i="3"/>
  <c r="AZ325" i="3"/>
  <c r="AZ309" i="3"/>
  <c r="S42" i="21"/>
  <c r="AC46" i="21"/>
  <c r="AC45" i="33"/>
  <c r="AA13" i="33"/>
  <c r="AC32" i="36"/>
  <c r="AA41" i="34"/>
  <c r="AA36" i="39"/>
  <c r="AZ555" i="3"/>
  <c r="AZ565" i="3"/>
  <c r="AZ566" i="3"/>
  <c r="AZ574" i="3"/>
  <c r="W35" i="39"/>
  <c r="H13" i="39"/>
  <c r="H33" i="40"/>
  <c r="F46" i="21"/>
  <c r="AA46" i="21" s="1"/>
  <c r="H30" i="21"/>
  <c r="H14" i="21"/>
  <c r="U14" i="21" s="1"/>
  <c r="U23" i="40"/>
  <c r="AB17" i="34"/>
  <c r="S34" i="37"/>
  <c r="U8" i="33"/>
  <c r="AA28" i="34"/>
  <c r="S28" i="34"/>
  <c r="S10" i="36"/>
  <c r="S34" i="21"/>
  <c r="S40" i="21"/>
  <c r="J31" i="39"/>
  <c r="F31" i="39"/>
  <c r="AA31" i="39" s="1"/>
  <c r="W31" i="40"/>
  <c r="BL587" i="3"/>
  <c r="AZ587" i="3" s="1"/>
  <c r="E20" i="6"/>
  <c r="D7" i="12" s="1"/>
  <c r="G27" i="6"/>
  <c r="AA34" i="34"/>
  <c r="S34" i="34"/>
  <c r="H9" i="34"/>
  <c r="F9" i="34"/>
  <c r="J27" i="34"/>
  <c r="F27" i="34"/>
  <c r="AA27" i="34" s="1"/>
  <c r="W8" i="35"/>
  <c r="AC8" i="35"/>
  <c r="AC28" i="35"/>
  <c r="W28" i="35"/>
  <c r="AA34" i="35"/>
  <c r="S34" i="35"/>
  <c r="J12" i="33"/>
  <c r="H12" i="33"/>
  <c r="H30" i="33"/>
  <c r="AB30" i="33" s="1"/>
  <c r="J30" i="33"/>
  <c r="J46" i="33"/>
  <c r="AC46" i="33" s="1"/>
  <c r="H46" i="33"/>
  <c r="J29" i="34"/>
  <c r="H29" i="34"/>
  <c r="AB29" i="34" s="1"/>
  <c r="H45" i="34"/>
  <c r="U45" i="34" s="1"/>
  <c r="F45" i="34"/>
  <c r="S45" i="34" s="1"/>
  <c r="F13" i="35"/>
  <c r="H13" i="35"/>
  <c r="U13" i="35" s="1"/>
  <c r="H23" i="35"/>
  <c r="F23" i="35"/>
  <c r="AA23" i="35" s="1"/>
  <c r="J35" i="35"/>
  <c r="AC35" i="35" s="1"/>
  <c r="H35" i="35"/>
  <c r="AC22" i="35"/>
  <c r="W22" i="35"/>
  <c r="H9" i="36"/>
  <c r="F9" i="36"/>
  <c r="AA9" i="36" s="1"/>
  <c r="J11" i="36"/>
  <c r="F11" i="36"/>
  <c r="AA11" i="36" s="1"/>
  <c r="W16" i="36"/>
  <c r="AC16" i="36"/>
  <c r="H34" i="36"/>
  <c r="J34" i="36"/>
  <c r="F34" i="36"/>
  <c r="S34" i="36" s="1"/>
  <c r="AB31" i="36"/>
  <c r="U31" i="36"/>
  <c r="AC31" i="37"/>
  <c r="W31" i="37"/>
  <c r="H40" i="37"/>
  <c r="U40" i="37" s="1"/>
  <c r="F40" i="37"/>
  <c r="AA40" i="37" s="1"/>
  <c r="E122" i="39"/>
  <c r="F122" i="39" s="1"/>
  <c r="G122" i="39" s="1"/>
  <c r="H122" i="39" s="1"/>
  <c r="I122" i="39" s="1"/>
  <c r="J122" i="39" s="1"/>
  <c r="K122" i="39" s="1"/>
  <c r="L122" i="39" s="1"/>
  <c r="M122" i="39" s="1"/>
  <c r="F40" i="39"/>
  <c r="H45" i="39"/>
  <c r="F45" i="39"/>
  <c r="S45" i="39" s="1"/>
  <c r="F101" i="39"/>
  <c r="G101" i="39" s="1"/>
  <c r="J27" i="39"/>
  <c r="AC27" i="39" s="1"/>
  <c r="E120" i="39"/>
  <c r="F120" i="39" s="1"/>
  <c r="G120" i="39" s="1"/>
  <c r="H120" i="39" s="1"/>
  <c r="I120" i="39" s="1"/>
  <c r="J120" i="39" s="1"/>
  <c r="K120" i="39" s="1"/>
  <c r="L120" i="39" s="1"/>
  <c r="M120" i="39" s="1"/>
  <c r="H39" i="39"/>
  <c r="U39" i="39" s="1"/>
  <c r="AB34" i="40"/>
  <c r="U34" i="40"/>
  <c r="AB33" i="35"/>
  <c r="U33" i="35"/>
  <c r="F12" i="21"/>
  <c r="H12" i="21"/>
  <c r="H28" i="21"/>
  <c r="AB28" i="21" s="1"/>
  <c r="J28" i="21"/>
  <c r="J44" i="21"/>
  <c r="F44" i="21"/>
  <c r="AA44" i="21" s="1"/>
  <c r="B77" i="43"/>
  <c r="C25" i="39"/>
  <c r="AC33" i="33"/>
  <c r="W33" i="33"/>
  <c r="E115" i="33"/>
  <c r="F115" i="33" s="1"/>
  <c r="G115" i="33" s="1"/>
  <c r="H115" i="33" s="1"/>
  <c r="I115" i="33" s="1"/>
  <c r="J115" i="33" s="1"/>
  <c r="K115" i="33" s="1"/>
  <c r="L115" i="33" s="1"/>
  <c r="M115" i="33" s="1"/>
  <c r="J38" i="33"/>
  <c r="AC38" i="33" s="1"/>
  <c r="F38" i="33"/>
  <c r="AA38" i="33" s="1"/>
  <c r="AC8" i="34"/>
  <c r="W8" i="34"/>
  <c r="AB40" i="40"/>
  <c r="U40" i="40"/>
  <c r="F38" i="40"/>
  <c r="J38" i="40"/>
  <c r="AC38" i="40" s="1"/>
  <c r="J40" i="40"/>
  <c r="F40" i="40"/>
  <c r="W38" i="34"/>
  <c r="AC38" i="34"/>
  <c r="AA30" i="36"/>
  <c r="S30" i="36"/>
  <c r="H35" i="39"/>
  <c r="AB35" i="39" s="1"/>
  <c r="F35" i="39"/>
  <c r="M20" i="15"/>
  <c r="F34" i="80"/>
  <c r="F62" i="80" s="1"/>
  <c r="M20" i="80"/>
  <c r="F146" i="79"/>
  <c r="F19" i="6"/>
  <c r="BL585" i="3"/>
  <c r="G578" i="3"/>
  <c r="G574" i="3"/>
  <c r="H5"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AZ384" i="3"/>
  <c r="BA451" i="3"/>
  <c r="BL451" i="3"/>
  <c r="BA452" i="3"/>
  <c r="AZ452" i="3" s="1"/>
  <c r="BA454" i="3"/>
  <c r="BL454" i="3"/>
  <c r="BA455" i="3"/>
  <c r="AZ455" i="3" s="1"/>
  <c r="BA456" i="3"/>
  <c r="AZ456" i="3" s="1"/>
  <c r="BA458" i="3"/>
  <c r="AZ458" i="3" s="1"/>
  <c r="BL458" i="3"/>
  <c r="BL460" i="3"/>
  <c r="G461" i="3"/>
  <c r="G463" i="3"/>
  <c r="BL464" i="3"/>
  <c r="G465" i="3"/>
  <c r="G469" i="3"/>
  <c r="G474" i="3"/>
  <c r="BL475" i="3"/>
  <c r="G476" i="3"/>
  <c r="G478" i="3"/>
  <c r="BL479" i="3"/>
  <c r="G480" i="3"/>
  <c r="G482" i="3"/>
  <c r="BL483" i="3"/>
  <c r="BA484" i="3"/>
  <c r="AZ484" i="3" s="1"/>
  <c r="BA485" i="3"/>
  <c r="AZ485" i="3" s="1"/>
  <c r="BA487" i="3"/>
  <c r="AZ487" i="3" s="1"/>
  <c r="BL487" i="3"/>
  <c r="BA488" i="3"/>
  <c r="AZ488" i="3" s="1"/>
  <c r="BA489" i="3"/>
  <c r="AZ489" i="3" s="1"/>
  <c r="BA491" i="3"/>
  <c r="AZ491" i="3" s="1"/>
  <c r="BL491" i="3"/>
  <c r="BA492" i="3"/>
  <c r="AZ492" i="3" s="1"/>
  <c r="BA316" i="3"/>
  <c r="BL316" i="3"/>
  <c r="BL328" i="3"/>
  <c r="AZ328" i="3" s="1"/>
  <c r="G329" i="3"/>
  <c r="BA335" i="3"/>
  <c r="AZ335" i="3" s="1"/>
  <c r="BA339" i="3"/>
  <c r="AZ339" i="3" s="1"/>
  <c r="G347" i="3"/>
  <c r="BA348" i="3"/>
  <c r="AZ348" i="3" s="1"/>
  <c r="BA349" i="3"/>
  <c r="AZ349" i="3" s="1"/>
  <c r="BL363" i="3"/>
  <c r="AZ363" i="3" s="1"/>
  <c r="G364" i="3"/>
  <c r="BA366" i="3"/>
  <c r="AZ366" i="3" s="1"/>
  <c r="BL368" i="3"/>
  <c r="G369" i="3"/>
  <c r="G384" i="3"/>
  <c r="BL385" i="3"/>
  <c r="G212" i="3"/>
  <c r="BA213" i="3"/>
  <c r="BL213" i="3"/>
  <c r="BA215" i="3"/>
  <c r="AZ215" i="3" s="1"/>
  <c r="BL215" i="3"/>
  <c r="BA216" i="3"/>
  <c r="AZ216" i="3" s="1"/>
  <c r="BA218" i="3"/>
  <c r="BL218" i="3"/>
  <c r="BA219" i="3"/>
  <c r="AZ219" i="3" s="1"/>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G392" i="3"/>
  <c r="BL393" i="3"/>
  <c r="AZ393" i="3" s="1"/>
  <c r="BL396" i="3"/>
  <c r="AZ396"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G18" i="3"/>
  <c r="BA20" i="3"/>
  <c r="G21" i="3"/>
  <c r="G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80"/>
  <c r="K100" i="43"/>
  <c r="D58" i="79"/>
  <c r="E58" i="79" s="1"/>
  <c r="F58" i="79" s="1"/>
  <c r="G58" i="79" s="1"/>
  <c r="H58" i="79" s="1"/>
  <c r="I58" i="79" s="1"/>
  <c r="J58" i="79" s="1"/>
  <c r="K58" i="79" s="1"/>
  <c r="L58" i="79" s="1"/>
  <c r="M58" i="79" s="1"/>
  <c r="N58" i="79" s="1"/>
  <c r="O58" i="79" s="1"/>
  <c r="J7" i="79"/>
  <c r="F7" i="79"/>
  <c r="H7" i="79"/>
  <c r="S31" i="39"/>
  <c r="AA41" i="39"/>
  <c r="S42" i="39"/>
  <c r="W40" i="39"/>
  <c r="U40" i="39"/>
  <c r="U9" i="39"/>
  <c r="BL27" i="3"/>
  <c r="G27" i="3"/>
  <c r="G20" i="43"/>
  <c r="C20" i="43" s="1"/>
  <c r="BA26" i="3"/>
  <c r="BA27" i="3"/>
  <c r="AZ27" i="3" s="1"/>
  <c r="BA18" i="3"/>
  <c r="AZ18" i="3" s="1"/>
  <c r="BA19" i="3"/>
  <c r="AZ19" i="3" s="1"/>
  <c r="BL20" i="3"/>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AZ551" i="3" s="1"/>
  <c r="G551" i="3"/>
  <c r="BL550" i="3"/>
  <c r="BA550" i="3"/>
  <c r="BL548" i="3"/>
  <c r="AZ548" i="3" s="1"/>
  <c r="G526" i="3"/>
  <c r="BL15" i="3"/>
  <c r="AZ15" i="3" s="1"/>
  <c r="AZ399" i="3"/>
  <c r="AZ403" i="3"/>
  <c r="AZ405" i="3"/>
  <c r="AZ406" i="3"/>
  <c r="AZ415" i="3"/>
  <c r="AZ419" i="3"/>
  <c r="AZ421" i="3"/>
  <c r="AZ422" i="3"/>
  <c r="AZ431" i="3"/>
  <c r="AZ435" i="3"/>
  <c r="AZ438" i="3"/>
  <c r="AZ442" i="3"/>
  <c r="AZ451" i="3"/>
  <c r="AZ454" i="3"/>
  <c r="AZ468" i="3"/>
  <c r="AZ469" i="3"/>
  <c r="AZ486"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BA269" i="3"/>
  <c r="AZ269" i="3" s="1"/>
  <c r="BL271" i="3"/>
  <c r="AZ271" i="3" s="1"/>
  <c r="BA272" i="3"/>
  <c r="AZ272" i="3" s="1"/>
  <c r="BA273" i="3"/>
  <c r="AZ273" i="3" s="1"/>
  <c r="BL275" i="3"/>
  <c r="AZ275" i="3" s="1"/>
  <c r="BA276" i="3"/>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49" i="3"/>
  <c r="G100" i="4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F30" i="6"/>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67"/>
  <c r="M8" i="67"/>
  <c r="L48" i="15"/>
  <c r="M6" i="15"/>
  <c r="L47" i="67"/>
  <c r="F36" i="67"/>
  <c r="G1" i="73"/>
  <c r="F37" i="67"/>
  <c r="F42" i="15"/>
  <c r="F13" i="67"/>
  <c r="M9" i="67"/>
  <c r="M6" i="67"/>
  <c r="F16" i="15"/>
  <c r="C76" i="67"/>
  <c r="M9" i="15"/>
  <c r="F26" i="15"/>
  <c r="L47" i="15"/>
  <c r="F42" i="67"/>
  <c r="M26" i="67"/>
  <c r="L48" i="67"/>
  <c r="C76" i="15"/>
  <c r="M8" i="15"/>
  <c r="J15" i="67"/>
  <c r="M24" i="15"/>
  <c r="F38" i="67"/>
  <c r="F40" i="15"/>
  <c r="F16" i="67"/>
  <c r="M28" i="67"/>
  <c r="M24" i="67"/>
  <c r="M22" i="67"/>
  <c r="M26" i="15"/>
  <c r="M28" i="15"/>
  <c r="F38" i="15"/>
  <c r="F26" i="67"/>
  <c r="F9" i="67"/>
  <c r="J15" i="15"/>
  <c r="F8" i="15"/>
  <c r="F36" i="15"/>
  <c r="F8" i="67"/>
  <c r="M22" i="15"/>
  <c r="M23" i="67"/>
  <c r="M23" i="15"/>
  <c r="F9" i="15"/>
  <c r="F13" i="15"/>
  <c r="F37" i="15"/>
  <c r="F53" i="9" l="1"/>
  <c r="M18" i="80"/>
  <c r="F32" i="80"/>
  <c r="F60" i="80" s="1"/>
  <c r="F28" i="80"/>
  <c r="C28" i="80" s="1"/>
  <c r="U7" i="79"/>
  <c r="AB7" i="79"/>
  <c r="AC7" i="79"/>
  <c r="W7" i="79"/>
  <c r="AZ125" i="3"/>
  <c r="C33" i="79"/>
  <c r="D3" i="39"/>
  <c r="E19" i="6"/>
  <c r="W40" i="40"/>
  <c r="AC40" i="40"/>
  <c r="AA38" i="40"/>
  <c r="S38" i="40"/>
  <c r="W28" i="21"/>
  <c r="AC28" i="21"/>
  <c r="AB12" i="21"/>
  <c r="U12" i="21"/>
  <c r="AA40" i="39"/>
  <c r="S40" i="39"/>
  <c r="AC11" i="36"/>
  <c r="W11" i="36"/>
  <c r="U23" i="35"/>
  <c r="AB23" i="35"/>
  <c r="S13" i="35"/>
  <c r="AA13" i="35"/>
  <c r="F27" i="6"/>
  <c r="W17" i="21"/>
  <c r="F31" i="6"/>
  <c r="E27" i="6"/>
  <c r="F32" i="39"/>
  <c r="AZ22" i="3"/>
  <c r="AZ299" i="3"/>
  <c r="AZ276" i="3"/>
  <c r="AZ268" i="3"/>
  <c r="AZ460" i="3"/>
  <c r="AZ426" i="3"/>
  <c r="AZ20" i="3"/>
  <c r="W27" i="39"/>
  <c r="AA7" i="79"/>
  <c r="S7" i="79"/>
  <c r="AZ95" i="3"/>
  <c r="AZ71" i="3"/>
  <c r="AZ67" i="3"/>
  <c r="AZ65" i="3"/>
  <c r="AZ38" i="3"/>
  <c r="AZ207" i="3"/>
  <c r="AZ201" i="3"/>
  <c r="AZ174" i="3"/>
  <c r="AZ169" i="3"/>
  <c r="AZ290" i="3"/>
  <c r="AZ218" i="3"/>
  <c r="AZ316" i="3"/>
  <c r="AA35" i="39"/>
  <c r="S35" i="39"/>
  <c r="AA40" i="40"/>
  <c r="S40" i="40"/>
  <c r="AC44" i="21"/>
  <c r="W44" i="21"/>
  <c r="U45" i="39"/>
  <c r="AB45" i="39"/>
  <c r="W34" i="36"/>
  <c r="AC34" i="36"/>
  <c r="AB35" i="35"/>
  <c r="U35" i="35"/>
  <c r="AB46" i="33"/>
  <c r="U46" i="33"/>
  <c r="U12" i="33"/>
  <c r="AB12" i="33"/>
  <c r="AA9" i="34"/>
  <c r="S9" i="34"/>
  <c r="U30" i="21"/>
  <c r="AB30" i="21"/>
  <c r="U33" i="40"/>
  <c r="AB33" i="40"/>
  <c r="E28" i="6"/>
  <c r="T12" i="1"/>
  <c r="T10" i="1"/>
  <c r="I4" i="6"/>
  <c r="G3" i="43" s="1"/>
  <c r="B113" i="43" s="1"/>
  <c r="AT6" i="3"/>
  <c r="AR10" i="1"/>
  <c r="E56" i="40"/>
  <c r="E65" i="39"/>
  <c r="C6" i="43"/>
  <c r="H52" i="43"/>
  <c r="H50" i="43"/>
  <c r="H48" i="43"/>
  <c r="H49" i="43"/>
  <c r="H54" i="43"/>
  <c r="H51" i="43"/>
  <c r="H53" i="43"/>
  <c r="D120" i="9"/>
  <c r="D6" i="52" s="1"/>
  <c r="G101" i="33"/>
  <c r="H101" i="33" s="1"/>
  <c r="I101" i="33" s="1"/>
  <c r="J101" i="33" s="1"/>
  <c r="K101" i="33" s="1"/>
  <c r="L101" i="33" s="1"/>
  <c r="M101" i="33" s="1"/>
  <c r="H32" i="33"/>
  <c r="F32" i="3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E63" i="39"/>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67"/>
  <c r="M17" i="15"/>
  <c r="F31" i="15"/>
  <c r="F59" i="67"/>
  <c r="F31" i="67"/>
  <c r="F59" i="15"/>
  <c r="C76" i="80"/>
  <c r="L47" i="80"/>
  <c r="M24" i="80"/>
  <c r="F37" i="80"/>
  <c r="M6" i="80"/>
  <c r="F7" i="80"/>
  <c r="F43" i="80"/>
  <c r="F26" i="80"/>
  <c r="F8" i="80"/>
  <c r="M23" i="80"/>
  <c r="J15" i="80"/>
  <c r="M28" i="80"/>
  <c r="F6" i="80"/>
  <c r="M29" i="80"/>
  <c r="F40" i="80"/>
  <c r="F42" i="80"/>
  <c r="M22" i="80"/>
  <c r="F9" i="80"/>
  <c r="D9" i="68"/>
  <c r="M9" i="80"/>
  <c r="M26" i="80"/>
  <c r="F38" i="80"/>
  <c r="M27" i="80"/>
  <c r="F16" i="80"/>
  <c r="F13" i="80"/>
  <c r="L48" i="80"/>
  <c r="F36" i="80"/>
  <c r="M8" i="80"/>
  <c r="D19" i="12"/>
  <c r="Y11" i="43" l="1"/>
  <c r="Y13" i="43" s="1"/>
  <c r="L56" i="80"/>
  <c r="J57" i="80"/>
  <c r="J55" i="80" s="1"/>
  <c r="J58" i="80" s="1"/>
  <c r="Q50" i="80" s="1"/>
  <c r="I54" i="80"/>
  <c r="L57" i="80"/>
  <c r="J60" i="80"/>
  <c r="Q48" i="80" s="1"/>
  <c r="J59" i="80"/>
  <c r="L60" i="80"/>
  <c r="J53" i="80"/>
  <c r="C27" i="80"/>
  <c r="C6" i="80"/>
  <c r="C10" i="80"/>
  <c r="F65" i="80"/>
  <c r="F71" i="80"/>
  <c r="F66" i="80"/>
  <c r="N59" i="80"/>
  <c r="L58" i="80"/>
  <c r="M59" i="80"/>
  <c r="L59" i="80" s="1"/>
  <c r="F51" i="80"/>
  <c r="F68" i="80"/>
  <c r="F64" i="80"/>
  <c r="Q71" i="80"/>
  <c r="F50" i="80"/>
  <c r="M7" i="80"/>
  <c r="J10" i="80" s="1"/>
  <c r="D3" i="79"/>
  <c r="C7" i="12"/>
  <c r="K6" i="1"/>
  <c r="J33" i="79"/>
  <c r="H33" i="79"/>
  <c r="F33" i="79"/>
  <c r="O7" i="1"/>
  <c r="C24" i="80"/>
  <c r="AA11" i="43"/>
  <c r="AA13" i="43" s="1"/>
  <c r="I101" i="43"/>
  <c r="I105" i="43" s="1"/>
  <c r="M101" i="43"/>
  <c r="H11" i="39"/>
  <c r="F11" i="39"/>
  <c r="J11" i="39"/>
  <c r="C19" i="12"/>
  <c r="C9" i="68"/>
  <c r="Z11" i="43"/>
  <c r="Z13" i="43" s="1"/>
  <c r="G101" i="43"/>
  <c r="G105" i="43" s="1"/>
  <c r="AB11" i="43"/>
  <c r="AB13" i="43" s="1"/>
  <c r="C101" i="43"/>
  <c r="C104" i="43" s="1"/>
  <c r="AG11" i="43"/>
  <c r="AG13" i="43" s="1"/>
  <c r="AH11" i="43"/>
  <c r="AH13" i="43" s="1"/>
  <c r="L101" i="43"/>
  <c r="K101" i="43"/>
  <c r="K102" i="43" s="1"/>
  <c r="AI11" i="43"/>
  <c r="AI13" i="43" s="1"/>
  <c r="AJ11" i="43"/>
  <c r="AJ13" i="43" s="1"/>
  <c r="H22" i="43"/>
  <c r="F101" i="43"/>
  <c r="F102" i="43" s="1"/>
  <c r="I107" i="43"/>
  <c r="AC11" i="43"/>
  <c r="AC13" i="43" s="1"/>
  <c r="S5" i="43"/>
  <c r="T5" i="43" s="1"/>
  <c r="V5" i="43" s="1"/>
  <c r="AD11" i="43"/>
  <c r="AD13" i="43" s="1"/>
  <c r="G22" i="43"/>
  <c r="D101" i="43"/>
  <c r="D106" i="43" s="1"/>
  <c r="J101" i="43"/>
  <c r="J105" i="43" s="1"/>
  <c r="N101" i="43"/>
  <c r="N105" i="43" s="1"/>
  <c r="F22" i="43"/>
  <c r="AE11" i="43"/>
  <c r="AE13" i="43" s="1"/>
  <c r="Z7" i="43"/>
  <c r="AF11" i="43"/>
  <c r="AF13" i="43" s="1"/>
  <c r="E101" i="43"/>
  <c r="E103" i="43" s="1"/>
  <c r="H101" i="43"/>
  <c r="H109" i="43" s="1"/>
  <c r="N104" i="46"/>
  <c r="E22" i="43"/>
  <c r="K16" i="1"/>
  <c r="B29" i="1" s="1"/>
  <c r="D104" i="43"/>
  <c r="H104" i="43"/>
  <c r="AY6" i="3"/>
  <c r="AY103" i="3" s="1"/>
  <c r="E3" i="6"/>
  <c r="D3" i="21" s="1"/>
  <c r="M20" i="6"/>
  <c r="I20" i="6" s="1"/>
  <c r="S20" i="6" s="1"/>
  <c r="AQ7" i="1"/>
  <c r="D102" i="43"/>
  <c r="D105" i="43"/>
  <c r="G102" i="43"/>
  <c r="G104" i="43"/>
  <c r="G109" i="43"/>
  <c r="K103" i="43"/>
  <c r="K105" i="43"/>
  <c r="K104" i="43"/>
  <c r="K109" i="43"/>
  <c r="C107" i="43"/>
  <c r="C109" i="43"/>
  <c r="C105" i="43"/>
  <c r="F104" i="43"/>
  <c r="F103" i="43"/>
  <c r="F106" i="43"/>
  <c r="F109" i="43"/>
  <c r="N102" i="43"/>
  <c r="N107" i="43"/>
  <c r="N106"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B4" i="72" s="1"/>
  <c r="M19" i="6"/>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F7" i="15"/>
  <c r="C17" i="80"/>
  <c r="F27" i="68"/>
  <c r="M29" i="15"/>
  <c r="F28" i="12"/>
  <c r="M29" i="67"/>
  <c r="C16" i="80"/>
  <c r="F43" i="67"/>
  <c r="F7" i="67"/>
  <c r="F43" i="15"/>
  <c r="C14" i="80"/>
  <c r="J107" i="43" l="1"/>
  <c r="C5" i="80"/>
  <c r="C32" i="80" s="1"/>
  <c r="L46" i="80"/>
  <c r="C15" i="80"/>
  <c r="C18" i="80"/>
  <c r="F71" i="15"/>
  <c r="F71" i="67"/>
  <c r="F50" i="67"/>
  <c r="C49" i="67" s="1"/>
  <c r="M7" i="67"/>
  <c r="J6" i="67" s="1"/>
  <c r="J5" i="67" s="1"/>
  <c r="F50" i="15"/>
  <c r="C49" i="15" s="1"/>
  <c r="M7" i="15"/>
  <c r="J6" i="80"/>
  <c r="J5" i="80" s="1"/>
  <c r="AA33" i="79"/>
  <c r="R48" i="79" s="1"/>
  <c r="S33" i="79"/>
  <c r="AC33" i="79"/>
  <c r="V48" i="79" s="1"/>
  <c r="I48" i="79" s="1"/>
  <c r="W33" i="79"/>
  <c r="Q61" i="80"/>
  <c r="Q74" i="80"/>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M27" i="6"/>
  <c r="N104" i="43"/>
  <c r="N103" i="43"/>
  <c r="F105" i="43"/>
  <c r="F107" i="43"/>
  <c r="C102" i="43"/>
  <c r="S2" i="43" s="1"/>
  <c r="T2" i="43" s="1"/>
  <c r="V2" i="43" s="1"/>
  <c r="C106" i="43"/>
  <c r="C103" i="43"/>
  <c r="K106" i="43"/>
  <c r="K107" i="43"/>
  <c r="G103" i="43"/>
  <c r="G106" i="43"/>
  <c r="G107" i="43"/>
  <c r="H103" i="43"/>
  <c r="I104" i="43"/>
  <c r="U33" i="79"/>
  <c r="AB33" i="79"/>
  <c r="T48" i="79" s="1"/>
  <c r="G48" i="79" s="1"/>
  <c r="M6" i="1"/>
  <c r="G16" i="1"/>
  <c r="Q16" i="1"/>
  <c r="H16" i="1"/>
  <c r="C49" i="80"/>
  <c r="C48" i="80" s="1"/>
  <c r="Q73" i="80"/>
  <c r="Q60" i="80"/>
  <c r="Q52" i="80"/>
  <c r="F1" i="80"/>
  <c r="Q57" i="80"/>
  <c r="Q66" i="80"/>
  <c r="M109" i="43"/>
  <c r="M104" i="43"/>
  <c r="M107" i="43"/>
  <c r="M105" i="43"/>
  <c r="M102" i="43"/>
  <c r="M106" i="43"/>
  <c r="M103" i="43"/>
  <c r="I109" i="43"/>
  <c r="I102" i="43"/>
  <c r="I103" i="43"/>
  <c r="I106" i="43"/>
  <c r="AA11" i="39"/>
  <c r="S11" i="39"/>
  <c r="H38" i="39"/>
  <c r="J38" i="39"/>
  <c r="F38" i="39"/>
  <c r="W11" i="39"/>
  <c r="AC11" i="39"/>
  <c r="U11" i="39"/>
  <c r="AB11" i="39"/>
  <c r="C29" i="12"/>
  <c r="D28" i="12" s="1"/>
  <c r="C29" i="68"/>
  <c r="D27" i="68" s="1"/>
  <c r="I19" i="6"/>
  <c r="L18" i="9" s="1"/>
  <c r="C17" i="4"/>
  <c r="B4" i="52" s="1"/>
  <c r="B43" i="72" s="1"/>
  <c r="D3" i="37"/>
  <c r="D37" i="11"/>
  <c r="D19" i="11"/>
  <c r="C19" i="11" s="1"/>
  <c r="C20" i="11" s="1"/>
  <c r="C25"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H20" i="6"/>
  <c r="AB7" i="36"/>
  <c r="T36" i="36" s="1"/>
  <c r="E38" i="43"/>
  <c r="E6" i="3"/>
  <c r="C47" i="68"/>
  <c r="D45" i="68" s="1"/>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H19" i="6"/>
  <c r="L19" i="9" s="1"/>
  <c r="I27" i="6"/>
  <c r="F50" i="11"/>
  <c r="F50" i="69"/>
  <c r="F50" i="68"/>
  <c r="C17" i="15"/>
  <c r="C13" i="12"/>
  <c r="F11" i="12"/>
  <c r="F34" i="68"/>
  <c r="D10" i="68"/>
  <c r="C16" i="67"/>
  <c r="D14" i="12"/>
  <c r="D20" i="12"/>
  <c r="C16" i="15"/>
  <c r="C38" i="80" l="1"/>
  <c r="C19" i="80"/>
  <c r="C20" i="80" s="1"/>
  <c r="C26" i="80" s="1"/>
  <c r="J24" i="80"/>
  <c r="J26" i="80"/>
  <c r="J18" i="80"/>
  <c r="C60" i="80"/>
  <c r="C66" i="80"/>
  <c r="H10" i="40"/>
  <c r="F10" i="39"/>
  <c r="F10" i="40"/>
  <c r="J10" i="39"/>
  <c r="J10" i="40"/>
  <c r="H10" i="39"/>
  <c r="G53" i="79"/>
  <c r="H53" i="79" s="1"/>
  <c r="G52" i="79"/>
  <c r="H52" i="79" s="1"/>
  <c r="J6" i="15"/>
  <c r="J10" i="15"/>
  <c r="S19" i="6"/>
  <c r="S27" i="6" s="1"/>
  <c r="C24" i="11"/>
  <c r="C22" i="11" s="1"/>
  <c r="F27" i="69"/>
  <c r="F27" i="11"/>
  <c r="O6" i="1"/>
  <c r="M16" i="1"/>
  <c r="I52" i="79"/>
  <c r="J52" i="79" s="1"/>
  <c r="E48" i="79"/>
  <c r="R49" i="79"/>
  <c r="R25" i="6"/>
  <c r="W38" i="39"/>
  <c r="AC38" i="39"/>
  <c r="AA38" i="39"/>
  <c r="S38" i="39"/>
  <c r="AB38" i="39"/>
  <c r="U38" i="39"/>
  <c r="C20" i="12"/>
  <c r="C18" i="12" s="1"/>
  <c r="D17" i="12"/>
  <c r="C17" i="12" s="1"/>
  <c r="R20" i="6"/>
  <c r="R7" i="1" s="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36" i="68"/>
  <c r="C34" i="68"/>
  <c r="C23" i="80" l="1"/>
  <c r="C29" i="80" s="1"/>
  <c r="C57" i="80" s="1"/>
  <c r="C61" i="80" s="1"/>
  <c r="E53" i="79"/>
  <c r="F53" i="79" s="1"/>
  <c r="E52" i="79"/>
  <c r="F52" i="79" s="1"/>
  <c r="P6" i="1"/>
  <c r="O16" i="1"/>
  <c r="C47" i="69"/>
  <c r="D45" i="69" s="1"/>
  <c r="C29" i="69"/>
  <c r="D27" i="69" s="1"/>
  <c r="J5" i="15"/>
  <c r="W10" i="40"/>
  <c r="AC10" i="40"/>
  <c r="AA10" i="40"/>
  <c r="S10" i="40"/>
  <c r="U10" i="40"/>
  <c r="AB10" i="40"/>
  <c r="C49" i="79"/>
  <c r="C48" i="79"/>
  <c r="I53" i="79"/>
  <c r="J53" i="79" s="1"/>
  <c r="N16" i="1"/>
  <c r="F34" i="11" s="1"/>
  <c r="L16" i="1"/>
  <c r="C29" i="11"/>
  <c r="D27" i="11" s="1"/>
  <c r="C47" i="11"/>
  <c r="D45" i="11" s="1"/>
  <c r="C28" i="11"/>
  <c r="C27" i="11" s="1"/>
  <c r="C31" i="11" s="1"/>
  <c r="U10" i="39"/>
  <c r="AB10" i="39"/>
  <c r="W10" i="39"/>
  <c r="AC10" i="39"/>
  <c r="S10" i="39"/>
  <c r="AA10" i="39"/>
  <c r="D31" i="6"/>
  <c r="I6" i="6" s="1"/>
  <c r="E2" i="76"/>
  <c r="B2" i="43"/>
  <c r="R49" i="21"/>
  <c r="C48" i="21" s="1"/>
  <c r="G54" i="34"/>
  <c r="H54" i="34" s="1"/>
  <c r="I53" i="21"/>
  <c r="J53" i="21" s="1"/>
  <c r="C37" i="36"/>
  <c r="C36" i="36"/>
  <c r="G40" i="36"/>
  <c r="H40" i="36" s="1"/>
  <c r="E41" i="36"/>
  <c r="F41" i="36" s="1"/>
  <c r="G41" i="36"/>
  <c r="H41" i="36" s="1"/>
  <c r="C19" i="68"/>
  <c r="D37" i="68"/>
  <c r="C37" i="68" s="1"/>
  <c r="R27"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80"/>
  <c r="M21" i="80"/>
  <c r="C11" i="12"/>
  <c r="M21" i="15"/>
  <c r="B6" i="76"/>
  <c r="M21" i="67"/>
  <c r="F35" i="67"/>
  <c r="F35" i="15"/>
  <c r="J14" i="80" l="1"/>
  <c r="J22" i="80" s="1"/>
  <c r="C64" i="80"/>
  <c r="C13" i="80"/>
  <c r="C37" i="80" s="1"/>
  <c r="C36" i="80"/>
  <c r="J19" i="80"/>
  <c r="C33" i="80"/>
  <c r="Q49" i="80"/>
  <c r="C15" i="12"/>
  <c r="C12" i="12"/>
  <c r="C37" i="11"/>
  <c r="C34" i="11"/>
  <c r="C36" i="11"/>
  <c r="J24" i="15"/>
  <c r="J18" i="15"/>
  <c r="P16" i="1"/>
  <c r="E135" i="79"/>
  <c r="B3" i="79"/>
  <c r="B2" i="79"/>
  <c r="F63" i="80"/>
  <c r="C62" i="80" s="1"/>
  <c r="C59" i="80" s="1"/>
  <c r="C34" i="80"/>
  <c r="C31" i="80" s="1"/>
  <c r="J20" i="80"/>
  <c r="J17" i="80" s="1"/>
  <c r="I5" i="6"/>
  <c r="B2" i="76"/>
  <c r="B3" i="76" s="1"/>
  <c r="B3" i="43"/>
  <c r="C49" i="21"/>
  <c r="F63" i="67"/>
  <c r="C62" i="67" s="1"/>
  <c r="C34" i="67"/>
  <c r="J20" i="67"/>
  <c r="C24" i="68"/>
  <c r="J20" i="15"/>
  <c r="F63" i="15"/>
  <c r="C62" i="15" s="1"/>
  <c r="C34" i="15"/>
  <c r="R16" i="1"/>
  <c r="C33" i="68"/>
  <c r="I63" i="40"/>
  <c r="H65" i="40"/>
  <c r="I70" i="39"/>
  <c r="C56" i="80" l="1"/>
  <c r="C65" i="80" s="1"/>
  <c r="C58" i="80" s="1"/>
  <c r="C67" i="80" s="1"/>
  <c r="J13" i="80"/>
  <c r="J23" i="80" s="1"/>
  <c r="J16" i="80" s="1"/>
  <c r="J25" i="80" s="1"/>
  <c r="Q70" i="80"/>
  <c r="C75" i="80"/>
  <c r="C30" i="80"/>
  <c r="C39" i="80" s="1"/>
  <c r="C16" i="12"/>
  <c r="C21" i="12" s="1"/>
  <c r="C22" i="12" s="1"/>
  <c r="E149" i="79"/>
  <c r="E143" i="79"/>
  <c r="E139" i="79"/>
  <c r="E144" i="79"/>
  <c r="E140" i="79"/>
  <c r="E136" i="79"/>
  <c r="E145" i="79"/>
  <c r="E141" i="79"/>
  <c r="E137" i="79"/>
  <c r="E142" i="79"/>
  <c r="E138" i="79"/>
  <c r="C35" i="11"/>
  <c r="C38" i="11"/>
  <c r="C33" i="11" s="1"/>
  <c r="C39" i="68"/>
  <c r="C43" i="68" s="1"/>
  <c r="C42" i="68"/>
  <c r="J63" i="40"/>
  <c r="I65" i="40"/>
  <c r="J70" i="39"/>
  <c r="L51" i="80"/>
  <c r="C80" i="80" l="1"/>
  <c r="C79" i="80" s="1"/>
  <c r="Q69" i="80"/>
  <c r="Q68" i="80" s="1"/>
  <c r="C42" i="11"/>
  <c r="C39" i="11"/>
  <c r="H146" i="79"/>
  <c r="E159" i="79"/>
  <c r="E155" i="79"/>
  <c r="E151" i="79"/>
  <c r="E156" i="79"/>
  <c r="E152" i="79"/>
  <c r="E157" i="79"/>
  <c r="E153" i="79"/>
  <c r="E158" i="79"/>
  <c r="E154" i="79"/>
  <c r="E150" i="79"/>
  <c r="H160" i="79" s="1"/>
  <c r="Q67" i="80"/>
  <c r="C41" i="68"/>
  <c r="C46" i="68"/>
  <c r="C45" i="68" s="1"/>
  <c r="K63" i="40"/>
  <c r="J65" i="40"/>
  <c r="K70" i="39"/>
  <c r="F6" i="67"/>
  <c r="F6" i="15"/>
  <c r="C10" i="15" l="1"/>
  <c r="C6" i="15"/>
  <c r="C6" i="67"/>
  <c r="C10" i="67"/>
  <c r="C43" i="11"/>
  <c r="C41" i="11" s="1"/>
  <c r="C46" i="11"/>
  <c r="C45" i="11" s="1"/>
  <c r="C49" i="68"/>
  <c r="C51" i="68" s="1"/>
  <c r="L63" i="40"/>
  <c r="K65" i="40"/>
  <c r="L70" i="39"/>
  <c r="E2" i="70"/>
  <c r="C34" i="69"/>
  <c r="C17" i="67"/>
  <c r="C49" i="11" l="1"/>
  <c r="C51" i="11" s="1"/>
  <c r="C52" i="11" s="1"/>
  <c r="B2" i="11" s="1"/>
  <c r="B3" i="11" s="1"/>
  <c r="C5" i="15"/>
  <c r="C32" i="15" s="1"/>
  <c r="C5" i="67"/>
  <c r="M63" i="40"/>
  <c r="L65" i="40"/>
  <c r="M70" i="39"/>
  <c r="C35" i="69"/>
  <c r="C38" i="69"/>
  <c r="D10" i="69"/>
  <c r="C38" i="15" l="1"/>
  <c r="C56" i="11"/>
  <c r="C57" i="11" s="1"/>
  <c r="C32" i="67"/>
  <c r="C38" i="6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M27" i="67"/>
  <c r="F41" i="67"/>
  <c r="F41" i="80"/>
  <c r="M27" i="15"/>
  <c r="Q67" i="15" l="1"/>
  <c r="J29" i="80"/>
  <c r="F69" i="80"/>
  <c r="C68" i="80" s="1"/>
  <c r="C71" i="80" s="1"/>
  <c r="C40" i="80"/>
  <c r="Q47" i="80" s="1"/>
  <c r="Q53" i="80" s="1"/>
  <c r="J26" i="15"/>
  <c r="J29" i="15" s="1"/>
  <c r="J26" i="67"/>
  <c r="J29" i="67" s="1"/>
  <c r="C58" i="15"/>
  <c r="C67" i="15" s="1"/>
  <c r="F69" i="15"/>
  <c r="C40" i="15"/>
  <c r="C43" i="15" s="1"/>
  <c r="L46" i="15"/>
  <c r="Q57" i="15"/>
  <c r="Q66" i="15"/>
  <c r="F69" i="67"/>
  <c r="C68" i="67" s="1"/>
  <c r="C71" i="67" s="1"/>
  <c r="C40" i="67"/>
  <c r="C83" i="67" s="1"/>
  <c r="C82" i="67" s="1"/>
  <c r="Q56" i="80" l="1"/>
  <c r="Q62" i="80" s="1"/>
  <c r="C83" i="80"/>
  <c r="C82" i="80" s="1"/>
  <c r="B2" i="80"/>
  <c r="D8" i="12" s="1"/>
  <c r="C46" i="80"/>
  <c r="C43" i="80"/>
  <c r="Q65" i="80"/>
  <c r="Q75" i="80"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E2" i="69"/>
  <c r="AO6" i="1"/>
  <c r="AO8" i="1"/>
  <c r="AO7" i="1"/>
  <c r="B3" i="80" l="1"/>
  <c r="D6" i="12" s="1"/>
  <c r="B3" i="15"/>
  <c r="C6" i="12" s="1"/>
  <c r="B8" i="70"/>
  <c r="B7" i="70"/>
  <c r="B6" i="70"/>
  <c r="C46" i="15"/>
  <c r="B2" i="69"/>
  <c r="B3" i="69" s="1"/>
  <c r="B3" i="67"/>
  <c r="D2" i="35"/>
  <c r="D2" i="21"/>
  <c r="D2" i="33"/>
  <c r="D2" i="37"/>
  <c r="F20" i="31"/>
  <c r="E2" i="68"/>
  <c r="D2" i="36"/>
  <c r="D2" i="34"/>
  <c r="B2" i="36" l="1"/>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C4" i="12" s="1"/>
  <c r="J7" i="39"/>
  <c r="AC7" i="39" s="1"/>
  <c r="V47" i="39" s="1"/>
  <c r="I47" i="39" s="1"/>
  <c r="F7" i="39"/>
  <c r="S7" i="39" s="1"/>
  <c r="H7" i="39"/>
  <c r="AB7" i="39" s="1"/>
  <c r="T47" i="39" s="1"/>
  <c r="G47" i="39" s="1"/>
  <c r="C31" i="12" l="1"/>
  <c r="C23" i="12"/>
  <c r="B3" i="33"/>
  <c r="G52" i="39"/>
  <c r="H52" i="39" s="1"/>
  <c r="G51" i="39"/>
  <c r="H51" i="39" s="1"/>
  <c r="I51" i="39"/>
  <c r="J51" i="39" s="1"/>
  <c r="W7" i="39"/>
  <c r="U7" i="39"/>
  <c r="AA7" i="39"/>
  <c r="R47" i="39" s="1"/>
  <c r="C27" i="12" l="1"/>
  <c r="C25" i="12" s="1"/>
  <c r="C30" i="12"/>
  <c r="C28" i="12" s="1"/>
  <c r="R48" i="39"/>
  <c r="E47" i="39"/>
  <c r="C32" i="12" l="1"/>
  <c r="B2" i="12" s="1"/>
  <c r="C48" i="39"/>
  <c r="C47" i="39"/>
  <c r="E51" i="39"/>
  <c r="F51" i="39" s="1"/>
  <c r="E52" i="39"/>
  <c r="F52" i="39" s="1"/>
  <c r="I52" i="39"/>
  <c r="J52" i="39" s="1"/>
  <c r="D19" i="9"/>
  <c r="B3" i="12"/>
  <c r="D21" i="9" l="1"/>
  <c r="D102" i="9"/>
  <c r="B61" i="39"/>
  <c r="F61" i="39" s="1"/>
  <c r="B60" i="39"/>
  <c r="F60" i="39" s="1"/>
  <c r="B56" i="39"/>
  <c r="F56" i="39" s="1"/>
  <c r="B58" i="39"/>
  <c r="F58" i="39" s="1"/>
  <c r="B59" i="39"/>
  <c r="F59" i="39" s="1"/>
  <c r="B64" i="39"/>
  <c r="F64" i="39" s="1"/>
  <c r="B65" i="39"/>
  <c r="F65" i="39" s="1"/>
  <c r="B57" i="39"/>
  <c r="F57" i="39" s="1"/>
  <c r="B63" i="39"/>
  <c r="F63" i="39" s="1"/>
  <c r="B62" i="39"/>
  <c r="F62" i="39" s="1"/>
  <c r="D20" i="9"/>
  <c r="D103" i="9" l="1"/>
  <c r="F66" i="39"/>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C19" i="9"/>
  <c r="B3" i="68"/>
  <c r="D35" i="9"/>
  <c r="C102" i="9" l="1"/>
  <c r="D22" i="9"/>
  <c r="C21" i="9"/>
  <c r="G19" i="9"/>
  <c r="D34" i="9"/>
  <c r="C20" i="9"/>
  <c r="C103" i="9" l="1"/>
  <c r="G20" i="9"/>
  <c r="R24" i="31" s="1"/>
  <c r="S24" i="31" s="1"/>
  <c r="G21" i="9"/>
  <c r="C32" i="9"/>
  <c r="R25" i="31" l="1"/>
  <c r="S25" i="31" s="1"/>
  <c r="R27" i="31"/>
  <c r="S27" i="31" s="1"/>
  <c r="R26" i="31"/>
  <c r="S26" i="31" s="1"/>
  <c r="R31" i="31"/>
  <c r="S31" i="31" s="1"/>
  <c r="R30" i="31"/>
  <c r="S30" i="31" s="1"/>
  <c r="R29" i="3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B52" i="72" s="1"/>
  <c r="F119" i="9"/>
  <c r="F5" i="52" s="1"/>
  <c r="B53" i="72" s="1"/>
  <c r="F4" i="52"/>
  <c r="B51" i="72" s="1"/>
  <c r="B20" i="31" l="1"/>
  <c r="C105" i="9"/>
  <c r="E118" i="9"/>
  <c r="E4" i="52" s="1"/>
  <c r="B48" i="72" s="1"/>
  <c r="I4" i="52"/>
  <c r="H102" i="9"/>
  <c r="D7" i="53" s="1"/>
  <c r="B21" i="72" s="1"/>
  <c r="B5" i="74"/>
  <c r="E14" i="74"/>
  <c r="F14" i="74"/>
  <c r="M48" i="9"/>
  <c r="H107" i="9"/>
  <c r="D45" i="9"/>
  <c r="D5" i="53"/>
  <c r="D119" i="9"/>
  <c r="D5" i="52" s="1"/>
  <c r="B49" i="72" s="1"/>
  <c r="D4" i="52"/>
  <c r="B47" i="72" s="1"/>
  <c r="AD3" i="71"/>
  <c r="P21" i="43"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P22" i="43"/>
  <c r="P23" i="43"/>
  <c r="B71" i="39" s="1"/>
  <c r="P24" i="43"/>
  <c r="B66" i="40" s="1"/>
  <c r="P25" i="43"/>
  <c r="C79" i="9" l="1"/>
  <c r="G14" i="74"/>
  <c r="B6" i="74" s="1"/>
  <c r="D8" i="52"/>
  <c r="D123" i="9"/>
  <c r="D9" i="52" s="1"/>
  <c r="B30" i="72"/>
  <c r="D14" i="53"/>
  <c r="B32" i="72" s="1"/>
  <c r="L68" i="9"/>
  <c r="M68" i="9" s="1"/>
  <c r="L66" i="9"/>
  <c r="M66" i="9" s="1"/>
  <c r="L64" i="9"/>
  <c r="M64" i="9" s="1"/>
  <c r="L63" i="9"/>
  <c r="M63" i="9" s="1"/>
  <c r="L65" i="9"/>
  <c r="M65" i="9" s="1"/>
  <c r="L67" i="9"/>
  <c r="M67" i="9" s="1"/>
  <c r="C80" i="9"/>
  <c r="E80" i="9" s="1"/>
  <c r="E81" i="9" s="1"/>
  <c r="C95" i="9"/>
  <c r="M69" i="9" l="1"/>
  <c r="N69" i="9" s="1"/>
  <c r="C81" i="9"/>
  <c r="C96" i="9"/>
  <c r="E96" i="9" s="1"/>
  <c r="E97" i="9" s="1"/>
  <c r="C6" i="74"/>
  <c r="D6" i="74"/>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<sst xmlns="http://schemas.openxmlformats.org/spreadsheetml/2006/main" count="8578" uniqueCount="3294">
  <si>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</si>
  <si>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</si>
  <si>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</si>
  <si>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</si>
  <si>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</si>
  <si>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</si>
  <si>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</si>
  <si>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</si>
  <si>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</si>
  <si>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</si>
  <si>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</si>
  <si>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</si>
  <si>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</si>
  <si>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</si>
  <si>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</si>
  <si>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</si>
  <si>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</si>
  <si>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</si>
  <si>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</si>
  <si>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</si>
  <si>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</si>
  <si>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</si>
  <si>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</si>
  <si>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</si>
  <si>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</si>
  <si>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</si>
  <si>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</si>
  <si>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</si>
  <si>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</si>
  <si>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</si>
  <si>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</si>
  <si>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</si>
  <si>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</si>
  <si>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</si>
  <si>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</si>
  <si>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</si>
  <si>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</si>
  <si>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</si>
  <si>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</si>
  <si>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</si>
  <si>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</si>
  <si>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</si>
  <si>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</si>
  <si>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</si>
  <si>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</si>
  <si>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</si>
  <si>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</si>
  <si>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</si>
  <si>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</si>
  <si>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</si>
  <si>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</si>
  <si>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</si>
  <si>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</si>
  <si>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</si>
  <si>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</si>
  <si>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</si>
  <si>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</si>
  <si>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</si>
  <si>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</si>
  <si>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</si>
  <si>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</si>
  <si>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</si>
  <si>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</si>
  <si>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</si>
  <si>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</si>
  <si>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</si>
  <si>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</si>
  <si>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</si>
  <si>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</si>
  <si>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</si>
  <si>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</si>
  <si>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</si>
  <si>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</si>
  <si>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</si>
  <si>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</si>
  <si>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</si>
  <si>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</si>
  <si>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</si>
  <si>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</si>
  <si>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</si>
  <si>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</si>
  <si>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</si>
  <si>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</si>
  <si>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</si>
  <si>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</si>
  <si>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</si>
  <si>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</si>
  <si>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</si>
  <si>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</si>
  <si>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</si>
  <si>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</si>
  <si>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</si>
  <si>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</si>
  <si>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</si>
  <si>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</si>
  <si>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</si>
  <si>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</si>
  <si>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</si>
  <si>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</si>
  <si>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</si>
  <si>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</si>
  <si>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</si>
  <si>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</si>
  <si>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</si>
  <si>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</si>
  <si>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</si>
  <si>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</si>
  <si>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</si>
  <si>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</si>
  <si>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</si>
  <si>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</si>
  <si>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</si>
  <si>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</si>
  <si>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</si>
  <si>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</si>
  <si>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</si>
  <si>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</si>
  <si>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</si>
  <si>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</si>
  <si>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</si>
  <si>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</si>
  <si>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</si>
  <si>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</si>
  <si>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</si>
  <si>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</si>
  <si>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</si>
  <si>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</si>
  <si>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</si>
  <si>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</si>
  <si>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</si>
  <si>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</si>
  <si>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</si>
  <si>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</si>
  <si>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</si>
  <si>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</si>
  <si>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</si>
  <si>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</si>
  <si>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</si>
  <si>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</si>
  <si>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</si>
  <si>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</si>
  <si>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</si>
  <si>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</si>
  <si>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</si>
  <si>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</si>
  <si>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</si>
  <si>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</si>
  <si>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</si>
  <si>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</si>
  <si>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</si>
  <si>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</si>
  <si>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</si>
  <si>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</si>
  <si>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</si>
  <si>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</si>
  <si>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</si>
  <si>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</si>
  <si>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</si>
  <si>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</si>
  <si>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</si>
  <si>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</si>
  <si>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</si>
  <si>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</si>
  <si>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</si>
  <si>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</si>
  <si>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</si>
  <si>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</si>
  <si>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</si>
  <si>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</si>
  <si>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</si>
  <si>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</si>
  <si>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</si>
  <si>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</si>
  <si>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</si>
  <si>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</si>
  <si>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</si>
  <si>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</si>
  <si>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</si>
  <si>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</si>
  <si>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</si>
  <si>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</si>
  <si>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</si>
  <si>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</si>
  <si>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</si>
  <si>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</si>
  <si>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</si>
  <si>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</si>
  <si>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</si>
  <si>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</si>
  <si>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</si>
  <si>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</si>
  <si>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</si>
  <si>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</si>
  <si>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</si>
  <si>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</si>
  <si>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</si>
  <si>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</si>
  <si>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</si>
  <si>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</si>
  <si>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</si>
  <si>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</si>
  <si>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</si>
  <si>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</si>
  <si>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</si>
  <si>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</si>
  <si>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</si>
  <si>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</si>
  <si>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</si>
  <si>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</si>
  <si>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</si>
  <si>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</si>
  <si>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</si>
  <si>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</si>
  <si>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</si>
  <si>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</si>
  <si>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</si>
  <si>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</si>
  <si>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</si>
  <si>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</si>
  <si>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</si>
  <si>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</si>
  <si>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</si>
  <si>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</si>
  <si>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</si>
  <si>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</si>
  <si>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</si>
  <si>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</si>
  <si>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</si>
  <si>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</si>
  <si>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</si>
  <si>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</si>
  <si>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</si>
  <si>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</si>
  <si>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</si>
  <si>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</si>
  <si>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</si>
  <si>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</si>
  <si>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</si>
  <si>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</si>
  <si>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</si>
  <si>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</si>
  <si>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</si>
  <si>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</si>
  <si>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</si>
  <si>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</si>
  <si>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</si>
  <si>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</si>
  <si>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</si>
  <si>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</si>
  <si>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</si>
  <si>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</si>
  <si>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</si>
  <si>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</si>
  <si>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</si>
  <si>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</si>
  <si>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</si>
  <si>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</si>
  <si>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</si>
  <si>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</si>
  <si>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</si>
  <si>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</si>
  <si>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</si>
  <si>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</si>
  <si>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</si>
  <si>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</si>
  <si>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</si>
  <si>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</si>
  <si>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</si>
  <si>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</si>
  <si>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</si>
  <si>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</si>
  <si>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</si>
  <si>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</si>
  <si>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</si>
  <si>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</si>
  <si>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</si>
  <si>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</si>
  <si>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</si>
  <si>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</si>
  <si>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</si>
  <si>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</si>
  <si>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</si>
  <si>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</si>
  <si>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</si>
  <si>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</si>
  <si>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</si>
  <si>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</si>
  <si>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</si>
  <si>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</si>
  <si>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</si>
  <si>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</si>
  <si>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</si>
  <si>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</si>
  <si>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</si>
  <si>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</si>
  <si>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</si>
  <si>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</si>
  <si>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</si>
  <si>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</si>
  <si>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</si>
  <si>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</si>
  <si>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</si>
  <si>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</si>
  <si>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</si>
  <si>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</si>
  <si>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</si>
  <si>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</si>
  <si>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</si>
  <si>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</si>
  <si>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</si>
  <si>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</si>
  <si>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</si>
  <si>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</si>
  <si>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</si>
  <si>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</si>
  <si>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</si>
  <si>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</si>
  <si>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</si>
  <si>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</si>
  <si>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</si>
  <si>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</si>
  <si>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</si>
  <si>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</si>
  <si>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</si>
  <si>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</si>
  <si>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</si>
  <si>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</si>
  <si>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</si>
  <si>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</si>
  <si>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</si>
  <si>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</si>
  <si>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</si>
  <si>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</si>
  <si>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</si>
  <si>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</si>
  <si>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</si>
  <si>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</si>
  <si>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</si>
  <si>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</si>
  <si>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</si>
  <si>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</si>
  <si>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</si>
  <si>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</si>
  <si>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</si>
  <si>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</si>
  <si>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</si>
  <si>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</si>
  <si>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</si>
  <si>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</si>
  <si>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</si>
  <si>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</si>
  <si>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</si>
  <si>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</si>
  <si>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</si>
  <si>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</si>
  <si>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</si>
  <si>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</si>
  <si>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</si>
  <si>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</si>
  <si>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</si>
  <si>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</si>
  <si>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</si>
  <si>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</si>
  <si>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</si>
  <si>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</si>
  <si>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</si>
  <si>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</si>
  <si>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</si>
  <si>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</si>
  <si>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</si>
  <si>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</si>
  <si>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</si>
  <si>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</si>
  <si>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</si>
  <si>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</si>
  <si>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</si>
  <si>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</si>
  <si>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</si>
  <si>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</si>
  <si>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</si>
  <si>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</si>
  <si>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</si>
  <si>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</si>
  <si>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</si>
  <si>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</si>
  <si>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</si>
  <si>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</si>
  <si>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</si>
  <si>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</si>
  <si>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</si>
  <si>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</si>
  <si>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</si>
  <si>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</si>
  <si>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</si>
  <si>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</si>
  <si>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</si>
  <si>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</si>
  <si>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</si>
  <si>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</si>
  <si>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</si>
  <si>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</si>
  <si>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</si>
  <si>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</si>
  <si>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</si>
  <si>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</si>
  <si>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</si>
  <si>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</si>
  <si>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</si>
  <si>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</si>
  <si>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</si>
  <si>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</si>
  <si>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</si>
  <si>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</si>
  <si>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</si>
  <si>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</si>
  <si>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</si>
  <si>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</si>
  <si>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</si>
  <si>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</si>
  <si>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</si>
  <si>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</si>
  <si>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</si>
  <si>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</si>
  <si>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</si>
  <si>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</si>
  <si>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</si>
  <si>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</si>
  <si>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</si>
  <si>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</si>
  <si>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</si>
  <si>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</si>
  <si>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</si>
  <si>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</si>
  <si>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</si>
  <si>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</si>
  <si>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</si>
  <si>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</si>
  <si>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</si>
  <si>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</si>
  <si>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</si>
  <si>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</si>
  <si>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</si>
  <si>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</si>
  <si>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</si>
  <si>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</si>
  <si>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</si>
  <si>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</si>
  <si>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</si>
  <si>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</si>
  <si>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</si>
  <si>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</si>
  <si>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</si>
  <si>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</si>
  <si>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</si>
  <si>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</si>
  <si>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</si>
  <si>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</si>
  <si>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</si>
  <si>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</si>
  <si>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</si>
  <si>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</si>
  <si>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</si>
  <si>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</si>
  <si>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</si>
  <si>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</si>
  <si>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</si>
  <si>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</si>
  <si>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</si>
  <si>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</si>
  <si>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</si>
  <si>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</si>
  <si>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</si>
  <si>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</si>
  <si>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</si>
  <si>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</si>
  <si>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</si>
  <si>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</si>
  <si>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</si>
  <si>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</si>
  <si>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</si>
  <si>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</si>
  <si>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</si>
  <si>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</si>
  <si>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</si>
  <si>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</si>
  <si>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</si>
  <si>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</si>
  <si>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</si>
  <si>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</si>
  <si>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</si>
  <si>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</si>
  <si>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</si>
  <si>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</si>
  <si>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</si>
  <si>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</si>
  <si>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</si>
  <si>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</si>
  <si>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</si>
  <si>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</si>
  <si>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</si>
  <si>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</si>
  <si>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</si>
  <si>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</si>
  <si>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</si>
  <si>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</si>
  <si>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</si>
  <si>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</si>
  <si>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</si>
  <si>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</si>
  <si>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</si>
  <si>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</si>
  <si>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</si>
  <si>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</si>
  <si>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</si>
  <si>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</si>
  <si>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</si>
  <si>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</si>
  <si>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</si>
  <si>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</si>
  <si>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</si>
  <si>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</si>
  <si>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</si>
  <si>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</si>
  <si>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</si>
  <si>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</si>
  <si>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</si>
  <si>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</si>
  <si>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</si>
  <si>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</si>
  <si>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</si>
  <si>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</si>
  <si>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</si>
  <si>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</si>
  <si>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</si>
  <si>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</si>
  <si>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</si>
  <si>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</si>
  <si>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</si>
  <si>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</si>
  <si>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</si>
  <si>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</si>
  <si>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</si>
  <si>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</si>
  <si>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</si>
  <si>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</si>
  <si>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</si>
  <si>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</si>
  <si>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</si>
  <si>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</si>
  <si>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</si>
  <si>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</si>
  <si>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</si>
  <si>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</si>
  <si>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</si>
  <si>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</si>
  <si>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</si>
  <si>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</si>
  <si>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</si>
  <si>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</si>
  <si>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</si>
  <si>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</si>
  <si>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</si>
  <si>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</si>
  <si>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</si>
  <si>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</si>
  <si>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</si>
  <si>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</si>
  <si>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</si>
  <si>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</si>
  <si>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</si>
  <si>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</si>
  <si>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</si>
  <si>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</si>
  <si>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</si>
  <si>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</si>
  <si>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</si>
  <si>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</si>
  <si>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</si>
  <si>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</si>
  <si>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</si>
  <si>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</si>
  <si>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</si>
  <si>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</si>
  <si>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</si>
  <si>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</si>
  <si>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</si>
  <si>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</si>
  <si>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</si>
  <si>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</si>
  <si>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</si>
  <si>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</si>
  <si>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</si>
  <si>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</si>
  <si>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</si>
  <si>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</si>
  <si>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</si>
  <si>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</si>
  <si>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</si>
  <si>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</si>
  <si>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</si>
  <si>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</si>
  <si>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</si>
  <si>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</si>
  <si>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</si>
  <si>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</si>
  <si>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</si>
  <si>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</si>
  <si>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</si>
  <si>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</si>
  <si>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</si>
  <si>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</si>
  <si>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</si>
  <si>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</si>
  <si>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</si>
  <si>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</si>
  <si>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</si>
  <si>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</si>
  <si>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</si>
  <si>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</si>
  <si>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</si>
  <si>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</si>
  <si>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</si>
  <si>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</si>
  <si>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</si>
  <si>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</si>
  <si>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</si>
  <si>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</si>
  <si>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</si>
  <si>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</si>
  <si>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</si>
  <si>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</si>
  <si>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</si>
  <si>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</si>
  <si>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</si>
  <si>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</si>
  <si>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</si>
  <si>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</si>
  <si>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</si>
  <si>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</si>
  <si>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</si>
  <si>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</si>
  <si>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</si>
  <si>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</si>
  <si>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</si>
  <si>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</si>
  <si>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</si>
  <si>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</si>
  <si>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</si>
  <si>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</si>
  <si>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</si>
  <si>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</si>
  <si>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</si>
  <si>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</si>
  <si>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</si>
  <si>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</si>
  <si>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</si>
  <si>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</si>
  <si>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</si>
  <si>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</si>
  <si>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</si>
  <si>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</si>
  <si>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</si>
  <si>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</si>
  <si>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</si>
  <si>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</si>
  <si>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</si>
  <si>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</si>
  <si>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</si>
  <si>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</si>
  <si>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</si>
  <si>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</si>
  <si>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</si>
  <si>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</si>
  <si>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</si>
  <si>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</si>
  <si>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</si>
  <si>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</si>
  <si>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</si>
  <si>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</si>
  <si>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</si>
  <si>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</si>
  <si>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</si>
  <si>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</si>
  <si>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</si>
  <si>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</si>
  <si>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</si>
  <si>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</si>
  <si>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</si>
  <si>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</si>
  <si>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</si>
  <si>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</si>
  <si>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</si>
  <si>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</si>
  <si>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</si>
  <si>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</si>
  <si>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</si>
  <si>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</si>
  <si>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</si>
  <si>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</si>
  <si>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</si>
  <si>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</si>
  <si>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</si>
  <si>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</si>
  <si>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</si>
  <si>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</si>
  <si>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</si>
  <si>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</si>
  <si>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</si>
  <si>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</si>
  <si>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</si>
  <si>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</si>
  <si>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</si>
  <si>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</si>
  <si>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</si>
  <si>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</si>
  <si>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</si>
  <si>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</si>
  <si>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</si>
  <si>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</si>
  <si>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</si>
  <si>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</si>
  <si>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</si>
  <si>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</si>
  <si>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</si>
  <si>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</si>
  <si>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</si>
  <si>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</si>
  <si>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</si>
  <si>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</si>
  <si>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</si>
  <si>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</si>
  <si>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</si>
  <si>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</si>
  <si>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</si>
  <si>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</si>
  <si>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</si>
  <si>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</si>
  <si>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</si>
  <si>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</si>
  <si>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</si>
  <si>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</si>
  <si>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</si>
  <si>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</si>
  <si>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</si>
  <si>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</si>
  <si>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</si>
  <si>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</si>
  <si>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</si>
  <si>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</si>
  <si>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</si>
  <si>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</si>
  <si>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</si>
  <si>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</si>
  <si>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</si>
  <si>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</si>
  <si>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</si>
  <si>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</si>
  <si>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</si>
  <si>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</si>
  <si>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</si>
  <si>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</si>
  <si>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</si>
  <si>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</si>
  <si>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</si>
  <si>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</si>
  <si>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</si>
  <si>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</si>
  <si>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</si>
  <si>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</si>
  <si>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</si>
  <si>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</si>
  <si>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</si>
  <si>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</si>
  <si>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</si>
  <si>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</si>
  <si>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</si>
  <si>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</si>
  <si>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</si>
  <si>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</si>
  <si>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</si>
  <si>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</si>
  <si>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</si>
  <si>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</si>
  <si>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</si>
  <si>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</si>
  <si>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</si>
  <si>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</si>
  <si>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</si>
  <si>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</si>
  <si>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</si>
  <si>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</si>
  <si>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</si>
  <si>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</si>
  <si>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</si>
  <si>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</si>
  <si>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</si>
  <si>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</si>
  <si>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</si>
  <si>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</si>
  <si>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</si>
  <si>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</si>
  <si>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</si>
  <si>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</si>
  <si>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</si>
  <si>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</si>
  <si>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</si>
  <si>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</si>
  <si>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</si>
  <si>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</si>
  <si>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</si>
  <si>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</si>
  <si>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</si>
  <si>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</si>
  <si>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</si>
  <si>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</si>
  <si>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</si>
  <si>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</si>
  <si>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</si>
  <si>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</si>
  <si>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</si>
  <si>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</si>
  <si>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</si>
  <si>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</si>
  <si>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</si>
  <si>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</si>
  <si>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</si>
  <si>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</si>
  <si>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</si>
  <si>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</si>
  <si>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</si>
  <si>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</si>
  <si>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</si>
  <si>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</si>
  <si>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</si>
  <si>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</si>
  <si>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</si>
  <si>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</si>
  <si>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</si>
  <si>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</si>
  <si>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</si>
  <si>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</si>
  <si>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</si>
  <si>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</si>
  <si>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</si>
  <si>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</si>
  <si>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</si>
  <si>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</si>
  <si>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</si>
  <si>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</si>
  <si>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</si>
  <si>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</si>
  <si>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</si>
  <si>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</si>
  <si>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</si>
  <si>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</si>
  <si>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</si>
  <si>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</si>
  <si>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</si>
  <si>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</si>
  <si>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</si>
  <si>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</si>
  <si>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</si>
  <si>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</si>
  <si>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</si>
  <si>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</si>
  <si>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</si>
  <si>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</si>
  <si>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</si>
  <si>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</si>
  <si>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</si>
  <si>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</si>
  <si>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</si>
  <si>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</si>
  <si>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</si>
  <si>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</si>
  <si>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</si>
  <si>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</si>
  <si>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</si>
  <si>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</si>
  <si>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</si>
  <si>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</si>
  <si>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</si>
  <si>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</si>
  <si>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</si>
  <si>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</si>
  <si>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</si>
  <si>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</si>
  <si>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</si>
  <si>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</si>
  <si>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</si>
  <si>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</si>
  <si>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</si>
  <si>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</si>
  <si>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</si>
  <si>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</si>
  <si>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</si>
  <si>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</si>
  <si>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</si>
  <si>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</si>
  <si>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</si>
  <si>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</si>
  <si>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</si>
  <si>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</si>
  <si>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</si>
  <si>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</si>
  <si>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</si>
  <si>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</si>
  <si>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</si>
  <si>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</si>
  <si>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</si>
  <si>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</si>
  <si>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</si>
  <si>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</si>
  <si>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</si>
  <si>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</si>
  <si>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</si>
  <si>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</si>
  <si>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</si>
  <si>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</si>
  <si>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</si>
  <si>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</si>
  <si>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</si>
  <si>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</si>
  <si>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</si>
  <si>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</si>
  <si>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</si>
  <si>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</si>
  <si>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</si>
  <si>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</si>
  <si>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</si>
  <si>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</si>
  <si>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</si>
  <si>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</si>
  <si>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</si>
  <si>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</si>
  <si>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</si>
  <si>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</si>
  <si>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</si>
  <si>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</si>
  <si>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</si>
  <si>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</si>
  <si>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</si>
  <si>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</si>
  <si>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</si>
  <si>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</si>
  <si>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</si>
  <si>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</si>
  <si>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</si>
  <si>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</si>
  <si>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</si>
  <si>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</si>
  <si>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</si>
  <si>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</si>
  <si>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</si>
  <si>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</si>
  <si>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</si>
  <si>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</si>
  <si>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</si>
  <si>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</si>
  <si>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</si>
  <si>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</si>
  <si>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</si>
  <si>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</si>
  <si>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</si>
  <si>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</si>
  <si>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</si>
  <si>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</si>
  <si>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</si>
  <si>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</si>
  <si>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</si>
  <si>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</si>
  <si>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</si>
  <si>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</si>
  <si>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</si>
  <si>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</si>
  <si>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</si>
  <si>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</si>
  <si>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</si>
  <si>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</si>
  <si>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</si>
  <si>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</si>
  <si>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</si>
  <si>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</si>
  <si>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</si>
  <si>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</si>
  <si>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</si>
  <si>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</si>
  <si>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</si>
  <si>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</si>
  <si>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</si>
  <si>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</si>
  <si>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</si>
  <si>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</si>
  <si>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</si>
  <si>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</si>
  <si>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</si>
  <si>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</si>
  <si>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</si>
  <si>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</si>
  <si>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</si>
  <si>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</si>
  <si>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</si>
  <si>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</si>
  <si>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</si>
  <si>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</si>
  <si>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</si>
  <si>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</si>
  <si>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</si>
  <si>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</si>
  <si>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</si>
  <si>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</si>
  <si>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</si>
  <si>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</si>
  <si>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</si>
  <si>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</si>
  <si>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</si>
  <si>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</si>
  <si>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</si>
  <si>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</si>
  <si>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</si>
  <si>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</si>
  <si>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</si>
  <si>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</si>
  <si>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</si>
  <si>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</si>
  <si>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</si>
  <si>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</si>
  <si>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</si>
  <si>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</si>
  <si>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</si>
  <si>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</si>
  <si>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</si>
  <si>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</si>
  <si>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</si>
  <si>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</si>
  <si>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</si>
  <si>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</si>
  <si>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</si>
  <si>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</si>
  <si>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</si>
  <si>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</si>
  <si>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</si>
  <si>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</si>
  <si>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</si>
  <si>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</si>
  <si>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</si>
  <si>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</si>
  <si>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</si>
  <si>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</si>
  <si>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</si>
  <si>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</si>
  <si>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</si>
  <si>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</si>
  <si>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</si>
  <si>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</si>
  <si>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</si>
  <si>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</si>
  <si>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</si>
  <si>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</si>
  <si>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</si>
  <si>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</si>
  <si>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</si>
  <si>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</si>
  <si>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</si>
  <si>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</si>
  <si>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</si>
  <si>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</si>
  <si>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</si>
  <si>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</si>
  <si>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</si>
  <si>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</si>
  <si>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</si>
  <si>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</si>
  <si>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</si>
  <si>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</si>
  <si>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</si>
  <si>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</si>
  <si>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</si>
  <si>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</si>
  <si>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</si>
  <si>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</si>
  <si>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</si>
  <si>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</si>
  <si>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</si>
  <si>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</si>
  <si>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</si>
  <si>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</si>
  <si>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</si>
  <si>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</si>
  <si>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</si>
  <si>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</si>
  <si>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</si>
  <si>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</si>
  <si>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</si>
  <si>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</si>
  <si>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</si>
  <si>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</si>
  <si>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</si>
  <si>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</si>
  <si>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</si>
  <si>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</si>
  <si>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</si>
  <si>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</si>
  <si>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</si>
  <si>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</si>
  <si>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</si>
  <si>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</si>
  <si>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</si>
  <si>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</si>
  <si>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</si>
  <si>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</si>
  <si>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</si>
  <si>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</si>
  <si>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</si>
  <si>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</si>
  <si>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</si>
  <si>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</si>
  <si>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</si>
  <si>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</si>
  <si>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</si>
  <si>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</si>
  <si>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</si>
  <si>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</si>
  <si>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</si>
  <si>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</si>
  <si>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</si>
  <si>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</si>
  <si>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</si>
  <si>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</si>
  <si>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</si>
  <si>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</si>
  <si>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</si>
  <si>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</si>
  <si>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</si>
  <si>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</si>
  <si>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</si>
  <si>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</si>
  <si>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</si>
  <si>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</si>
  <si>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</si>
  <si>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</si>
  <si>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</si>
  <si>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</si>
  <si>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</si>
  <si>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</si>
  <si>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</si>
  <si>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</si>
  <si>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</si>
  <si>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</si>
  <si>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</si>
  <si>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</si>
  <si>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</si>
  <si>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</si>
  <si>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</si>
  <si>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</si>
  <si>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</si>
  <si>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</si>
  <si>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</si>
  <si>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</si>
  <si>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</si>
  <si>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</si>
  <si>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</si>
  <si>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</si>
  <si>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</si>
  <si>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</si>
  <si>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</si>
  <si>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</si>
  <si>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</si>
  <si>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</si>
  <si>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</si>
  <si>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</si>
  <si>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</si>
  <si>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</si>
  <si>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</si>
  <si>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</si>
  <si>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</si>
  <si>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</si>
  <si>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</si>
  <si>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</si>
  <si>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</si>
  <si>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</si>
  <si>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</si>
  <si>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</si>
  <si>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</si>
  <si>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</si>
  <si>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</si>
  <si>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</si>
  <si>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</si>
  <si>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</si>
  <si>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</si>
  <si>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</si>
  <si>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</si>
  <si>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</si>
  <si>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</si>
  <si>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</si>
  <si>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</si>
  <si>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</si>
  <si>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</si>
  <si>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</si>
  <si>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</si>
  <si>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</si>
  <si>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</si>
  <si>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</si>
  <si>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</si>
  <si>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</si>
  <si>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</si>
  <si>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</si>
  <si>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</si>
  <si>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</si>
  <si>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</si>
  <si>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</si>
  <si>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</si>
  <si>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</si>
  <si>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</si>
  <si>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</si>
  <si>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</si>
  <si>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</si>
  <si>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</si>
  <si>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</si>
  <si>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</si>
  <si>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</si>
  <si>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</si>
  <si>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</si>
  <si>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</si>
  <si>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</si>
  <si>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</si>
  <si>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</si>
  <si>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</si>
  <si>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</si>
  <si>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</si>
  <si>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</si>
  <si>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</si>
  <si>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</si>
  <si>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</si>
  <si>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</si>
  <si>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</si>
  <si>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</si>
  <si>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</si>
  <si>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</si>
  <si>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</si>
  <si>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</si>
  <si>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</si>
  <si>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</si>
  <si>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</si>
  <si>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</si>
  <si>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</si>
  <si>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</si>
  <si>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</si>
  <si>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</si>
  <si>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</si>
  <si>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</si>
  <si>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</si>
  <si>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</si>
  <si>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</si>
  <si>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</si>
  <si>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</si>
  <si>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</si>
  <si>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</si>
  <si>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</si>
  <si>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</si>
  <si>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</si>
  <si>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</si>
  <si>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</si>
  <si>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</si>
  <si>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</si>
  <si>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</si>
  <si>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</si>
  <si>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</si>
  <si>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</si>
  <si>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</si>
  <si>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</si>
  <si>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</si>
  <si>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</si>
  <si>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</si>
  <si>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</si>
  <si>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</si>
  <si>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</si>
  <si>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</si>
  <si>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</si>
  <si>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</si>
  <si>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</si>
  <si>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</si>
  <si>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</si>
  <si>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</si>
  <si>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</si>
  <si>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</si>
  <si>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</si>
  <si>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</si>
  <si>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</si>
  <si>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</si>
  <si>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</si>
  <si>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</si>
  <si>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</si>
  <si>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</si>
  <si>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</si>
  <si>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</si>
  <si>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</si>
  <si>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</si>
  <si>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</si>
  <si>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</si>
  <si>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</si>
  <si>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</si>
  <si>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</si>
  <si>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</si>
  <si>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</si>
  <si>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</si>
  <si>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</si>
  <si>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</si>
  <si>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</si>
  <si>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</si>
  <si>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</si>
  <si>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</si>
  <si>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</si>
  <si>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</si>
  <si>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</si>
  <si>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</si>
  <si>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</si>
  <si>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</si>
  <si>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</si>
  <si>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</si>
  <si>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</si>
  <si>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</si>
  <si>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</si>
  <si>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</si>
  <si>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</si>
  <si>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</si>
  <si>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</si>
  <si>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</si>
  <si>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</si>
  <si>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</si>
  <si>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</si>
  <si>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</si>
  <si>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</si>
  <si>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</si>
  <si>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</si>
  <si>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</si>
  <si>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</si>
  <si>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</si>
  <si>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</si>
  <si>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</si>
  <si>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</si>
  <si>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</si>
  <si>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</si>
  <si>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</si>
  <si>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</si>
  <si>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</si>
  <si>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</si>
  <si>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</si>
  <si>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</si>
  <si>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</si>
  <si>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</si>
  <si>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</si>
  <si>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</si>
  <si>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</si>
  <si>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</si>
  <si>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</si>
  <si>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</si>
  <si>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</si>
  <si>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</si>
  <si>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</si>
  <si>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</si>
  <si>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</si>
  <si>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</si>
  <si>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</si>
  <si>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</si>
  <si>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</si>
  <si>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</si>
  <si>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</si>
  <si>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</si>
  <si>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</si>
  <si>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</si>
  <si>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</si>
  <si>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</si>
  <si>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</si>
  <si>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</si>
  <si>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</si>
  <si>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</si>
  <si>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</si>
  <si>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</si>
  <si>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</si>
  <si>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</si>
  <si>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</si>
  <si>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</si>
  <si>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</si>
  <si>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</si>
  <si>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</si>
  <si>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</si>
  <si>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</si>
  <si>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</si>
  <si>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</si>
  <si>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</si>
  <si>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</si>
  <si>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</si>
  <si>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</si>
  <si>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</si>
  <si>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</si>
  <si>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</si>
  <si>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</si>
  <si>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</si>
  <si>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</si>
  <si>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</si>
  <si>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</si>
  <si>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</si>
  <si>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</si>
  <si>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</si>
  <si>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</si>
  <si>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</si>
  <si>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</si>
  <si>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</si>
  <si>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</si>
  <si>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</si>
  <si>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</si>
  <si>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</si>
  <si>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</si>
  <si>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</si>
  <si>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</si>
  <si>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</si>
  <si>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</si>
  <si>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</si>
  <si>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</si>
  <si>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</si>
  <si>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</si>
  <si>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</si>
  <si>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</si>
  <si>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</si>
  <si>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</si>
  <si>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</si>
  <si>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</si>
  <si>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</si>
  <si>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</si>
  <si>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</si>
  <si>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</si>
  <si>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</si>
  <si>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</si>
  <si>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</si>
  <si>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</si>
  <si>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</si>
  <si>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</si>
  <si>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</si>
  <si>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</si>
  <si>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</si>
  <si>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</si>
  <si>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</si>
  <si>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</si>
  <si>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</si>
  <si>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</si>
  <si>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</si>
  <si>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</si>
  <si>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</si>
  <si>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</si>
  <si>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</si>
  <si>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</si>
  <si>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</si>
  <si>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</si>
  <si>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</si>
  <si>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</si>
  <si>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</si>
  <si>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</si>
  <si>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</si>
  <si>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</si>
  <si>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</si>
  <si>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</si>
  <si>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</si>
  <si>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</si>
  <si>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</si>
  <si>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</si>
  <si>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</si>
  <si>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</si>
  <si>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</si>
  <si>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</si>
  <si>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</si>
  <si>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</si>
  <si>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</si>
  <si>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</si>
  <si>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</si>
  <si>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</si>
  <si>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</si>
  <si>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</si>
  <si>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</si>
  <si>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</si>
  <si>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</si>
  <si>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</si>
  <si>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</si>
  <si>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</si>
  <si>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</si>
  <si>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</si>
  <si>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</si>
  <si>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</si>
  <si>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</si>
  <si>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</si>
  <si>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</si>
  <si>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</si>
  <si>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</si>
  <si>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</si>
  <si>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</si>
  <si>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</si>
  <si>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</si>
  <si>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</si>
  <si>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</si>
  <si>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</si>
  <si>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</si>
  <si>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</si>
  <si>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</si>
  <si>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</si>
  <si>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</si>
  <si>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</si>
  <si>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</si>
  <si>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</si>
  <si>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</si>
  <si>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</si>
  <si>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</si>
  <si>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</si>
  <si>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</si>
  <si>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</si>
  <si>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</si>
  <si>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</si>
  <si>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</si>
  <si>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</si>
  <si>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</si>
  <si>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</si>
  <si>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</si>
  <si>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</si>
  <si>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</si>
  <si>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</si>
  <si>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</si>
  <si>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</si>
  <si>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</si>
  <si>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</si>
  <si>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</si>
  <si>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</si>
  <si>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</si>
  <si>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</si>
  <si>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</si>
  <si>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</si>
  <si>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</si>
  <si>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</si>
  <si>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</si>
  <si>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</si>
  <si>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</si>
  <si>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</si>
  <si>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</si>
  <si>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</si>
  <si>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</si>
  <si>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</si>
  <si>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</si>
  <si>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</si>
  <si>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</si>
  <si>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</si>
  <si>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</si>
  <si>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</si>
  <si>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</si>
  <si>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</si>
  <si>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</si>
  <si>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</si>
  <si>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</si>
  <si>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</si>
  <si>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</si>
  <si>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</si>
  <si>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</si>
  <si>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</si>
  <si>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</si>
  <si>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</si>
  <si>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</si>
  <si>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</si>
  <si>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</si>
  <si>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</si>
  <si>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</si>
  <si>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</si>
  <si>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</si>
  <si>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</si>
  <si>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</si>
  <si>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</si>
  <si>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</si>
  <si>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</si>
  <si>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</si>
  <si>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</si>
  <si>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</si>
  <si>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</si>
  <si>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</si>
  <si>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</si>
  <si>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</si>
  <si>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</si>
  <si>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</si>
  <si>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</si>
  <si>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</si>
  <si>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</si>
  <si>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</si>
  <si>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</si>
  <si>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</si>
  <si>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</si>
  <si>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</si>
  <si>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</si>
  <si>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</si>
  <si>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</si>
  <si>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</si>
  <si>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</si>
  <si>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</si>
  <si>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</si>
  <si>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</si>
  <si>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</si>
  <si>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</si>
  <si>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</si>
  <si>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</si>
  <si>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</si>
  <si>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</si>
  <si>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</si>
  <si>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</si>
  <si>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</si>
  <si>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</si>
  <si>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</si>
  <si>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</si>
  <si>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</si>
  <si>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</si>
  <si>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</si>
  <si>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</si>
  <si>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</si>
  <si>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</si>
  <si>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</si>
  <si>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</si>
  <si>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</si>
  <si>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</si>
  <si>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</si>
  <si>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</si>
  <si>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</si>
  <si>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</si>
  <si>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</si>
  <si>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</si>
  <si>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</si>
  <si>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</si>
  <si>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</si>
  <si>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</si>
  <si>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</si>
  <si>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</si>
  <si>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</si>
  <si>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</si>
  <si>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</si>
  <si>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</si>
  <si>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</si>
  <si>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</si>
  <si>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</si>
  <si>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</si>
  <si>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</si>
  <si>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</si>
  <si>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</si>
  <si>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</si>
  <si>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</si>
  <si>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</si>
  <si>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</si>
  <si>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</si>
  <si>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</si>
  <si>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</si>
  <si>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</si>
  <si>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</si>
  <si>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</si>
  <si>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</si>
  <si>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</si>
  <si>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</si>
  <si>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</si>
  <si>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</si>
  <si>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</si>
  <si>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</si>
  <si>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</si>
  <si>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</si>
  <si>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</si>
  <si>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</si>
  <si>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</si>
  <si>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</si>
  <si>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</si>
  <si>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</si>
  <si>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</si>
  <si>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</si>
  <si>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</si>
  <si>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</si>
  <si>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</si>
  <si>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</si>
  <si>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</si>
  <si>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</si>
  <si>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</si>
  <si>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</si>
  <si>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</si>
  <si>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</si>
  <si>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</si>
  <si>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</si>
  <si>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</si>
  <si>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</si>
  <si>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</si>
  <si>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</si>
  <si>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</si>
  <si>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</si>
  <si>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</si>
  <si>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</si>
  <si>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</si>
  <si>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</si>
  <si>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</si>
  <si>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</si>
  <si>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</si>
  <si>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</si>
  <si>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</si>
  <si>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</si>
  <si>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</si>
  <si>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</si>
  <si>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</si>
  <si>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</si>
  <si>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</si>
  <si>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</si>
  <si>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</si>
  <si>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</si>
  <si>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</si>
  <si>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</si>
  <si>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</si>
  <si>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</si>
  <si>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</si>
  <si>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</si>
  <si>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</si>
  <si>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</si>
  <si>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</si>
  <si>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</si>
  <si>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</si>
  <si>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</si>
  <si>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</si>
  <si>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</si>
  <si>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</si>
  <si>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</si>
  <si>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</si>
  <si>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</si>
  <si>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</si>
  <si>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</si>
  <si>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</si>
  <si>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</si>
  <si>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</si>
  <si>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</si>
  <si>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</si>
  <si>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</si>
  <si>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</si>
  <si>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</si>
  <si>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</si>
  <si>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</si>
  <si>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</si>
  <si>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</si>
  <si>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</si>
  <si>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</si>
  <si>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</si>
  <si>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</si>
  <si>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</si>
  <si>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</si>
  <si>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</si>
  <si>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</si>
  <si>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</si>
  <si>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</si>
  <si>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</si>
  <si>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</si>
  <si>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</si>
  <si>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</si>
  <si>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</si>
  <si>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</si>
  <si>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</si>
  <si>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</si>
  <si>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</si>
  <si>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</si>
  <si>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</si>
  <si>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</si>
  <si>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</si>
  <si>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</si>
  <si>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</si>
  <si>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</si>
  <si>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</si>
  <si>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</si>
  <si>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</si>
  <si>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</si>
  <si>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</si>
  <si>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</si>
  <si>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</si>
  <si>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</si>
  <si>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</si>
  <si>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</si>
  <si>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</si>
  <si>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</si>
  <si>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</si>
  <si>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</si>
  <si>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</si>
  <si>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</si>
  <si>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</si>
  <si>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</si>
  <si>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</si>
  <si>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</si>
  <si>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</si>
  <si>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</si>
  <si>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</si>
  <si>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</si>
  <si>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</si>
  <si>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</si>
  <si>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</si>
  <si>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</si>
  <si>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</si>
  <si>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</si>
  <si>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</si>
  <si>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</si>
  <si>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</si>
  <si>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</si>
  <si>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</si>
  <si>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</si>
  <si>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</si>
  <si>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</si>
  <si>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</si>
  <si>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</si>
  <si>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</si>
  <si>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</si>
  <si>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</si>
  <si>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</si>
  <si>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</si>
  <si>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</si>
  <si>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</si>
  <si>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</si>
  <si>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</si>
  <si>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</si>
  <si>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</si>
  <si>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</si>
  <si>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</si>
  <si>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</si>
  <si>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</si>
  <si>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</si>
  <si>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</si>
  <si>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</si>
  <si>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</si>
  <si>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</si>
  <si>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</si>
  <si>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</si>
  <si>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</si>
  <si>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</si>
  <si>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</si>
  <si>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</si>
  <si>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</si>
  <si>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</si>
  <si>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</si>
  <si>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</si>
  <si>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</si>
  <si>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</si>
  <si>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</si>
  <si>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</si>
  <si>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</si>
  <si>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</si>
  <si>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</si>
  <si>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</si>
  <si>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</si>
  <si>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</si>
  <si>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</si>
  <si>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</si>
  <si>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</si>
  <si>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</si>
  <si>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</si>
  <si>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</si>
  <si>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</si>
  <si>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</si>
  <si>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</si>
  <si>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</si>
  <si>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</si>
  <si>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</si>
  <si>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</si>
  <si>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</si>
  <si>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</si>
  <si>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</si>
  <si>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</si>
  <si>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</si>
  <si>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</si>
  <si>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</si>
  <si>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</si>
  <si>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</si>
  <si>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</si>
  <si>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</si>
  <si>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</si>
  <si>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</si>
  <si>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</si>
  <si>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</si>
  <si>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</si>
  <si>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</si>
  <si>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</si>
  <si>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</si>
  <si>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</si>
  <si>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</si>
  <si>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</si>
  <si>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</si>
  <si>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</si>
  <si>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</si>
  <si>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</si>
  <si>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</si>
  <si>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</si>
  <si>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</si>
  <si>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</si>
  <si>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</si>
  <si>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</si>
  <si>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</si>
  <si>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</si>
  <si>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</si>
  <si>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</si>
  <si>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</si>
  <si>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</si>
  <si>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</si>
  <si>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</si>
  <si>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</si>
  <si>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</si>
  <si>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</si>
  <si>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</si>
  <si>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</si>
  <si>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</si>
  <si>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</si>
  <si>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</si>
  <si>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</si>
  <si>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</si>
  <si>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</si>
  <si>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</si>
  <si>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</si>
  <si>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</si>
  <si>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</si>
  <si>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</si>
  <si>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</si>
  <si>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</si>
  <si>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</si>
  <si>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</si>
  <si>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</si>
  <si>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</si>
  <si>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</si>
  <si>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</si>
  <si>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</si>
  <si>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</si>
  <si>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</si>
  <si>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</si>
  <si>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</si>
  <si>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</si>
  <si>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</si>
  <si>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</si>
  <si>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</si>
  <si>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</si>
  <si>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</si>
  <si>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</si>
  <si>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</si>
  <si>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</si>
  <si>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</si>
  <si>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</si>
  <si>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</si>
  <si>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</si>
  <si>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</si>
  <si>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</si>
  <si>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</si>
  <si>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</si>
  <si>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</si>
  <si>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</si>
  <si>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</si>
  <si>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</si>
  <si>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</si>
  <si>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</si>
  <si>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</si>
  <si>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</si>
  <si>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</si>
  <si>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</si>
  <si>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</si>
  <si>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</si>
  <si>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</si>
  <si>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</si>
  <si>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</si>
  <si>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</si>
  <si>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</si>
  <si>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</si>
  <si>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</si>
  <si>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</si>
  <si>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</si>
  <si>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</si>
  <si>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</si>
  <si>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</si>
  <si>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</si>
  <si>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</si>
  <si>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</si>
  <si>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</si>
  <si>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</si>
  <si>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</si>
  <si>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</si>
  <si>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</si>
  <si>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</si>
  <si>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</si>
  <si>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</si>
  <si>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</si>
  <si>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</si>
  <si>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</si>
  <si>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</si>
  <si>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</si>
  <si>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</si>
  <si>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</si>
  <si>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</si>
  <si>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</si>
  <si>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</si>
  <si>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</si>
  <si>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</si>
  <si>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</si>
  <si>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</si>
  <si>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</si>
  <si>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</si>
  <si>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</si>
  <si>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</si>
  <si>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</si>
  <si>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</si>
  <si>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</si>
  <si>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</si>
  <si>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</si>
  <si>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</si>
  <si>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</si>
  <si>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</si>
  <si>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</si>
  <si>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</si>
  <si>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</si>
  <si>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</si>
  <si>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</si>
  <si>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</si>
  <si>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</si>
  <si>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</si>
  <si>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</si>
  <si>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</si>
  <si>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</si>
  <si>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</si>
  <si>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</si>
  <si>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</si>
  <si>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</si>
  <si>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</si>
  <si>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</si>
  <si>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</si>
  <si>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</si>
  <si>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</si>
  <si>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</si>
  <si>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</si>
  <si>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</si>
  <si>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</si>
  <si>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</si>
  <si>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</si>
  <si>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</si>
  <si>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</si>
  <si>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</si>
  <si>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</si>
  <si>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</si>
  <si>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</si>
  <si>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</si>
  <si>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</si>
  <si>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</si>
  <si>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</si>
  <si>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</si>
  <si>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</si>
  <si>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</si>
  <si>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</si>
  <si>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</si>
  <si>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</si>
  <si>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</si>
  <si>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</si>
  <si>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</si>
  <si>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</si>
  <si>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</si>
  <si>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</si>
  <si>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</si>
  <si>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</si>
  <si>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</si>
  <si>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</si>
  <si>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</si>
  <si>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</si>
  <si>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</si>
  <si>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</si>
  <si>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</si>
  <si>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</si>
  <si>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</si>
  <si>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</si>
  <si>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</si>
  <si>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</si>
  <si>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</si>
  <si>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</si>
  <si>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</si>
  <si>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</si>
  <si>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</si>
  <si>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</si>
  <si>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</si>
  <si>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</si>
  <si>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</si>
  <si>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</si>
  <si>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</si>
  <si>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</si>
  <si>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</si>
  <si>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</si>
  <si>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</si>
  <si>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</si>
  <si>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</si>
  <si>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</si>
  <si>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</si>
  <si>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</si>
  <si>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</si>
  <si>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</si>
  <si>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</si>
  <si>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</si>
  <si>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</si>
  <si>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</si>
  <si>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</si>
  <si>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</si>
  <si>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</si>
  <si>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</si>
  <si>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</si>
  <si>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</si>
  <si>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</si>
  <si>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</si>
  <si>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</si>
  <si>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</si>
  <si>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</si>
  <si>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</si>
  <si>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</si>
  <si>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</si>
  <si>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</si>
  <si>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</si>
  <si>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</si>
  <si>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</si>
  <si>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</si>
  <si>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</si>
  <si>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</si>
  <si>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</si>
  <si>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</si>
  <si>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</si>
  <si>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</si>
  <si>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</si>
  <si>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</si>
  <si>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</si>
  <si>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</si>
  <si>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</si>
  <si>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</si>
  <si>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</si>
  <si>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</si>
  <si>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</si>
  <si>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</si>
  <si>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</si>
  <si>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</si>
  <si>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</si>
  <si>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</si>
  <si>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</si>
  <si>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</si>
  <si>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</si>
  <si>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</si>
  <si>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</si>
  <si>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</si>
  <si>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</si>
  <si>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</si>
  <si>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</si>
  <si>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</si>
  <si>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</si>
  <si>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</si>
  <si>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</si>
  <si>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</si>
  <si>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</si>
  <si>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</si>
  <si>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</si>
  <si>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</si>
  <si>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</si>
  <si>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</si>
  <si>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</si>
  <si>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</si>
  <si>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</si>
  <si>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</si>
  <si>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</si>
  <si>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</si>
  <si>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</si>
  <si>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</si>
  <si>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</si>
  <si>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</si>
  <si>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</si>
  <si>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</si>
  <si>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</si>
  <si>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</si>
  <si>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</si>
  <si>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</si>
  <si>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</si>
  <si>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</si>
  <si>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</si>
  <si>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</si>
  <si>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</si>
  <si>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</si>
  <si>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</si>
  <si>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</si>
  <si>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</si>
  <si>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</si>
  <si>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</si>
  <si>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</si>
  <si>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</si>
  <si>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</si>
  <si>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</si>
  <si>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</si>
  <si>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</si>
  <si>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</si>
  <si>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</si>
  <si>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</si>
  <si>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</si>
  <si>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</si>
  <si>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</si>
  <si>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</si>
  <si>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</si>
  <si>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</si>
  <si>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</si>
  <si>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</si>
  <si>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</si>
  <si>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</si>
  <si>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</si>
  <si>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</si>
  <si>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</si>
  <si>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</si>
  <si>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</si>
  <si>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</si>
  <si>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</si>
  <si>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</si>
  <si>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</si>
  <si>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</si>
  <si>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</si>
  <si>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</si>
  <si>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</si>
  <si>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</si>
  <si>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</si>
  <si>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</si>
  <si>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</si>
  <si>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</si>
  <si>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</si>
  <si>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</si>
  <si>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</si>
  <si>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</si>
  <si>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</si>
  <si>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</si>
  <si>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</si>
  <si>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</si>
  <si>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</si>
  <si>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</si>
  <si>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</si>
  <si>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</si>
  <si>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</si>
  <si>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</si>
  <si>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</si>
  <si>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</si>
  <si>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</si>
  <si>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</si>
  <si>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</si>
  <si>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</si>
  <si>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</si>
  <si>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</si>
  <si>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</si>
  <si>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</si>
  <si>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</si>
  <si>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</si>
  <si>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</si>
  <si>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</si>
  <si>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</si>
  <si>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</si>
  <si>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</si>
  <si>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</si>
  <si>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</si>
  <si>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</si>
  <si>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</si>
  <si>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</si>
  <si>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</si>
  <si>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</si>
  <si>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</si>
  <si>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</si>
  <si>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</si>
  <si>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</si>
  <si>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</si>
  <si>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</si>
  <si>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</si>
  <si>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</si>
  <si>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</si>
  <si>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</si>
  <si>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</si>
  <si>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</si>
  <si>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</si>
  <si>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</si>
  <si>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</si>
  <si>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</si>
  <si>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</si>
  <si>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</si>
  <si>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</si>
  <si>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</si>
  <si>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</si>
  <si>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</si>
  <si>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</si>
  <si>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</si>
  <si>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</si>
  <si>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</si>
  <si>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</si>
  <si>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</si>
  <si>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</si>
  <si>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</si>
  <si>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</si>
  <si>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</si>
  <si>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</si>
  <si>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</si>
  <si>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</si>
  <si>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</si>
  <si>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</si>
  <si>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</si>
  <si>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</si>
  <si>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</si>
  <si>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</si>
  <si>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</si>
  <si>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</si>
  <si>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</si>
  <si>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</si>
  <si>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</si>
  <si>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</si>
  <si>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</si>
  <si>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</si>
  <si>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</si>
  <si>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</si>
  <si>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</si>
  <si>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</si>
  <si>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</si>
  <si>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</si>
  <si>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</si>
  <si>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</si>
  <si>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</si>
  <si>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</si>
  <si>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</si>
  <si>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</si>
  <si>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</si>
  <si>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</si>
  <si>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</si>
  <si>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</si>
  <si>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</si>
  <si>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</si>
  <si>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</si>
  <si>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</si>
  <si>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</si>
  <si>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</si>
  <si>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</si>
  <si>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</si>
  <si>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</si>
  <si>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</si>
  <si>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</si>
  <si>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</si>
  <si>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</si>
  <si>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</si>
  <si>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</si>
  <si>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</si>
  <si>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</si>
  <si>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</si>
  <si>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</si>
  <si>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</si>
  <si>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</si>
  <si>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</si>
  <si>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</si>
  <si>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</si>
  <si>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</si>
  <si>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</si>
  <si>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</si>
  <si>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</si>
  <si>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</si>
  <si>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</si>
  <si>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</si>
  <si>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</si>
  <si>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</si>
  <si>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</si>
  <si>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</si>
  <si>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</si>
  <si>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</si>
  <si>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</si>
  <si>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</si>
  <si>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</si>
  <si>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</si>
  <si>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</si>
  <si>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</si>
  <si>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</si>
  <si>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</si>
  <si>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</si>
  <si>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</si>
  <si>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</si>
  <si>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</si>
  <si>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</si>
  <si>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</si>
  <si>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</si>
  <si>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</si>
  <si>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</si>
  <si>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</si>
  <si>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</si>
  <si>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</si>
  <si>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</si>
  <si>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</si>
  <si>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</si>
  <si>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</si>
  <si>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</si>
  <si>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</si>
  <si>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</si>
  <si>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</si>
  <si>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</si>
  <si>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</si>
  <si>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</si>
  <si>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</si>
  <si>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</si>
  <si>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</si>
  <si>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</si>
  <si>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</si>
  <si>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</si>
  <si>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</si>
  <si>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</si>
  <si>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</si>
  <si>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</si>
  <si>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</si>
  <si>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</si>
  <si>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</si>
  <si>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</si>
  <si>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</si>
  <si>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</si>
  <si>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</si>
  <si>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</si>
  <si>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</si>
  <si>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</si>
  <si>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</si>
  <si>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</si>
  <si>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</si>
  <si>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</si>
  <si>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</si>
  <si>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</si>
  <si>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</si>
  <si>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</si>
  <si>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</si>
  <si>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</si>
  <si>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</si>
  <si>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</si>
  <si>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</si>
  <si>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</si>
  <si>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</si>
  <si>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</si>
  <si>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</si>
  <si>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</si>
  <si>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</si>
  <si>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</si>
  <si>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</si>
  <si>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</si>
  <si>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</si>
  <si>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</si>
  <si>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</si>
  <si>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</si>
  <si>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</si>
  <si>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</si>
  <si>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</si>
  <si>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</si>
  <si>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</si>
  <si>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</si>
  <si>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</si>
  <si>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</si>
  <si>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</si>
  <si>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</si>
  <si>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</si>
  <si>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</si>
  <si>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</si>
  <si>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</si>
  <si>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</si>
  <si>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</si>
  <si>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</si>
  <si>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</si>
  <si>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</si>
  <si>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</si>
  <si>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</si>
  <si>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</si>
  <si>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</si>
  <si>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</si>
  <si>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</si>
  <si>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</si>
  <si>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</si>
  <si>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</si>
  <si>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</si>
  <si>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</si>
  <si>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</si>
  <si>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</si>
  <si>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</si>
  <si>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</si>
  <si>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</si>
  <si>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</si>
  <si>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</si>
  <si>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</si>
  <si>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</si>
  <si>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</si>
  <si>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</si>
  <si>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</si>
  <si>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</si>
  <si>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</si>
  <si>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</si>
  <si>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</si>
  <si>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</si>
  <si>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</si>
  <si>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</si>
  <si>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</si>
  <si>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</si>
  <si>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</si>
  <si>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</si>
  <si>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</si>
  <si>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</si>
  <si>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</si>
  <si>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</si>
  <si>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</si>
  <si>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</si>
  <si>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</si>
  <si>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</si>
  <si>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</si>
  <si>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</si>
  <si>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</si>
  <si>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</si>
  <si>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</si>
  <si>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</si>
  <si>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</si>
  <si>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</si>
  <si>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</si>
  <si>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</si>
  <si>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</si>
  <si>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</si>
  <si>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</si>
  <si>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</si>
  <si>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</si>
  <si>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</si>
  <si>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</si>
  <si>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</si>
  <si>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</si>
  <si>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</si>
  <si>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</si>
  <si>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</si>
  <si>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</si>
  <si>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</si>
  <si>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</si>
  <si>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</si>
  <si>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</si>
  <si>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</si>
  <si>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</si>
  <si>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</si>
  <si>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</si>
  <si>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</si>
  <si>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</si>
  <si>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</si>
  <si>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</si>
  <si>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</si>
  <si>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</si>
  <si>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</si>
  <si>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</si>
  <si>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</si>
  <si>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</si>
  <si>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</si>
  <si>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</si>
  <si>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</si>
  <si>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</si>
  <si>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</si>
  <si>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</si>
  <si>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</si>
  <si>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</si>
  <si>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</si>
  <si>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</si>
  <si>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</si>
  <si>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</si>
  <si>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</si>
  <si>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</si>
  <si>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</si>
  <si>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</si>
  <si>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</si>
  <si>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</si>
  <si>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</si>
  <si>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</si>
  <si>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</si>
  <si>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</si>
  <si>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</si>
  <si>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</si>
  <si>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</si>
  <si>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</si>
  <si>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</si>
  <si>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</si>
  <si>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</si>
  <si>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</si>
  <si>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</si>
  <si>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</si>
  <si>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</si>
  <si>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</si>
  <si>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</si>
  <si>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</si>
  <si>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</si>
  <si>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</si>
  <si>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</si>
  <si>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</si>
  <si>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</si>
  <si>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</si>
  <si>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</si>
  <si>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</si>
  <si>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</si>
  <si>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</si>
  <si>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</si>
  <si>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</si>
  <si>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</si>
  <si>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</si>
  <si>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</si>
  <si>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</si>
  <si>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</si>
  <si>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</si>
  <si>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</si>
  <si>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</si>
  <si>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</si>
  <si>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</si>
  <si>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</si>
  <si>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</si>
  <si>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</si>
  <si>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</si>
  <si>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</si>
  <si>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</si>
  <si>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</si>
  <si>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</si>
  <si>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</si>
  <si>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</si>
  <si>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</si>
  <si>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</si>
  <si>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</si>
  <si>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</si>
  <si>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</si>
  <si>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</si>
  <si>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</si>
  <si>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</si>
  <si>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</si>
  <si>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</si>
  <si>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</si>
  <si>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</si>
  <si>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</si>
  <si>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</si>
  <si>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</si>
  <si>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</si>
  <si>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</si>
  <si>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</si>
  <si>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</si>
  <si>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</si>
  <si>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</si>
  <si>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</si>
  <si>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</si>
  <si>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</si>
  <si>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</si>
  <si>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</si>
  <si>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</si>
  <si>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</si>
  <si>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</si>
  <si>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</si>
  <si>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</si>
  <si>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</si>
  <si>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</si>
  <si>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</si>
  <si>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</si>
  <si>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</si>
  <si>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</si>
  <si>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</si>
  <si>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</si>
  <si>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</si>
  <si>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</si>
  <si>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</si>
  <si>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</si>
  <si>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</si>
  <si>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</si>
  <si>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</si>
  <si>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</si>
  <si>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</si>
  <si>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</si>
  <si>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</si>
  <si>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</si>
  <si>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</si>
  <si>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</si>
  <si>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</si>
  <si>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</si>
  <si>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</si>
  <si>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</si>
  <si>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</si>
  <si>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</si>
  <si>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</si>
  <si>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</si>
  <si>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</si>
  <si>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</si>
  <si>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</si>
  <si>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</si>
  <si>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</si>
  <si>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</si>
  <si>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</si>
  <si>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</si>
  <si>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</si>
  <si>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</si>
  <si>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</si>
  <si>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</si>
  <si>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</si>
  <si>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</si>
  <si>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</si>
  <si>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</si>
  <si>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</si>
  <si>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</si>
  <si>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</si>
  <si>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</si>
  <si>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</si>
  <si>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</si>
  <si>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</si>
  <si>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</si>
  <si>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</si>
  <si>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</si>
  <si>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</si>
  <si>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</si>
  <si>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</si>
  <si>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</si>
  <si>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</si>
  <si>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</si>
  <si>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</si>
  <si>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</si>
  <si>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</si>
  <si>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</si>
  <si>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</si>
  <si>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</si>
  <si>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</si>
  <si>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</si>
  <si>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</si>
  <si>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</si>
  <si>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</si>
  <si>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</si>
  <si>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</si>
  <si>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</si>
  <si>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</si>
  <si>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</si>
  <si>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</si>
  <si>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</si>
  <si>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</si>
  <si>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</si>
  <si>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</si>
  <si>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</si>
  <si>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</si>
  <si>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</si>
  <si>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</si>
  <si>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</si>
  <si>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</si>
  <si>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</si>
  <si>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</si>
  <si>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</si>
  <si>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</si>
  <si>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</si>
  <si>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</si>
  <si>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</si>
  <si>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</si>
  <si>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</si>
  <si>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</si>
  <si>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</si>
  <si>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</si>
  <si>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</si>
  <si>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</si>
  <si>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</si>
  <si>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</si>
  <si>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</si>
  <si>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</si>
  <si>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</si>
  <si>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</si>
  <si>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</si>
  <si>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</si>
  <si>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</si>
  <si>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</si>
  <si>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</si>
  <si>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</si>
  <si>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</si>
  <si>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</si>
  <si>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</si>
  <si>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</si>
  <si>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</si>
  <si>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</si>
  <si>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</si>
  <si>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</si>
  <si>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</si>
  <si>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</si>
  <si>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</si>
  <si>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</si>
  <si>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</si>
  <si>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</si>
  <si>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</si>
  <si>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</si>
  <si>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</si>
  <si>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</si>
  <si>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</si>
  <si>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</si>
  <si>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</si>
  <si>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</si>
  <si>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</si>
  <si>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</si>
  <si>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</si>
  <si>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</si>
  <si>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</si>
  <si>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</si>
  <si>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</si>
  <si>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</si>
  <si>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</si>
  <si>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</si>
  <si>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</si>
  <si>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</si>
  <si>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</si>
  <si>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</si>
  <si>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</si>
  <si>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</si>
  <si>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</si>
  <si>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</si>
  <si>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</si>
  <si>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</si>
  <si>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</si>
  <si>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</si>
  <si>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</si>
  <si>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</si>
  <si>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</si>
  <si>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</si>
  <si>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</si>
  <si>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</si>
  <si>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</si>
  <si>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</si>
  <si>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</si>
  <si>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</si>
  <si>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</si>
  <si>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</si>
  <si>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</si>
  <si>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</si>
  <si>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</si>
  <si>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</si>
  <si>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</si>
  <si>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</si>
  <si>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</si>
  <si>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</si>
  <si>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</si>
  <si>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</si>
  <si>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</si>
  <si>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</si>
  <si>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</si>
  <si>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</si>
  <si>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</si>
  <si>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</si>
  <si>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</si>
  <si>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</si>
  <si>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</si>
  <si>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</si>
  <si>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</si>
  <si>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</si>
  <si>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</si>
  <si>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</si>
  <si>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</si>
  <si>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</si>
  <si>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</si>
  <si>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</si>
  <si>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</si>
  <si>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</si>
  <si>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</si>
  <si>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</si>
  <si>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</si>
  <si>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</si>
  <si>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</si>
  <si>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</si>
  <si>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</si>
  <si>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</si>
  <si>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</si>
  <si>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</si>
  <si>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</si>
  <si>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</si>
  <si>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</si>
  <si>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</si>
  <si>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</si>
  <si>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</si>
  <si>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</si>
  <si>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</si>
  <si>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</si>
  <si>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</si>
  <si>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</si>
  <si>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</si>
  <si>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</si>
  <si>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</si>
  <si>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</si>
  <si>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</si>
  <si>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</si>
  <si>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</si>
  <si>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</si>
  <si>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</si>
  <si>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</si>
  <si>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</si>
  <si>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</si>
  <si>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</si>
  <si>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</si>
  <si>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</si>
  <si>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</si>
  <si>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</si>
  <si>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</si>
  <si>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</si>
  <si>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</si>
  <si>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</si>
  <si>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</si>
  <si>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</si>
  <si>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</si>
  <si>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</si>
  <si>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</si>
  <si>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</si>
  <si>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</si>
  <si>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</si>
  <si>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</si>
  <si>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</si>
  <si>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</si>
  <si>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</si>
  <si>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</si>
  <si>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</si>
  <si>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</si>
  <si>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</si>
  <si>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</si>
  <si>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</si>
  <si>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</si>
  <si>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</si>
  <si>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</si>
  <si>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</si>
  <si>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</si>
  <si>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</si>
  <si>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</si>
  <si>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</si>
  <si>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</si>
  <si>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</si>
  <si>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</si>
  <si>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</si>
  <si>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</si>
  <si>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</si>
  <si>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</si>
  <si>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</si>
  <si>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</si>
  <si>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</si>
  <si>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</si>
  <si>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</si>
  <si>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</si>
  <si>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</si>
  <si>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</si>
  <si>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</si>
  <si>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</si>
  <si>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</si>
  <si>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</si>
  <si>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</si>
  <si>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</si>
  <si>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</si>
  <si>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</si>
  <si>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</si>
  <si>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</si>
  <si>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</si>
  <si>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</si>
  <si>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</si>
  <si>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</si>
  <si>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</si>
  <si>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</si>
  <si>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</si>
  <si>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</si>
  <si>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</si>
  <si>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</si>
  <si>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</si>
  <si>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</si>
  <si>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</si>
  <si>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</si>
  <si>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</si>
  <si>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</si>
  <si>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</si>
  <si>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</si>
  <si>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</si>
  <si>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</si>
  <si>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</si>
  <si>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</si>
  <si>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</si>
  <si>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</si>
  <si>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</si>
  <si>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</si>
  <si>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</si>
  <si>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</si>
  <si>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</si>
  <si>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</si>
  <si>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</si>
  <si>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</si>
  <si>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</si>
  <si>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</si>
  <si>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</si>
  <si>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</si>
  <si>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</si>
  <si>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</si>
  <si>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</si>
  <si>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</si>
  <si>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</si>
  <si>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</si>
  <si>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</si>
  <si>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</si>
  <si>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</si>
  <si>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</si>
  <si>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</si>
  <si>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</si>
  <si>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</si>
  <si>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</si>
  <si>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</si>
  <si>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</si>
  <si>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</si>
  <si>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</si>
  <si>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</si>
  <si>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</si>
  <si>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</si>
  <si>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</si>
  <si>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</si>
  <si>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</si>
  <si>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</si>
  <si>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</si>
  <si>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</si>
  <si>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</si>
  <si>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</si>
  <si>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</si>
  <si>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</si>
  <si>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</si>
  <si>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</si>
  <si>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</si>
  <si>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</si>
  <si>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</si>
  <si>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</si>
  <si>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</si>
  <si>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</si>
  <si>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</si>
  <si>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</si>
  <si>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</si>
  <si>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</si>
  <si>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</si>
  <si>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</si>
  <si>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</si>
  <si>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</si>
  <si>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</si>
  <si>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</si>
  <si>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</si>
  <si>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</si>
  <si>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</si>
  <si>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</si>
  <si>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</si>
  <si>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</si>
  <si>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</si>
  <si>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</si>
  <si>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</si>
  <si>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</si>
  <si>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</si>
  <si>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</si>
  <si>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</si>
  <si>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</si>
  <si>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</si>
  <si>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</si>
  <si>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</si>
  <si>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</si>
  <si>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</si>
  <si>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t>是</t>
  </si>
  <si>
    <t>原件</t>
  </si>
  <si>
    <t>商业项目</t>
  </si>
  <si>
    <t>无</t>
  </si>
  <si>
    <t>否</t>
  </si>
  <si>
    <t>中国建设银行股份有限公司太仓分行</t>
    <phoneticPr fontId="3" type="noConversion"/>
  </si>
  <si>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</si>
  <si>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</si>
  <si>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</si>
  <si>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</si>
  <si>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</si>
  <si>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</si>
  <si>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</si>
  <si>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</si>
  <si>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</si>
  <si>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</si>
  <si>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</si>
  <si>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</si>
  <si>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</si>
  <si>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</si>
  <si>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</si>
  <si>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</si>
  <si>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</si>
  <si>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</si>
  <si>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</si>
  <si>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</si>
  <si>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</si>
  <si>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</si>
  <si>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</si>
  <si>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</si>
  <si>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</si>
  <si>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</si>
  <si>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</si>
  <si>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</si>
  <si>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</si>
  <si>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</si>
  <si>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</si>
  <si>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</si>
  <si>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</si>
  <si>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</si>
  <si>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</si>
  <si>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</si>
  <si>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</si>
  <si>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</si>
  <si>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</si>
  <si>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</si>
  <si>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</si>
  <si>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</si>
  <si>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</si>
  <si>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</si>
  <si>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</si>
  <si>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</si>
  <si>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</si>
  <si>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</si>
  <si>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</si>
  <si>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</si>
  <si>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</si>
  <si>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</si>
  <si>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</si>
  <si>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</si>
  <si>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</si>
  <si>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</si>
  <si>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</si>
  <si>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</si>
  <si>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</si>
  <si>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</si>
  <si>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</si>
  <si>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</si>
  <si>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</si>
  <si>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</si>
  <si>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</si>
  <si>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</si>
  <si>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</si>
  <si>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</si>
  <si>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</si>
  <si>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</si>
  <si>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</si>
  <si>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</si>
  <si>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</si>
  <si>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</si>
  <si>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</si>
  <si>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</si>
  <si>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</si>
  <si>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</si>
  <si>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</si>
  <si>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</si>
  <si>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</si>
  <si>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</si>
  <si>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</si>
  <si>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</si>
  <si>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</si>
  <si>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t>2018-1-0069-F03DYGJ1</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</si>
  <si>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</si>
  <si>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</si>
  <si>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《国有土地使用证》191</t>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</si>
  <si>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</si>
  <si>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</si>
  <si>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</si>
  <si>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</si>
  <si>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</si>
  <si>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</si>
  <si>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</si>
  <si>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</si>
  <si>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</si>
  <si>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</si>
  <si>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</si>
  <si>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</si>
  <si>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</si>
  <si>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</si>
  <si>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</si>
  <si>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</si>
  <si>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</si>
  <si>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</si>
  <si>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</si>
  <si>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</si>
  <si>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</si>
  <si>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</si>
  <si>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</si>
  <si>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</si>
  <si>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</si>
  <si>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</si>
  <si>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</si>
  <si>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</si>
  <si>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</si>
  <si>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</si>
  <si>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</si>
  <si>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</si>
  <si>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</si>
  <si>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</si>
  <si>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</si>
  <si>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</si>
  <si>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</si>
  <si>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</si>
  <si>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</si>
  <si>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</si>
  <si>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</si>
  <si>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</si>
  <si>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</si>
  <si>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</si>
  <si>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</si>
  <si>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</si>
  <si>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</si>
  <si>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</si>
  <si>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</si>
  <si>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</si>
  <si>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</si>
  <si>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B4综合性商业金融服务业用地</t>
  </si>
  <si>
    <t>2015-09-11</t>
  </si>
  <si>
    <t>2015-10-08</t>
  </si>
  <si>
    <t>2015-10-21</t>
  </si>
  <si>
    <t>宁波方兴投资咨询有限公司和碧桂园(北京)投资有限公司联合体</t>
  </si>
  <si>
    <t>商业40年、办公50年</t>
  </si>
  <si>
    <t>丰台区花乡四合庄(中关村科技园丰台园东区三期)1516-28-A地块</t>
  </si>
  <si>
    <t>京土整储挂(丰)[2015]037号</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</si>
  <si>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</si>
  <si>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</si>
  <si>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</si>
  <si>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</si>
  <si>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</si>
  <si>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</si>
  <si>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</si>
  <si>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</si>
  <si>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</si>
  <si>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</si>
  <si>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</si>
  <si>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</si>
  <si>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</si>
  <si>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</si>
  <si>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</si>
  <si>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</si>
  <si>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</si>
  <si>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</si>
  <si>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</si>
  <si>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</si>
  <si>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</si>
  <si>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</si>
  <si>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</si>
  <si>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</si>
  <si>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</si>
  <si>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</si>
  <si>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</si>
  <si>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</si>
  <si>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</si>
  <si>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</si>
  <si>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</si>
  <si>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</si>
  <si>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</si>
  <si>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</si>
  <si>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</si>
  <si>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</si>
  <si>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</si>
  <si>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</si>
  <si>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</si>
  <si>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</si>
  <si>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</si>
  <si>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</si>
  <si>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</si>
  <si>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</si>
  <si>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</si>
  <si>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</si>
  <si>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</si>
  <si>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</si>
  <si>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</si>
  <si>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</si>
  <si>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</si>
  <si>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</si>
  <si>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</si>
  <si>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</si>
  <si>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</si>
  <si>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</si>
  <si>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</si>
  <si>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</si>
  <si>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</si>
  <si>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</si>
  <si>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</si>
  <si>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</si>
  <si>
    <t>收益法-商业</t>
    <phoneticPr fontId="16" type="noConversion"/>
  </si>
  <si>
    <t>收益法-车库</t>
  </si>
  <si>
    <t>收益法-车库</t>
    <phoneticPr fontId="16" type="noConversion"/>
  </si>
  <si>
    <t>成本比率</t>
  </si>
  <si>
    <t>车库—商业</t>
  </si>
  <si>
    <t>项目名称</t>
  </si>
  <si>
    <t>所属企业</t>
  </si>
  <si>
    <t>成交套数(套)</t>
  </si>
  <si>
    <t>成交面积(㎡)</t>
  </si>
  <si>
    <t>成交价格(元/㎡)</t>
  </si>
  <si>
    <t>成交金额(万元)</t>
  </si>
  <si>
    <t>套均总价(万元/套)</t>
  </si>
  <si>
    <t>套均面积(㎡/套)</t>
  </si>
  <si>
    <t>丰台</t>
  </si>
  <si>
    <t>丽泽板块</t>
  </si>
  <si>
    <t>龙湖地产</t>
  </si>
  <si>
    <t>汤泉墅</t>
  </si>
  <si>
    <t>长辛店板块</t>
  </si>
  <si>
    <t>-</t>
  </si>
  <si>
    <t>外丰台板块</t>
  </si>
  <si>
    <t>玉璞家园</t>
  </si>
  <si>
    <t>葛洲坝</t>
  </si>
  <si>
    <t>北京诺德中心</t>
  </si>
  <si>
    <t>中国中铁</t>
  </si>
  <si>
    <t>恒泰中心</t>
  </si>
  <si>
    <t>万年生态城·园博府</t>
  </si>
  <si>
    <t>广安康馨家园</t>
  </si>
  <si>
    <t>中国铁建·北京山语城</t>
  </si>
  <si>
    <t>中国铁建</t>
  </si>
  <si>
    <t>中堂（第七街区）</t>
  </si>
  <si>
    <t>京大昆仑房地产</t>
  </si>
  <si>
    <t>当页汇总</t>
  </si>
  <si>
    <t>写字楼底商</t>
  </si>
  <si>
    <t>写字楼底商</t>
    <phoneticPr fontId="31" type="noConversion"/>
  </si>
  <si>
    <t>C栋办公商业楼</t>
  </si>
  <si>
    <t>京房售证字(2016)128号</t>
  </si>
  <si>
    <t>其他</t>
  </si>
  <si>
    <t>5号楼</t>
  </si>
  <si>
    <t>现：京(2016)丰台区不动产权第0025426号</t>
  </si>
  <si>
    <t>复式</t>
  </si>
  <si>
    <t>非标层高</t>
  </si>
  <si>
    <t>非标层高</t>
    <phoneticPr fontId="31" type="noConversion"/>
  </si>
  <si>
    <t>标准层高</t>
    <phoneticPr fontId="31" type="noConversion"/>
  </si>
  <si>
    <t>东旭国际中心</t>
    <phoneticPr fontId="143" type="noConversion"/>
  </si>
  <si>
    <t>长辛店板块</t>
    <phoneticPr fontId="143" type="noConversion"/>
  </si>
  <si>
    <t>龙湖·西宸广场</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</si>
</sst>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
      <sz val="9"/>
      <color rgb="FF333333"/>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D6D6D6"/>
      </right>
      <top/>
      <bottom style="medium">
        <color rgb="FFD6D6D6"/>
      </bottom>
      <diagonal/>
    </border>
    <border>
      <left/>
      <right/>
      <top/>
      <bottom style="medium">
        <color rgb="FFD6D6D6"/>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0" fillId="5" borderId="0" xfId="0" applyFill="1" applyAlignment="1"/>
    <xf numFmtId="184" fontId="47" fillId="11" borderId="70" xfId="0" applyNumberFormat="1" applyFont="1" applyFill="1" applyBorder="1" applyAlignment="1" applyProtection="1">
      <alignment horizontal="center" vertical="center" wrapText="1"/>
      <protection locked="0"/>
    </xf>
    <xf numFmtId="14" fontId="257" fillId="13" borderId="156" xfId="0" applyNumberFormat="1" applyFont="1" applyFill="1" applyBorder="1" applyAlignment="1">
      <alignment horizontal="left" vertical="center"/>
    </xf>
    <xf numFmtId="0" fontId="257" fillId="13" borderId="157" xfId="0" applyFont="1" applyFill="1" applyBorder="1" applyAlignment="1">
      <alignment horizontal="left" vertical="center"/>
    </xf>
    <xf numFmtId="0" fontId="257" fillId="13" borderId="157" xfId="0" applyFont="1" applyFill="1" applyBorder="1" applyAlignment="1">
      <alignment horizontal="right" vertical="center"/>
    </xf>
    <xf numFmtId="0" fontId="54" fillId="11" borderId="0" xfId="0" applyFont="1" applyFill="1" applyAlignment="1" applyProtection="1">
      <alignment horizontal="center" vertical="center"/>
      <protection locked="0"/>
    </xf>
    <xf numFmtId="0" fontId="99" fillId="5"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11</xdr:col>
      <xdr:colOff>484723</xdr:colOff>
      <xdr:row>50</xdr:row>
      <xdr:rowOff>27921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7185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22</xdr:col>
      <xdr:colOff>428625</xdr:colOff>
      <xdr:row>17</xdr:row>
      <xdr:rowOff>142875</xdr:rowOff>
    </xdr:from>
    <xdr:to>
      <xdr:col>31</xdr:col>
      <xdr:colOff>84997</xdr:colOff>
      <xdr:row>47</xdr:row>
      <xdr:rowOff>8899</xdr:rowOff>
    </xdr:to>
    <xdr:pic>
      <xdr:nvPicPr>
        <xdr:cNvPr id="5" name="图片 4"/>
        <xdr:cNvPicPr>
          <a:picLocks noChangeAspect="1"/>
        </xdr:cNvPicPr>
      </xdr:nvPicPr>
      <xdr:blipFill>
        <a:blip xmlns:r="http://schemas.openxmlformats.org/officeDocument/2006/relationships" r:embed="rId9"/>
        <a:stretch>
          <a:fillRect/>
        </a:stretch>
      </xdr:blipFill>
      <xdr:spPr>
        <a:xfrm>
          <a:off x="15906750" y="3067050"/>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twoCellAnchor editAs="oneCell">
    <xdr:from>
      <xdr:col>0</xdr:col>
      <xdr:colOff>0</xdr:colOff>
      <xdr:row>227</xdr:row>
      <xdr:rowOff>0</xdr:rowOff>
    </xdr:from>
    <xdr:to>
      <xdr:col>12</xdr:col>
      <xdr:colOff>484638</xdr:colOff>
      <xdr:row>237</xdr:row>
      <xdr:rowOff>161691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38947725"/>
          <a:ext cx="9104763" cy="1876191"/>
        </a:xfrm>
        <a:prstGeom prst="rect">
          <a:avLst/>
        </a:prstGeom>
      </xdr:spPr>
    </xdr:pic>
    <xdr:clientData/>
  </xdr:twoCellAnchor>
  <xdr:twoCellAnchor editAs="oneCell">
    <xdr:from>
      <xdr:col>0</xdr:col>
      <xdr:colOff>0</xdr:colOff>
      <xdr:row>239</xdr:row>
      <xdr:rowOff>0</xdr:rowOff>
    </xdr:from>
    <xdr:to>
      <xdr:col>12</xdr:col>
      <xdr:colOff>303685</xdr:colOff>
      <xdr:row>248</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005125"/>
          <a:ext cx="8923810" cy="1695238"/>
        </a:xfrm>
        <a:prstGeom prst="rect">
          <a:avLst/>
        </a:prstGeom>
      </xdr:spPr>
    </xdr:pic>
    <xdr:clientData/>
  </xdr:twoCellAnchor>
  <xdr:twoCellAnchor editAs="oneCell">
    <xdr:from>
      <xdr:col>0</xdr:col>
      <xdr:colOff>0</xdr:colOff>
      <xdr:row>250</xdr:row>
      <xdr:rowOff>0</xdr:rowOff>
    </xdr:from>
    <xdr:to>
      <xdr:col>12</xdr:col>
      <xdr:colOff>379876</xdr:colOff>
      <xdr:row>261</xdr:row>
      <xdr:rowOff>47383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2891075"/>
          <a:ext cx="9000001" cy="1933333"/>
        </a:xfrm>
        <a:prstGeom prst="rect">
          <a:avLst/>
        </a:prstGeom>
      </xdr:spPr>
    </xdr:pic>
    <xdr:clientData/>
  </xdr:twoCellAnchor>
  <xdr:twoCellAnchor editAs="oneCell">
    <xdr:from>
      <xdr:col>0</xdr:col>
      <xdr:colOff>0</xdr:colOff>
      <xdr:row>262</xdr:row>
      <xdr:rowOff>0</xdr:rowOff>
    </xdr:from>
    <xdr:to>
      <xdr:col>12</xdr:col>
      <xdr:colOff>437018</xdr:colOff>
      <xdr:row>273</xdr:row>
      <xdr:rowOff>171193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4948475"/>
          <a:ext cx="9057143" cy="2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11</xdr:row>
      <xdr:rowOff>171193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28572" cy="2057143"/>
        </a:xfrm>
        <a:prstGeom prst="rect">
          <a:avLst/>
        </a:prstGeom>
      </xdr:spPr>
    </xdr:pic>
    <xdr:clientData/>
  </xdr:twoCellAnchor>
  <xdr:twoCellAnchor editAs="oneCell">
    <xdr:from>
      <xdr:col>0</xdr:col>
      <xdr:colOff>0</xdr:colOff>
      <xdr:row>12</xdr:row>
      <xdr:rowOff>0</xdr:rowOff>
    </xdr:from>
    <xdr:to>
      <xdr:col>14</xdr:col>
      <xdr:colOff>141658</xdr:colOff>
      <xdr:row>17</xdr:row>
      <xdr:rowOff>123702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742858" cy="980952"/>
        </a:xfrm>
        <a:prstGeom prst="rect">
          <a:avLst/>
        </a:prstGeom>
      </xdr:spPr>
    </xdr:pic>
    <xdr:clientData/>
  </xdr:twoCellAnchor>
  <xdr:twoCellAnchor editAs="oneCell">
    <xdr:from>
      <xdr:col>0</xdr:col>
      <xdr:colOff>0</xdr:colOff>
      <xdr:row>18</xdr:row>
      <xdr:rowOff>0</xdr:rowOff>
    </xdr:from>
    <xdr:to>
      <xdr:col>11</xdr:col>
      <xdr:colOff>627629</xdr:colOff>
      <xdr:row>31</xdr:row>
      <xdr:rowOff>161626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171429" cy="2390476"/>
        </a:xfrm>
        <a:prstGeom prst="rect">
          <a:avLst/>
        </a:prstGeom>
      </xdr:spPr>
    </xdr:pic>
    <xdr:clientData/>
  </xdr:twoCellAnchor>
  <xdr:twoCellAnchor editAs="oneCell">
    <xdr:from>
      <xdr:col>0</xdr:col>
      <xdr:colOff>0</xdr:colOff>
      <xdr:row>32</xdr:row>
      <xdr:rowOff>0</xdr:rowOff>
    </xdr:from>
    <xdr:to>
      <xdr:col>14</xdr:col>
      <xdr:colOff>284515</xdr:colOff>
      <xdr:row>65</xdr:row>
      <xdr:rowOff>65960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885715" cy="5723810"/>
        </a:xfrm>
        <a:prstGeom prst="rect">
          <a:avLst/>
        </a:prstGeom>
      </xdr:spPr>
    </xdr:pic>
    <xdr:clientData/>
  </xdr:twoCellAnchor>
  <xdr:twoCellAnchor editAs="oneCell">
    <xdr:from>
      <xdr:col>0</xdr:col>
      <xdr:colOff>0</xdr:colOff>
      <xdr:row>80</xdr:row>
      <xdr:rowOff>38100</xdr:rowOff>
    </xdr:from>
    <xdr:to>
      <xdr:col>14</xdr:col>
      <xdr:colOff>332134</xdr:colOff>
      <xdr:row>113</xdr:row>
      <xdr:rowOff>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54100"/>
          <a:ext cx="9933334" cy="5628572"/>
        </a:xfrm>
        <a:prstGeom prst="rect">
          <a:avLst/>
        </a:prstGeom>
      </xdr:spPr>
    </xdr:pic>
    <xdr:clientData/>
  </xdr:twoCellAnchor>
  <xdr:twoCellAnchor editAs="oneCell">
    <xdr:from>
      <xdr:col>0</xdr:col>
      <xdr:colOff>361950</xdr:colOff>
      <xdr:row>64</xdr:row>
      <xdr:rowOff>114300</xdr:rowOff>
    </xdr:from>
    <xdr:to>
      <xdr:col>12</xdr:col>
      <xdr:colOff>570446</xdr:colOff>
      <xdr:row>78</xdr:row>
      <xdr:rowOff>123524</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1087100"/>
          <a:ext cx="8438096" cy="2409524"/>
        </a:xfrm>
        <a:prstGeom prst="rect">
          <a:avLst/>
        </a:prstGeom>
      </xdr:spPr>
    </xdr:pic>
    <xdr:clientData/>
  </xdr:twoCellAnchor>
  <xdr:twoCellAnchor editAs="oneCell">
    <xdr:from>
      <xdr:col>0</xdr:col>
      <xdr:colOff>0</xdr:colOff>
      <xdr:row>113</xdr:row>
      <xdr:rowOff>0</xdr:rowOff>
    </xdr:from>
    <xdr:to>
      <xdr:col>14</xdr:col>
      <xdr:colOff>160705</xdr:colOff>
      <xdr:row>122</xdr:row>
      <xdr:rowOff>142664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373850"/>
          <a:ext cx="9761905" cy="16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15</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2742857"/>
        </a:xfrm>
        <a:prstGeom prst="rect">
          <a:avLst/>
        </a:prstGeom>
      </xdr:spPr>
    </xdr:pic>
    <xdr:clientData/>
  </xdr:twoCellAnchor>
  <xdr:twoCellAnchor editAs="oneCell">
    <xdr:from>
      <xdr:col>0</xdr:col>
      <xdr:colOff>0</xdr:colOff>
      <xdr:row>16</xdr:row>
      <xdr:rowOff>0</xdr:rowOff>
    </xdr:from>
    <xdr:to>
      <xdr:col>12</xdr:col>
      <xdr:colOff>437067</xdr:colOff>
      <xdr:row>28</xdr:row>
      <xdr:rowOff>161648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8666667" cy="2219048"/>
        </a:xfrm>
        <a:prstGeom prst="rect">
          <a:avLst/>
        </a:prstGeom>
      </xdr:spPr>
    </xdr:pic>
    <xdr:clientData/>
  </xdr:twoCellAnchor>
  <xdr:twoCellAnchor editAs="oneCell">
    <xdr:from>
      <xdr:col>0</xdr:col>
      <xdr:colOff>0</xdr:colOff>
      <xdr:row>29</xdr:row>
      <xdr:rowOff>0</xdr:rowOff>
    </xdr:from>
    <xdr:to>
      <xdr:col>14</xdr:col>
      <xdr:colOff>208324</xdr:colOff>
      <xdr:row>60</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9809524" cy="5342858"/>
        </a:xfrm>
        <a:prstGeom prst="rect">
          <a:avLst/>
        </a:prstGeom>
      </xdr:spPr>
    </xdr:pic>
    <xdr:clientData/>
  </xdr:twoCellAnchor>
  <xdr:twoCellAnchor editAs="oneCell">
    <xdr:from>
      <xdr:col>0</xdr:col>
      <xdr:colOff>0</xdr:colOff>
      <xdr:row>61</xdr:row>
      <xdr:rowOff>0</xdr:rowOff>
    </xdr:from>
    <xdr:to>
      <xdr:col>11</xdr:col>
      <xdr:colOff>608582</xdr:colOff>
      <xdr:row>77</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8152382" cy="2838095"/>
        </a:xfrm>
        <a:prstGeom prst="rect">
          <a:avLst/>
        </a:prstGeom>
      </xdr:spPr>
    </xdr:pic>
    <xdr:clientData/>
  </xdr:twoCellAnchor>
  <xdr:twoCellAnchor editAs="oneCell">
    <xdr:from>
      <xdr:col>0</xdr:col>
      <xdr:colOff>0</xdr:colOff>
      <xdr:row>78</xdr:row>
      <xdr:rowOff>0</xdr:rowOff>
    </xdr:from>
    <xdr:to>
      <xdr:col>14</xdr:col>
      <xdr:colOff>227372</xdr:colOff>
      <xdr:row>82</xdr:row>
      <xdr:rowOff>161819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373100"/>
          <a:ext cx="9828572" cy="847619"/>
        </a:xfrm>
        <a:prstGeom prst="rect">
          <a:avLst/>
        </a:prstGeom>
      </xdr:spPr>
    </xdr:pic>
    <xdr:clientData/>
  </xdr:twoCellAnchor>
  <xdr:twoCellAnchor editAs="oneCell">
    <xdr:from>
      <xdr:col>0</xdr:col>
      <xdr:colOff>0</xdr:colOff>
      <xdr:row>83</xdr:row>
      <xdr:rowOff>0</xdr:rowOff>
    </xdr:from>
    <xdr:to>
      <xdr:col>12</xdr:col>
      <xdr:colOff>503734</xdr:colOff>
      <xdr:row>97</xdr:row>
      <xdr:rowOff>75891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8733334" cy="2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康正预评字2018-1-0069-F03DYGJ1号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191，估价对象（分摊）出让国有建设用地使用权面积为14638.63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14638.63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137511</v>
      </c>
    </row>
    <row r="21" spans="1:2" s="1592" customFormat="1">
      <c r="A21" s="1590" t="s">
        <v>1235</v>
      </c>
      <c r="B21" s="1591">
        <f ca="1">'预评函-2'!D7</f>
        <v>27594</v>
      </c>
    </row>
    <row r="22" spans="1:2" s="1592" customFormat="1">
      <c r="A22" s="1590" t="s">
        <v>1236</v>
      </c>
      <c r="B22" s="1591" t="str">
        <f ca="1">'预评函-2'!D6</f>
        <v>壹拾叁亿柒仟伍佰壹拾壹万元整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137511</v>
      </c>
    </row>
    <row r="31" spans="1:2" s="1592" customFormat="1">
      <c r="A31" s="1590" t="s">
        <v>1274</v>
      </c>
      <c r="B31" s="1591">
        <f ca="1">'预评函-2'!D15</f>
        <v>27594</v>
      </c>
    </row>
    <row r="32" spans="1:2" s="1592" customFormat="1">
      <c r="A32" s="1590" t="s">
        <v>1241</v>
      </c>
      <c r="B32" s="1591" t="str">
        <f ca="1">'预评函-2'!D14</f>
        <v>壹拾叁亿柒仟伍佰壹拾壹万元整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14638.63</v>
      </c>
    </row>
    <row r="46" spans="1:2" s="1592" customFormat="1">
      <c r="A46" s="1590" t="s">
        <v>1271</v>
      </c>
      <c r="B46" s="1591" t="str">
        <f>'预评函-3'!D2</f>
        <v>出让国有建设用地使用权价值</v>
      </c>
    </row>
    <row r="47" spans="1:2" s="1592" customFormat="1">
      <c r="A47" s="1590" t="s">
        <v>1246</v>
      </c>
      <c r="B47" s="1591">
        <f ca="1">'预评函-3'!D4</f>
        <v>127610</v>
      </c>
    </row>
    <row r="48" spans="1:2" s="1592" customFormat="1">
      <c r="A48" s="1590" t="s">
        <v>1247</v>
      </c>
      <c r="B48" s="1591">
        <f ca="1">'预评函-3'!E4</f>
        <v>25607</v>
      </c>
    </row>
    <row r="49" spans="1:2" s="1592" customFormat="1">
      <c r="A49" s="1590" t="s">
        <v>1248</v>
      </c>
      <c r="B49" s="1591" t="str">
        <f ca="1">'预评函-3'!D5</f>
        <v>壹拾贰亿柒仟陆佰壹拾万元整</v>
      </c>
    </row>
    <row r="50" spans="1:2" s="1592" customFormat="1">
      <c r="A50" s="1590" t="s">
        <v>1272</v>
      </c>
      <c r="B50" s="1591" t="str">
        <f>'预评函-3'!F2</f>
        <v>在建建筑物价值</v>
      </c>
    </row>
    <row r="51" spans="1:2" s="1592" customFormat="1">
      <c r="A51" s="1590" t="s">
        <v>1249</v>
      </c>
      <c r="B51" s="1591">
        <f ca="1">'预评函-3'!F4</f>
        <v>9901</v>
      </c>
    </row>
    <row r="52" spans="1:2" s="1592" customFormat="1">
      <c r="A52" s="1590" t="s">
        <v>1250</v>
      </c>
      <c r="B52" s="1591">
        <f ca="1">'预评函-3'!G4</f>
        <v>1987</v>
      </c>
    </row>
    <row r="53" spans="1:2" s="1592" customFormat="1">
      <c r="A53" s="1590" t="s">
        <v>1278</v>
      </c>
      <c r="B53" s="1591" t="str">
        <f ca="1">'预评函-3'!F5</f>
        <v>玖仟玖佰零壹万元整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3248</v>
      </c>
      <c r="C17" s="2013"/>
    </row>
    <row r="18" spans="1:3">
      <c r="A18" s="2012" t="s">
        <v>1768</v>
      </c>
      <c r="B18" s="2012" t="s">
        <v>3250</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5"/>
      <c r="B54" s="2020" t="s">
        <v>864</v>
      </c>
      <c r="C54" s="2017" t="s">
        <v>1281</v>
      </c>
    </row>
    <row r="55" spans="1:4">
      <c r="A55" s="3055"/>
      <c r="B55" s="2020" t="s">
        <v>865</v>
      </c>
      <c r="C55" s="2017" t="s">
        <v>1282</v>
      </c>
    </row>
    <row r="56" spans="1:4">
      <c r="A56" s="3055"/>
      <c r="B56" s="2020" t="s">
        <v>866</v>
      </c>
      <c r="C56" s="2017" t="s">
        <v>1286</v>
      </c>
    </row>
    <row r="57" spans="1:4">
      <c r="A57" s="3055"/>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56"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57"/>
      <c r="D1" s="3057"/>
      <c r="E1" s="3057"/>
      <c r="F1" s="3057"/>
      <c r="G1" s="3057"/>
      <c r="H1" s="3057"/>
      <c r="I1" s="305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3123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3026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3027</v>
      </c>
      <c r="C8" s="2052"/>
      <c r="D8" s="3059" t="s">
        <v>1786</v>
      </c>
      <c r="E8" s="2053" t="s">
        <v>3028</v>
      </c>
      <c r="F8" s="2054"/>
      <c r="G8" s="2024"/>
      <c r="H8" s="2024"/>
      <c r="I8" s="2024"/>
      <c r="J8" s="2040"/>
      <c r="K8" s="2041"/>
      <c r="L8" s="2026"/>
      <c r="M8" s="2026"/>
      <c r="N8" s="2027"/>
      <c r="O8" s="2028"/>
      <c r="P8" s="2027"/>
      <c r="Q8" s="2027"/>
      <c r="R8" s="2027"/>
    </row>
    <row r="9" spans="1:19" ht="18" customHeight="1" thickBot="1">
      <c r="A9" s="2038" t="s">
        <v>1787</v>
      </c>
      <c r="B9" s="2055" t="s">
        <v>3028</v>
      </c>
      <c r="C9" s="2056"/>
      <c r="D9" s="3060"/>
      <c r="E9" s="2055"/>
      <c r="F9" s="2057"/>
      <c r="G9" s="2058"/>
      <c r="H9" s="2058"/>
      <c r="I9" s="2058"/>
      <c r="J9" s="2040"/>
      <c r="K9" s="2050"/>
      <c r="L9" s="2026"/>
      <c r="M9" s="2026"/>
      <c r="N9" s="2027"/>
      <c r="O9" s="2028"/>
      <c r="P9" s="2027"/>
      <c r="Q9" s="2027"/>
      <c r="R9" s="2027"/>
    </row>
    <row r="10" spans="1:19" ht="18" customHeight="1" thickTop="1">
      <c r="A10" s="2059" t="s">
        <v>1788</v>
      </c>
      <c r="B10" s="2060" t="s">
        <v>3029</v>
      </c>
      <c r="C10" s="2061"/>
      <c r="D10" s="2044"/>
      <c r="E10" s="2062" t="s">
        <v>1789</v>
      </c>
      <c r="F10" s="2063" t="s">
        <v>3124</v>
      </c>
      <c r="G10" s="2064"/>
      <c r="H10" s="2065"/>
      <c r="I10" s="2044"/>
      <c r="J10" s="2040"/>
      <c r="K10" s="2050"/>
      <c r="L10" s="2026"/>
      <c r="M10" s="2026"/>
      <c r="N10" s="2027"/>
      <c r="O10" s="2028"/>
      <c r="P10" s="2027"/>
      <c r="Q10" s="2027"/>
      <c r="R10" s="2027"/>
    </row>
    <row r="11" spans="1:19" ht="18" customHeight="1">
      <c r="A11" s="2066" t="s">
        <v>1790</v>
      </c>
      <c r="B11" s="2067" t="s">
        <v>3030</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3031</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66"/>
      <c r="C16" s="3067"/>
      <c r="D16" s="3068"/>
      <c r="E16" s="2082" t="s">
        <v>1803</v>
      </c>
      <c r="F16" s="3069"/>
      <c r="G16" s="3070"/>
      <c r="H16" s="3070"/>
      <c r="I16" s="3071"/>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72" t="s">
        <v>3125</v>
      </c>
      <c r="F17" s="3073"/>
      <c r="G17" s="3073"/>
      <c r="H17" s="3073"/>
      <c r="I17" s="3074"/>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14638.63</v>
      </c>
      <c r="D18" s="2087" t="s">
        <v>1806</v>
      </c>
      <c r="E18" s="3075" t="s">
        <v>3126</v>
      </c>
      <c r="F18" s="3076"/>
      <c r="G18" s="3076"/>
      <c r="H18" s="3076"/>
      <c r="I18" s="3077"/>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3032</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62" t="s">
        <v>1812</v>
      </c>
      <c r="C20" s="3063"/>
      <c r="D20" s="3064" t="s">
        <v>1813</v>
      </c>
      <c r="E20" s="3065"/>
      <c r="F20" s="2094" t="s">
        <v>1814</v>
      </c>
      <c r="G20" s="2040"/>
      <c r="H20" s="2040"/>
      <c r="I20" s="2040"/>
      <c r="J20" s="2040"/>
      <c r="K20" s="3061" t="s">
        <v>1815</v>
      </c>
      <c r="L20" s="747"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3033</v>
      </c>
      <c r="D22" s="2024"/>
      <c r="E22" s="2024"/>
      <c r="F22" s="2101"/>
      <c r="G22" s="2040"/>
      <c r="H22" s="2040"/>
      <c r="I22" s="2040"/>
      <c r="J22" s="2040"/>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v>41793</v>
      </c>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t="s">
        <v>3037</v>
      </c>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79" t="s">
        <v>1823</v>
      </c>
      <c r="B27" s="2059" t="s">
        <v>1824</v>
      </c>
      <c r="C27" s="2115" t="s">
        <v>3034</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79"/>
      <c r="B28" s="2033" t="s">
        <v>1825</v>
      </c>
      <c r="C28" s="2117" t="s">
        <v>3035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9"/>
      <c r="B29" s="2033" t="s">
        <v>1826</v>
      </c>
      <c r="C29" s="2120" t="s">
        <v>3036</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0"/>
      <c r="B30" s="2033" t="s">
        <v>1827</v>
      </c>
      <c r="C30" s="3081"/>
      <c r="D30" s="3082"/>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3" t="s">
        <v>1828</v>
      </c>
      <c r="B31" s="2122" t="s">
        <v>3132</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84"/>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84"/>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3038</v>
      </c>
      <c r="C34" s="2129" t="s">
        <v>3039</v>
      </c>
      <c r="D34" s="2129" t="s">
        <v>3040</v>
      </c>
      <c r="E34" s="2129" t="s">
        <v>3041</v>
      </c>
      <c r="F34" s="2129" t="s">
        <v>3042</v>
      </c>
      <c r="G34" s="2129" t="s">
        <v>3043</v>
      </c>
      <c r="H34" s="2129"/>
      <c r="I34" s="2040"/>
      <c r="J34" s="2040"/>
      <c r="K34" s="1793">
        <f>COUNTIF(B34:H34,"——")</f>
        <v>0</v>
      </c>
      <c r="L34" s="2071" t="s">
        <v>1830</v>
      </c>
      <c r="M34" s="2071" t="s">
        <v>1831</v>
      </c>
      <c r="N34" s="2071" t="s">
        <v>1832</v>
      </c>
      <c r="O34" s="2071" t="s">
        <v>1833</v>
      </c>
      <c r="P34" s="2071" t="s">
        <v>1834</v>
      </c>
      <c r="Q34" s="2071" t="s">
        <v>1835</v>
      </c>
      <c r="R34" s="2071" t="s">
        <v>1836</v>
      </c>
      <c r="S34" s="3078" t="s">
        <v>1837</v>
      </c>
      <c r="T34" s="2130" t="str">
        <f>NUMBERSTRING(7-K34,1)&amp;"通"</f>
        <v>七通</v>
      </c>
      <c r="U34" s="2027"/>
      <c r="V34" s="2027"/>
    </row>
    <row r="35" spans="1:22" ht="18" customHeight="1">
      <c r="A35" s="2131"/>
      <c r="B35" s="3085" t="s">
        <v>1838</v>
      </c>
      <c r="C35" s="3085"/>
      <c r="D35" s="3085"/>
      <c r="E35" s="3085"/>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8"/>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14638.63</v>
      </c>
      <c r="B3" s="14">
        <f>IF(C3="否",G5-AT5,G5)</f>
        <v>49833.960000000014</v>
      </c>
      <c r="C3" s="2164" t="s">
        <v>3036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14638.630000000001</v>
      </c>
      <c r="F6" s="16" t="s">
        <v>1</v>
      </c>
      <c r="G6" s="16" t="s">
        <v>2</v>
      </c>
      <c r="H6" s="20">
        <f>SUMIF(I$12:AB$12,"总值",I6:AB6)</f>
        <v>12590.52</v>
      </c>
      <c r="I6" s="16">
        <f t="shared" ref="I6:AB6" si="2">ROUND($A$3*I5/$B$3,2)</f>
        <v>10184.719999999999</v>
      </c>
      <c r="J6" s="16">
        <f t="shared" si="2"/>
        <v>0</v>
      </c>
      <c r="K6" s="16">
        <f t="shared" si="2"/>
        <v>2405.8000000000002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2048.11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115.83</v>
      </c>
      <c r="AM6" s="16">
        <f t="shared" si="3"/>
        <v>0</v>
      </c>
      <c r="AN6" s="16">
        <f t="shared" si="3"/>
        <v>1932.28</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14638.63</v>
      </c>
      <c r="AZ6" s="16" t="s">
        <v>3</v>
      </c>
      <c r="BA6" s="16">
        <f>ROUND($AY$6*BA5/$AZ$5,2)</f>
        <v>12590.52</v>
      </c>
      <c r="BB6" s="16">
        <f>ROUND($AY$6*BB5/$AZ$5,2)</f>
        <v>10184.719999999999</v>
      </c>
      <c r="BC6" s="16">
        <f t="shared" ref="BC6:BH6" si="4">ROUND($AY$6*BC5/$AZ$5,2)</f>
        <v>2405.8000000000002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2048.11</v>
      </c>
      <c r="BM6" s="16">
        <f t="shared" si="5"/>
        <v>0</v>
      </c>
      <c r="BN6" s="16">
        <f t="shared" si="5"/>
        <v>0</v>
      </c>
      <c r="BO6" s="16">
        <f t="shared" si="5"/>
        <v>0</v>
      </c>
      <c r="BP6" s="16">
        <f t="shared" si="5"/>
        <v>0</v>
      </c>
      <c r="BQ6" s="16">
        <f t="shared" si="5"/>
        <v>115.83</v>
      </c>
      <c r="BR6" s="16">
        <f t="shared" si="5"/>
        <v>1932.28</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3045</v>
      </c>
      <c r="J9" s="983"/>
      <c r="K9" s="2187" t="s">
        <v>3133</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3252</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3131</v>
      </c>
      <c r="J11" s="2199"/>
      <c r="K11" s="2198" t="s">
        <v>3134</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车库—商业</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3129</v>
      </c>
      <c r="B13" s="1272">
        <v>79777.45</v>
      </c>
      <c r="C13" s="34">
        <v>-3</v>
      </c>
      <c r="D13" s="2978" t="s">
        <v>3032</v>
      </c>
      <c r="E13" s="16">
        <f>IF($C$3="是",ROUND($A$3*G13/$B$3,2),ROUND($A$3*(G13-AT13)/$B$3,2))</f>
        <v>98.32</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98.32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3130</v>
      </c>
      <c r="B14" s="2990">
        <f>SUM(B15:B29)</f>
        <v>214611.08</v>
      </c>
      <c r="C14" s="34">
        <v>-2</v>
      </c>
      <c r="D14" s="2978" t="s">
        <v>3032</v>
      </c>
      <c r="E14" s="16">
        <f>IF($C$3="是",ROUND($A$3*G14/$B$3,2),ROUND($A$3*(G14-AT14)/$B$3,2))</f>
        <v>2199.8000000000002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2199.8000000000002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3032</v>
      </c>
      <c r="E15" s="16">
        <f>IF($C$3="是",ROUND($A$3*G15/$B$3,2),ROUND($A$3*(G15-AT15)/$B$3,2))</f>
        <v>2039.96</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2039.96</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3032</v>
      </c>
      <c r="E16" s="16">
        <f>IF($C$3="是",ROUND($A$3*G16/$B$3,2),ROUND($A$3*(G16-AT16)/$B$3,2))</f>
        <v>1697.09</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1697.09</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3032</v>
      </c>
      <c r="E17" s="16">
        <f>IF($C$3="是",ROUND($A$3*G17/$B$3,2),ROUND($A$3*(G17-AT17)/$B$3,2))</f>
        <v>1278.6400000000001</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1278.6400000000001</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3032</v>
      </c>
      <c r="E18" s="35">
        <f t="shared" ref="E18:E112" si="7">IF($C$3="是",ROUND($A$3*G18/$B$3,2),ROUND($A$3*(G18-AT18)/$B$3,2))</f>
        <v>1528.92</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1528.92</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3032</v>
      </c>
      <c r="E19" s="35">
        <f t="shared" si="7"/>
        <v>843.65</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843.65</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3032</v>
      </c>
      <c r="E20" s="35">
        <f t="shared" si="7"/>
        <v>730.09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730.09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3032</v>
      </c>
      <c r="E21" s="35">
        <f t="shared" si="7"/>
        <v>365.05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365.05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3032</v>
      </c>
      <c r="E22" s="35">
        <f t="shared" si="7"/>
        <v>730.09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730.09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3032</v>
      </c>
      <c r="E23" s="35">
        <f t="shared" si="7"/>
        <v>742.24</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742.24</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3032</v>
      </c>
      <c r="E24" s="35">
        <f t="shared" si="7"/>
        <v>727.56</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727.56</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3032</v>
      </c>
      <c r="E25" s="35">
        <f t="shared" si="7"/>
        <v>889.14</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889.14</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3032</v>
      </c>
      <c r="E26" s="35">
        <f t="shared" si="7"/>
        <v>652.26</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652.26</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3135</v>
      </c>
      <c r="D27" s="2978" t="s">
        <v>3032</v>
      </c>
      <c r="E27" s="35">
        <f t="shared" si="7"/>
        <v>115.83</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115.83</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003" t="s">
        <v>3245</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28.5">
      <c r="A3" s="3086"/>
      <c r="B3" s="3086"/>
      <c r="C3" s="3086"/>
      <c r="D3" s="3087"/>
      <c r="E3" s="30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097" t="s">
        <v>1933</v>
      </c>
      <c r="B2" s="3097"/>
      <c r="C2" s="3097"/>
      <c r="D2" s="969" t="s">
        <v>1909</v>
      </c>
      <c r="E2" s="2222" t="s">
        <v>1910</v>
      </c>
      <c r="F2" s="1392"/>
      <c r="G2" s="2223"/>
      <c r="H2" s="2224"/>
      <c r="I2" s="2225" t="s">
        <v>1934</v>
      </c>
      <c r="J2" s="1392"/>
      <c r="K2" s="1392"/>
      <c r="L2" s="1392"/>
      <c r="M2" s="1392"/>
      <c r="N2" s="1427"/>
      <c r="O2" s="1392"/>
      <c r="P2" s="1392"/>
    </row>
    <row r="3" spans="1:16" ht="15.75" thickBot="1">
      <c r="A3" s="3098" t="s">
        <v>1907</v>
      </c>
      <c r="B3" s="3098"/>
      <c r="C3" s="3098"/>
      <c r="D3" s="46">
        <f>'数据-基础表'!AY6</f>
        <v>14638.63</v>
      </c>
      <c r="E3" s="46">
        <f>'数据-基础表'!AZ5</f>
        <v>49833.960000000014</v>
      </c>
      <c r="F3" s="1392"/>
      <c r="G3" s="1399"/>
      <c r="H3" s="1247" t="s">
        <v>1908</v>
      </c>
      <c r="I3" s="55">
        <f>ROUND('数据-基础表'!B3/'数据-基础表'!A3,2)</f>
        <v>3.4</v>
      </c>
      <c r="J3" s="1392"/>
      <c r="K3" s="1392"/>
      <c r="L3" s="1392"/>
      <c r="M3" s="1392"/>
      <c r="N3" s="1427"/>
      <c r="O3" s="1392"/>
      <c r="P3" s="1392"/>
    </row>
    <row r="4" spans="1:16" ht="15">
      <c r="A4" s="3099"/>
      <c r="B4" s="3100"/>
      <c r="C4" s="3101"/>
      <c r="D4" s="2226" t="s">
        <v>1909</v>
      </c>
      <c r="E4" s="2227" t="s">
        <v>1910</v>
      </c>
      <c r="F4" s="1392"/>
      <c r="G4" s="2228" t="s">
        <v>1935</v>
      </c>
      <c r="H4" s="1247" t="s">
        <v>1915</v>
      </c>
      <c r="I4" s="55">
        <f>ROUND(SUMIF('数据-基础表'!I9:AS9,"地上",'数据-基础表'!I5:AS5)/'数据-基础表'!A3,2)</f>
        <v>2.4</v>
      </c>
      <c r="J4" s="1392"/>
      <c r="K4" s="1392"/>
      <c r="L4" s="1392"/>
      <c r="M4" s="1392"/>
      <c r="N4" s="1427"/>
      <c r="O4" s="1392"/>
      <c r="P4" s="1392"/>
    </row>
    <row r="5" spans="1:16">
      <c r="A5" s="47" t="s">
        <v>1911</v>
      </c>
      <c r="B5" s="3102" t="s">
        <v>1912</v>
      </c>
      <c r="C5" s="3102"/>
      <c r="D5" s="48">
        <f>ROUND($D$3*E5/$E$3,2)</f>
        <v>0</v>
      </c>
      <c r="E5" s="49">
        <f>SUMIF('数据-基础表'!$11:$11,"住宅",'数据-基础表'!$5:$5)</f>
        <v>0</v>
      </c>
      <c r="F5" s="1392"/>
      <c r="G5" s="1399"/>
      <c r="H5" s="1247" t="s">
        <v>1908</v>
      </c>
      <c r="I5" s="55">
        <f>ROUND(E31/D31,2)</f>
        <v>3.4</v>
      </c>
      <c r="J5" s="1392"/>
      <c r="K5" s="1392"/>
      <c r="L5" s="1392"/>
      <c r="M5" s="1392"/>
      <c r="N5" s="1392"/>
      <c r="O5" s="1392"/>
      <c r="P5" s="1392"/>
    </row>
    <row r="6" spans="1:16" ht="15" thickBot="1">
      <c r="A6" s="2229"/>
      <c r="B6" s="3102" t="s">
        <v>1913</v>
      </c>
      <c r="C6" s="3102"/>
      <c r="D6" s="48">
        <f>ROUND($D$3*E6/$E$3,2)</f>
        <v>14638.63</v>
      </c>
      <c r="E6" s="49">
        <f>E3-E5</f>
        <v>49833.960000000014</v>
      </c>
      <c r="F6" s="1392"/>
      <c r="G6" s="2230" t="s">
        <v>1914</v>
      </c>
      <c r="H6" s="1399" t="s">
        <v>1915</v>
      </c>
      <c r="I6" s="941">
        <f>ROUND(F31/D31,2)</f>
        <v>2.4</v>
      </c>
      <c r="J6" s="1392"/>
      <c r="K6" s="1392"/>
      <c r="L6" s="1392"/>
      <c r="M6" s="1392"/>
      <c r="N6" s="1392"/>
      <c r="O6" s="1392"/>
      <c r="P6" s="1392"/>
    </row>
    <row r="7" spans="1:16" ht="15">
      <c r="A7" s="3094"/>
      <c r="B7" s="3095"/>
      <c r="C7" s="3096"/>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10184.719999999999</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1936</v>
      </c>
      <c r="D14" s="48">
        <f t="shared" si="0"/>
        <v>2405.8000000000002</v>
      </c>
      <c r="E14" s="51">
        <f>SUMPRODUCT(('数据-基础表'!BB10:BK10="地下")*('数据-基础表'!BB11:BK11="车库—商业")*('数据-基础表'!BB5:BK5))</f>
        <v>8190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12590.52</v>
      </c>
      <c r="E16" s="53">
        <f>SUM(E8:E15)</f>
        <v>42861.619999999995</v>
      </c>
      <c r="F16" s="1392"/>
      <c r="G16" s="2232"/>
      <c r="H16" s="2235" t="s">
        <v>1937</v>
      </c>
      <c r="I16" s="2236"/>
      <c r="J16" s="1392"/>
      <c r="K16" s="3091" t="s">
        <v>1937</v>
      </c>
      <c r="L16" s="3092"/>
      <c r="M16" s="3092"/>
      <c r="N16" s="3092"/>
      <c r="O16" s="3092"/>
      <c r="P16" s="3093"/>
    </row>
    <row r="17" spans="1:19" ht="15">
      <c r="A17" s="2237" t="s">
        <v>1938</v>
      </c>
      <c r="B17" s="2238" t="s">
        <v>1939</v>
      </c>
      <c r="C17" s="2239" t="s">
        <v>1940</v>
      </c>
      <c r="D17" s="2240" t="s">
        <v>1928</v>
      </c>
      <c r="E17" s="2241" t="s">
        <v>1929</v>
      </c>
      <c r="F17" s="2242"/>
      <c r="G17" s="2243"/>
      <c r="H17" s="2244" t="s">
        <v>1941</v>
      </c>
      <c r="I17" s="2245" t="s">
        <v>1926</v>
      </c>
      <c r="J17" s="1392"/>
      <c r="K17" s="3088" t="s">
        <v>1942</v>
      </c>
      <c r="L17" s="3089"/>
      <c r="M17" s="3090"/>
      <c r="N17" s="3088" t="s">
        <v>1943</v>
      </c>
      <c r="O17" s="3089"/>
      <c r="P17" s="3090"/>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3136</v>
      </c>
      <c r="D19" s="48">
        <f>ROUND($D$3*E19/$E$3,2)</f>
        <v>10184.719999999999</v>
      </c>
      <c r="E19" s="56">
        <f t="shared" ref="E19:E26" si="1">SUM(F19:G19)</f>
        <v>34671.619999999995</v>
      </c>
      <c r="F19" s="57">
        <f>'数据-基础表'!I5</f>
        <v>34671.619999999995</v>
      </c>
      <c r="G19" s="58">
        <v>0</v>
      </c>
      <c r="H19" s="722">
        <f>ROUND($D$3*I19/$E$3,2)</f>
        <v>1656.76</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11841.48</v>
      </c>
      <c r="S19" s="1248">
        <f t="shared" si="5"/>
        <v>40311.689999999995</v>
      </c>
    </row>
    <row r="20" spans="1:19">
      <c r="A20" s="2258"/>
      <c r="B20" s="50" t="s">
        <v>1955</v>
      </c>
      <c r="C20" s="3004" t="s">
        <v>3246</v>
      </c>
      <c r="D20" s="48">
        <f t="shared" ref="D20:D26" si="6">ROUND($D$3*E20/$E$3,2)</f>
        <v>2405.8000000000002</v>
      </c>
      <c r="E20" s="56">
        <f t="shared" si="1"/>
        <v>8190</v>
      </c>
      <c r="F20" s="61"/>
      <c r="G20" s="62">
        <f>'数据-基础表'!K5</f>
        <v>8190</v>
      </c>
      <c r="H20" s="722">
        <f t="shared" ref="H20:H26" si="7">ROUND($D$3*I20/$E$3,2)</f>
        <v>391.35</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2797.15</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12590.52</v>
      </c>
      <c r="E27" s="1394">
        <f>IF(SUM(E19:E26)='数据-基础表'!BA5,SUM(E19:E26),IF(F27="地上面积有误","面积有误","地下面积有误"))</f>
        <v>42861.619999999995</v>
      </c>
      <c r="F27" s="1393">
        <f>IF(SUM(F19:F26)=E8,SUM(F19:F26),"地上面积有误")</f>
        <v>34671.619999999995</v>
      </c>
      <c r="G27" s="1395">
        <f>SUM(G19:G26)</f>
        <v>8190</v>
      </c>
      <c r="H27" s="1396">
        <f>SUM(H19:H26)</f>
        <v>2048.11</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14638.63</v>
      </c>
      <c r="S27" s="1247">
        <f>IF(SUM(S19:S26)=$E$3,SUM(S19:S26),SUM(S19:S26)&amp;"误差"&amp;ROUND(SUM(S19:S26)-E3,2))</f>
        <v>49833.959999999992</v>
      </c>
    </row>
    <row r="28" spans="1:19">
      <c r="A28" s="2258"/>
      <c r="B28" s="50" t="s">
        <v>1957</v>
      </c>
      <c r="C28" s="1259" t="s">
        <v>1958</v>
      </c>
      <c r="D28" s="48">
        <f>ROUND($D$3*E28/$E$3,2)</f>
        <v>2048.11</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2048.11</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14638.630000000001</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3137</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5.5E-2</v>
      </c>
      <c r="J6" s="74">
        <v>8.5000000000000006E-2</v>
      </c>
      <c r="K6" s="1251">
        <f>SUMIF('数据-汇总表'!C$19:C$33,A6,'数据-汇总表'!E$19:E$33)</f>
        <v>34671.619999999995</v>
      </c>
      <c r="L6" s="802">
        <v>2500</v>
      </c>
      <c r="M6" s="75">
        <f t="shared" ref="M6:M14" si="0">ROUND(K6*L6/10000,0)</f>
        <v>8668</v>
      </c>
      <c r="N6" s="800">
        <v>0.9</v>
      </c>
      <c r="O6" s="75">
        <f>IF($N$5="成新度","——",ROUND(M6*N6,0))</f>
        <v>7801</v>
      </c>
      <c r="P6" s="76">
        <f>IF($N$5="成新度","——",M6-O6)</f>
        <v>867</v>
      </c>
      <c r="Q6" s="803">
        <v>0.2</v>
      </c>
      <c r="R6" s="77">
        <f ca="1">SUMIF('数据-汇总表'!C$19:C$33,A6,'数据-汇总表'!R$19:R$27)</f>
        <v>11841.48</v>
      </c>
      <c r="S6" s="54">
        <f>IF('数据-汇总表'!$I$17="按面积比例",SUMIF('数据-汇总表'!C$19:C$33,A6,'数据-汇总表'!K$19:K$33),SUMIF('数据-汇总表'!C$19:C$33,A6,'数据-汇总表'!N$19:N$33))</f>
        <v>5640.07</v>
      </c>
      <c r="T6" s="1443">
        <f>ROUND($L$14*S6/10000,0)</f>
        <v>0</v>
      </c>
      <c r="U6" s="78">
        <v>5</v>
      </c>
      <c r="V6" s="79">
        <v>0.03</v>
      </c>
      <c r="W6" s="79">
        <v>0.1</v>
      </c>
      <c r="X6" s="1261"/>
      <c r="Y6" s="80">
        <v>1</v>
      </c>
      <c r="Z6" s="81"/>
      <c r="AA6" s="74"/>
      <c r="AB6" s="74"/>
      <c r="AC6" s="1261"/>
      <c r="AD6" s="82"/>
      <c r="AE6" s="1262">
        <f ca="1">IF(AN6="",0,SUMIF(INDIRECT("'"&amp;AN6&amp;"'"&amp;"!E:E"),$AE$5,INDIRECT("'"&amp;AN6&amp;"'"&amp;"!F:F")))</f>
        <v>30.07</v>
      </c>
      <c r="AF6" s="1802"/>
      <c r="AG6" s="147">
        <f>IF(AF6="",0,AE6-AF6)</f>
        <v>0</v>
      </c>
      <c r="AH6" s="83"/>
      <c r="AI6" s="85">
        <v>365</v>
      </c>
      <c r="AJ6" s="86"/>
      <c r="AK6" s="87">
        <v>1.4999999999999999E-2</v>
      </c>
      <c r="AL6" s="88">
        <v>1.5E-3</v>
      </c>
      <c r="AM6" s="89">
        <v>0.01</v>
      </c>
      <c r="AN6" s="2955" t="s">
        <v>3247</v>
      </c>
      <c r="AO6" s="55">
        <f ca="1">SUMIF(INDIRECT("'"&amp;AN6&amp;"'"&amp;"!A:A"),"总价",INDIRECT("'"&amp;AN6&amp;"'"&amp;"!B:B"))</f>
        <v>102781</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3134</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1500</v>
      </c>
      <c r="M7" s="75">
        <f t="shared" si="0"/>
        <v>1229</v>
      </c>
      <c r="N7" s="800">
        <f>N6</f>
        <v>0.9</v>
      </c>
      <c r="O7" s="75">
        <f t="shared" ref="O7:O14" si="3">IF($N$5="成新度","——",ROUND(M7*N7,0))</f>
        <v>1106</v>
      </c>
      <c r="P7" s="76">
        <f t="shared" ref="P7:P14" si="4">IF($N$5="成新度","——",M7-O7)</f>
        <v>123</v>
      </c>
      <c r="Q7" s="803">
        <v>0.1</v>
      </c>
      <c r="R7" s="77">
        <f ca="1">SUMIF('数据-汇总表'!C$19:C$33,A7,'数据-汇总表'!R$19:R$27)</f>
        <v>2797.15</v>
      </c>
      <c r="S7" s="54">
        <f>IF('数据-汇总表'!$I$17="按面积比例",SUMIF('数据-汇总表'!C$19:C$33,A7,'数据-汇总表'!K$19:K$33),SUMIF('数据-汇总表'!C$19:C$33,A7,'数据-汇总表'!N$19:N$33))</f>
        <v>1332.27</v>
      </c>
      <c r="T7" s="1443">
        <f t="shared" ref="T7:T13" si="5">ROUND($L$14*S7/10000,0)</f>
        <v>0</v>
      </c>
      <c r="U7" s="78">
        <v>1650</v>
      </c>
      <c r="V7" s="79">
        <v>0.02</v>
      </c>
      <c r="W7" s="79">
        <f>W6</f>
        <v>0.1</v>
      </c>
      <c r="X7" s="1261"/>
      <c r="Y7" s="80">
        <f>Y6</f>
        <v>1</v>
      </c>
      <c r="Z7" s="81"/>
      <c r="AA7" s="74"/>
      <c r="AB7" s="74"/>
      <c r="AC7" s="1261"/>
      <c r="AD7" s="82"/>
      <c r="AE7" s="1262">
        <f t="shared" ref="AE7:AE13" ca="1" si="6">IF(AN7="",0,SUMIF(INDIRECT("'"&amp;AN7&amp;"'"&amp;"!E:E"),$AE$5,INDIRECT("'"&amp;AN7&amp;"'"&amp;"!F:F")))</f>
        <v>40.08</v>
      </c>
      <c r="AF7" s="1802"/>
      <c r="AG7" s="147">
        <f t="shared" ref="AG7:AG13" si="7">IF(AF7="",0,AE7-AF7)</f>
        <v>0</v>
      </c>
      <c r="AH7" s="83">
        <v>234</v>
      </c>
      <c r="AI7" s="85">
        <v>12</v>
      </c>
      <c r="AJ7" s="86"/>
      <c r="AK7" s="87">
        <f>AK6</f>
        <v>1.4999999999999999E-2</v>
      </c>
      <c r="AL7" s="88">
        <f>AL6</f>
        <v>1.5E-3</v>
      </c>
      <c r="AM7" s="89">
        <f>AM6</f>
        <v>0.01</v>
      </c>
      <c r="AN7" s="2304" t="s">
        <v>3249</v>
      </c>
      <c r="AO7" s="55">
        <f t="shared" ref="AO7:AO13" ca="1" si="8">SUMIF(INDIRECT("'"&amp;AN7&amp;"'"&amp;"!A:A"),"总价",INDIRECT("'"&amp;AN7&amp;"'"&amp;"!B:B"))</f>
        <v>8546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1986</v>
      </c>
      <c r="M16" s="102">
        <f>SUM(M6:M14)</f>
        <v>9897</v>
      </c>
      <c r="N16" s="103">
        <f>ROUND(SUMPRODUCT(M6:M14,N6:N14)/M16,3)</f>
        <v>0.9</v>
      </c>
      <c r="O16" s="102">
        <f>SUM(O6:O14)</f>
        <v>8907</v>
      </c>
      <c r="P16" s="102">
        <f>SUM(P6:P14)</f>
        <v>990</v>
      </c>
      <c r="Q16" s="104">
        <f>ROUND(SUMPRODUCT(Q6:Q13,K6:K13)/SUMPRODUCT((Q6:Q13&gt;0)*(K6:K13)),2)</f>
        <v>0.18</v>
      </c>
      <c r="R16" s="1255">
        <f ca="1">SUM(R6:R13)</f>
        <v>14638.63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1.9</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1.9</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0.10000000000000009</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03" t="s">
        <v>2078</v>
      </c>
      <c r="B1" s="3104"/>
      <c r="C1" s="3104"/>
      <c r="D1" s="3104"/>
      <c r="E1" s="3104"/>
      <c r="F1" s="3104"/>
      <c r="G1" s="310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3047</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81">
      <c r="A6" s="431"/>
      <c r="B6" s="1793" t="s">
        <v>2088</v>
      </c>
      <c r="C6" s="2958" t="s">
        <v>3048</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3049</v>
      </c>
      <c r="D7" s="2370"/>
      <c r="E7" s="2371"/>
      <c r="F7" s="2372" t="s">
        <v>2090</v>
      </c>
      <c r="G7" s="2373"/>
      <c r="H7" s="2363"/>
      <c r="I7" s="2363"/>
      <c r="J7" s="2363"/>
      <c r="K7" s="2363"/>
      <c r="L7" s="2363"/>
      <c r="M7" s="2363"/>
      <c r="N7" s="2363"/>
      <c r="O7" s="2363"/>
      <c r="P7" s="2363"/>
      <c r="Q7" s="2363"/>
      <c r="R7" s="2363"/>
    </row>
    <row r="8" spans="1:29" ht="15">
      <c r="A8" s="431"/>
      <c r="B8" s="1793" t="s">
        <v>2089</v>
      </c>
      <c r="C8" s="2958" t="s">
        <v>3050</v>
      </c>
      <c r="D8" s="2370"/>
      <c r="E8" s="2370"/>
      <c r="F8" s="1133"/>
      <c r="G8" s="1133"/>
      <c r="H8" s="2363"/>
      <c r="I8" s="2363"/>
      <c r="J8" s="2363"/>
      <c r="K8" s="2363"/>
      <c r="L8" s="2363"/>
      <c r="M8" s="2363"/>
      <c r="N8" s="2363"/>
      <c r="O8" s="2363"/>
      <c r="P8" s="2363"/>
      <c r="Q8" s="2363"/>
      <c r="R8" s="2363"/>
    </row>
    <row r="9" spans="1:29" ht="27">
      <c r="A9" s="431"/>
      <c r="B9" s="1793" t="s">
        <v>2091</v>
      </c>
      <c r="C9" s="2957" t="s">
        <v>3051</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3052</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14638.63</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137511</v>
      </c>
      <c r="C5" s="1742">
        <f ca="1">ROUND(B5*10000/$B$1,0)</f>
        <v>27594</v>
      </c>
      <c r="D5" s="1742">
        <f ca="1">ROUND(B5*10000/$B$2,0)</f>
        <v>93937</v>
      </c>
      <c r="E5" s="1741"/>
      <c r="F5" s="1739"/>
      <c r="G5" s="1739"/>
    </row>
    <row r="6" spans="1:10" ht="16.5">
      <c r="A6" s="1742" t="s">
        <v>1356</v>
      </c>
      <c r="B6" s="1742">
        <f ca="1">SUM(G14:G23)</f>
        <v>137511</v>
      </c>
      <c r="C6" s="1742">
        <f ca="1">ROUND(B6*10000/$B$1,0)</f>
        <v>27594</v>
      </c>
      <c r="D6" s="1742">
        <f ca="1">ROUND(B6*10000/$B$2,0)</f>
        <v>93937</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14638.63</v>
      </c>
      <c r="D14" s="1740">
        <f ca="1">结果表!H118</f>
        <v>137511</v>
      </c>
      <c r="E14" s="1740">
        <f ca="1">ROUND(D14*10000/B14,0)</f>
        <v>27594</v>
      </c>
      <c r="F14" s="1740">
        <f ca="1">ROUND(D14*10000/C14,0)</f>
        <v>93937</v>
      </c>
      <c r="G14" s="1740">
        <f ca="1">结果表!D122</f>
        <v>137511</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3132</v>
      </c>
      <c r="H1" s="2414" t="str">
        <f>IF(G1="现房","——","估价对象范围")</f>
        <v>估价对象范围</v>
      </c>
      <c r="I1" s="2415" t="s">
        <v>70</v>
      </c>
    </row>
    <row r="2" spans="1:12" ht="21.75" customHeight="1" thickBot="1">
      <c r="A2" s="3177" t="str">
        <f>项目基本情况!S2</f>
        <v>北京市丰台区马家堡东路168号院7号酒店用房房地产出让国有建设用地使用权及在建建筑物房地产</v>
      </c>
      <c r="B2" s="3178"/>
      <c r="C2" s="3178"/>
      <c r="D2" s="3178"/>
      <c r="E2" s="3178"/>
      <c r="F2" s="3178"/>
      <c r="G2" s="3178"/>
      <c r="H2" s="3178"/>
      <c r="I2" s="3179"/>
    </row>
    <row r="3" spans="1:12" ht="12.75">
      <c r="A3" s="3180" t="s">
        <v>2108</v>
      </c>
      <c r="B3" s="3181"/>
      <c r="C3" s="3181"/>
      <c r="D3" s="3181"/>
      <c r="E3" s="3181"/>
      <c r="F3" s="3181"/>
      <c r="G3" s="3181"/>
      <c r="H3" s="3181"/>
      <c r="I3" s="3181"/>
    </row>
    <row r="4" spans="1:12" ht="14.25">
      <c r="A4" s="2418" t="s">
        <v>2109</v>
      </c>
      <c r="B4" s="2419" t="s">
        <v>2110</v>
      </c>
      <c r="C4" s="2420" t="s">
        <v>3148</v>
      </c>
      <c r="D4" s="2420" t="s">
        <v>3149</v>
      </c>
      <c r="E4" s="3161" t="s">
        <v>2111</v>
      </c>
      <c r="F4" s="3174"/>
      <c r="G4" s="3174"/>
      <c r="H4" s="3174"/>
      <c r="I4" s="3162"/>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52" t="s">
        <v>2112</v>
      </c>
      <c r="B5" s="3078">
        <v>25</v>
      </c>
      <c r="C5" s="3182"/>
      <c r="D5" s="3170"/>
      <c r="E5" s="140" t="s">
        <v>2113</v>
      </c>
      <c r="F5" s="2422"/>
      <c r="G5" s="2422"/>
      <c r="H5" s="2422"/>
      <c r="I5" s="1829"/>
    </row>
    <row r="6" spans="1:12" ht="12.75">
      <c r="A6" s="3152"/>
      <c r="B6" s="3078"/>
      <c r="C6" s="3184"/>
      <c r="D6" s="3170"/>
      <c r="E6" s="140" t="s">
        <v>2114</v>
      </c>
      <c r="F6" s="2422"/>
      <c r="G6" s="2422"/>
      <c r="H6" s="2422"/>
      <c r="I6" s="1829"/>
    </row>
    <row r="7" spans="1:12" ht="12.75">
      <c r="A7" s="3152"/>
      <c r="B7" s="3078"/>
      <c r="C7" s="3183"/>
      <c r="D7" s="3170"/>
      <c r="E7" s="140" t="s">
        <v>2115</v>
      </c>
      <c r="F7" s="2422"/>
      <c r="G7" s="2422"/>
      <c r="H7" s="2422"/>
      <c r="I7" s="1829"/>
    </row>
    <row r="8" spans="1:12" ht="12.75">
      <c r="A8" s="3152" t="s">
        <v>2116</v>
      </c>
      <c r="B8" s="3078">
        <v>15</v>
      </c>
      <c r="C8" s="3182"/>
      <c r="D8" s="3170"/>
      <c r="E8" s="140" t="s">
        <v>2117</v>
      </c>
      <c r="F8" s="2422"/>
      <c r="G8" s="2422"/>
      <c r="H8" s="2422"/>
      <c r="I8" s="1829"/>
    </row>
    <row r="9" spans="1:12" ht="12.75">
      <c r="A9" s="3152"/>
      <c r="B9" s="3078"/>
      <c r="C9" s="3183"/>
      <c r="D9" s="3170"/>
      <c r="E9" s="140" t="s">
        <v>2118</v>
      </c>
      <c r="F9" s="2422"/>
      <c r="G9" s="2422"/>
      <c r="H9" s="2422"/>
      <c r="I9" s="1829"/>
    </row>
    <row r="10" spans="1:12" ht="12.75">
      <c r="A10" s="3152" t="s">
        <v>2119</v>
      </c>
      <c r="B10" s="3078">
        <v>15</v>
      </c>
      <c r="C10" s="3182"/>
      <c r="D10" s="3170"/>
      <c r="E10" s="140" t="s">
        <v>2120</v>
      </c>
      <c r="F10" s="2422"/>
      <c r="G10" s="2422"/>
      <c r="H10" s="2422"/>
      <c r="I10" s="1829"/>
    </row>
    <row r="11" spans="1:12" ht="12.75">
      <c r="A11" s="3152"/>
      <c r="B11" s="3078"/>
      <c r="C11" s="3183"/>
      <c r="D11" s="3170"/>
      <c r="E11" s="140" t="s">
        <v>2121</v>
      </c>
      <c r="F11" s="2422"/>
      <c r="G11" s="2422"/>
      <c r="H11" s="2422"/>
      <c r="I11" s="1829"/>
    </row>
    <row r="12" spans="1:12" ht="12.75">
      <c r="A12" s="3152" t="s">
        <v>2122</v>
      </c>
      <c r="B12" s="3078">
        <v>15</v>
      </c>
      <c r="C12" s="3182"/>
      <c r="D12" s="3170"/>
      <c r="E12" s="140" t="s">
        <v>2123</v>
      </c>
      <c r="F12" s="2422"/>
      <c r="G12" s="2422"/>
      <c r="H12" s="2422"/>
      <c r="I12" s="1829"/>
    </row>
    <row r="13" spans="1:12" ht="12.75">
      <c r="A13" s="3152"/>
      <c r="B13" s="3078"/>
      <c r="C13" s="3183"/>
      <c r="D13" s="3170"/>
      <c r="E13" s="140" t="s">
        <v>2124</v>
      </c>
      <c r="F13" s="2422"/>
      <c r="G13" s="2422"/>
      <c r="H13" s="2422"/>
      <c r="I13" s="1829"/>
    </row>
    <row r="14" spans="1:12" ht="12.75">
      <c r="A14" s="3152" t="s">
        <v>2125</v>
      </c>
      <c r="B14" s="3078">
        <v>30</v>
      </c>
      <c r="C14" s="3182">
        <v>55</v>
      </c>
      <c r="D14" s="3170">
        <v>45</v>
      </c>
      <c r="E14" s="140" t="s">
        <v>2126</v>
      </c>
      <c r="F14" s="2422"/>
      <c r="G14" s="2422"/>
      <c r="H14" s="2422"/>
      <c r="I14" s="1829"/>
    </row>
    <row r="15" spans="1:12" ht="12.75">
      <c r="A15" s="3152"/>
      <c r="B15" s="3078"/>
      <c r="C15" s="3184"/>
      <c r="D15" s="3170"/>
      <c r="E15" s="140" t="s">
        <v>2127</v>
      </c>
      <c r="F15" s="2422"/>
      <c r="G15" s="2422"/>
      <c r="H15" s="2422"/>
      <c r="I15" s="1829"/>
    </row>
    <row r="16" spans="1:12" ht="12.75">
      <c r="A16" s="3152"/>
      <c r="B16" s="3078"/>
      <c r="C16" s="3183"/>
      <c r="D16" s="3170"/>
      <c r="E16" s="140" t="s">
        <v>2128</v>
      </c>
      <c r="F16" s="2422"/>
      <c r="G16" s="2422"/>
      <c r="H16" s="2422"/>
      <c r="I16" s="1829"/>
    </row>
    <row r="17" spans="1:35" ht="15">
      <c r="A17" s="2423" t="s">
        <v>2129</v>
      </c>
      <c r="B17" s="64"/>
      <c r="C17" s="141">
        <f>SUM(C5:C16)</f>
        <v>55</v>
      </c>
      <c r="D17" s="141">
        <f>SUM(D5:D16)</f>
        <v>45</v>
      </c>
      <c r="E17" s="138"/>
      <c r="F17" s="138"/>
      <c r="G17" s="138"/>
      <c r="H17" s="138"/>
      <c r="I17" s="138"/>
      <c r="K17" s="2421"/>
      <c r="L17" s="2424" t="s">
        <v>2130</v>
      </c>
      <c r="M17" s="2424" t="s">
        <v>2131</v>
      </c>
    </row>
    <row r="18" spans="1:35" ht="15.75" thickBot="1">
      <c r="A18" s="2425" t="s">
        <v>2132</v>
      </c>
      <c r="B18" s="2426"/>
      <c r="C18" s="142">
        <f>ROUND(C17/SUM(C17:D17),2)</f>
        <v>0.55000000000000004</v>
      </c>
      <c r="D18" s="142">
        <f>1-C18</f>
        <v>0.44999999999999996</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168493</v>
      </c>
      <c r="D19" s="144">
        <f ca="1">SUMIF(INDIRECT("'"&amp;D4&amp;"'"&amp;"!A:A"),结果表!B19,INDIRECT("'"&amp;D4&amp;"'"&amp;"!B:B"))</f>
        <v>99643</v>
      </c>
      <c r="E19" s="2427" t="s">
        <v>2136</v>
      </c>
      <c r="F19" s="2428" t="s">
        <v>2135</v>
      </c>
      <c r="G19" s="145">
        <f ca="1">ROUND(C19*$C$18+D19*$D$18,0)</f>
        <v>137511</v>
      </c>
      <c r="H19" s="2429" t="s">
        <v>2137</v>
      </c>
      <c r="I19" s="138"/>
      <c r="K19" s="2421" t="s">
        <v>2138</v>
      </c>
      <c r="L19" s="2421">
        <f>IF(C1="",'数据-汇总表'!D3,SUMIF(项目类型,C1,'数据-汇总表'!D17:D26)+SUMIF(项目类型,C1,'数据-汇总表'!H17:H27))</f>
        <v>14638.63</v>
      </c>
      <c r="M19" s="2421">
        <f>IF(C1="",'数据-汇总表'!D3,SUMIF(项目类型,C1,'数据-汇总表'!D17:D26))</f>
        <v>14638.63</v>
      </c>
    </row>
    <row r="20" spans="1:35" ht="15">
      <c r="A20" s="2430"/>
      <c r="B20" s="1247" t="s">
        <v>2139</v>
      </c>
      <c r="C20" s="146">
        <f ca="1">SUMIF(INDIRECT("'"&amp;C4&amp;"'"&amp;"!A:A"),结果表!B20,INDIRECT("'"&amp;C4&amp;"'"&amp;"!B:B"))</f>
        <v>48597</v>
      </c>
      <c r="D20" s="147">
        <f ca="1">SUMIF(INDIRECT("'"&amp;D4&amp;"'"&amp;"!A:A"),结果表!B20,INDIRECT("'"&amp;D4&amp;"'"&amp;"!B:B"))</f>
        <v>28739</v>
      </c>
      <c r="E20" s="2430"/>
      <c r="F20" s="1247" t="s">
        <v>2139</v>
      </c>
      <c r="G20" s="148">
        <f ca="1">ROUND(C20*$C$18+D20*$D$18,0)</f>
        <v>39661</v>
      </c>
      <c r="H20" s="982" t="s">
        <v>2140</v>
      </c>
      <c r="I20" s="138"/>
    </row>
    <row r="21" spans="1:35" ht="15" customHeight="1" thickBot="1">
      <c r="A21" s="1002"/>
      <c r="B21" s="2431" t="s">
        <v>2141</v>
      </c>
      <c r="C21" s="788">
        <f ca="1">ROUND(C19*10000/L19,0)</f>
        <v>115102</v>
      </c>
      <c r="D21" s="789">
        <f ca="1">ROUND(D19*10000/L19,0)</f>
        <v>68069</v>
      </c>
      <c r="E21" s="1002"/>
      <c r="F21" s="2431" t="s">
        <v>2141</v>
      </c>
      <c r="G21" s="149">
        <f ca="1">ROUND(G19*10000/L19,0)</f>
        <v>93937</v>
      </c>
      <c r="H21" s="2432" t="s">
        <v>2140</v>
      </c>
      <c r="I21" s="138"/>
    </row>
    <row r="22" spans="1:35" ht="15" thickBot="1">
      <c r="A22" s="2276" t="s">
        <v>2142</v>
      </c>
      <c r="B22" s="2433"/>
      <c r="C22" s="2434"/>
      <c r="D22" s="790">
        <f ca="1">IF(C19&lt;D19,D19/C19-1,C19/D19-1)</f>
        <v>0.69096675130214869</v>
      </c>
      <c r="E22" s="138"/>
      <c r="F22" s="138"/>
      <c r="G22" s="138"/>
      <c r="H22" s="138"/>
      <c r="I22" s="138"/>
    </row>
    <row r="23" spans="1:35" ht="13.5" hidden="1" thickBot="1">
      <c r="A23" s="2411"/>
      <c r="B23" s="2411"/>
      <c r="C23" s="2411"/>
      <c r="D23" s="2411"/>
      <c r="E23" s="138"/>
      <c r="F23" s="138"/>
      <c r="G23" s="138"/>
      <c r="H23" s="138"/>
      <c r="I23" s="138"/>
    </row>
    <row r="24" spans="1:35" ht="14.25" hidden="1">
      <c r="A24" s="3191" t="s">
        <v>2143</v>
      </c>
      <c r="B24" s="2428" t="s">
        <v>2135</v>
      </c>
      <c r="C24" s="145">
        <f>IF(B30=0,0,D30)</f>
        <v>0</v>
      </c>
      <c r="D24" s="2435"/>
      <c r="E24" s="138"/>
      <c r="F24" s="138"/>
      <c r="G24" s="138"/>
      <c r="H24" s="138"/>
      <c r="I24" s="138"/>
    </row>
    <row r="25" spans="1:35" ht="14.25" hidden="1">
      <c r="A25" s="3192"/>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137511</v>
      </c>
      <c r="D32" s="2442" t="s">
        <v>2150</v>
      </c>
      <c r="E32" s="138"/>
      <c r="F32" s="138"/>
      <c r="G32" s="138"/>
      <c r="H32" s="138"/>
      <c r="I32" s="138"/>
    </row>
    <row r="33" spans="1:15" ht="15">
      <c r="A33" s="959" t="s">
        <v>2151</v>
      </c>
      <c r="B33" s="2443"/>
      <c r="C33" s="2444" t="s">
        <v>3251</v>
      </c>
      <c r="D33" s="2445" t="s">
        <v>3148</v>
      </c>
      <c r="E33" s="2446" t="s">
        <v>2152</v>
      </c>
      <c r="F33" s="2447" t="str">
        <f>IF(D32="楼面单价","取值（单价）","取值（总价）")</f>
        <v>取值（总价）</v>
      </c>
      <c r="G33" s="138"/>
      <c r="H33" s="138"/>
      <c r="I33" s="138"/>
    </row>
    <row r="34" spans="1:15" ht="15">
      <c r="A34" s="2448"/>
      <c r="B34" s="2449" t="s">
        <v>2153</v>
      </c>
      <c r="C34" s="157">
        <f ca="1">IF(C33="自定义",F34,C32-C35)</f>
        <v>127610</v>
      </c>
      <c r="D34" s="1056">
        <f ca="1">IF(C33="自定义",ROUND(C34/C32,3),IF(C33="收益比率",SUMIF(INDIRECT("'"&amp;D33&amp;"'"&amp;"!b:b"),"土地收益比率",INDIRECT("'"&amp;D33&amp;"'"&amp;"!c:c")),SUMIF(INDIRECT("'"&amp;D33&amp;"'"&amp;"!b:b"),"土地成本比率",INDIRECT("'"&amp;D33&amp;"'"&amp;"!c:c"))))</f>
        <v>0.92800000000000005</v>
      </c>
      <c r="E34" s="2450" t="s">
        <v>2154</v>
      </c>
      <c r="F34" s="1735"/>
      <c r="G34" s="138"/>
      <c r="H34" s="138"/>
      <c r="I34" s="138"/>
    </row>
    <row r="35" spans="1:15" ht="15.75" thickBot="1">
      <c r="A35" s="2451"/>
      <c r="B35" s="2452" t="s">
        <v>2155</v>
      </c>
      <c r="C35" s="1441">
        <f ca="1">IF(C33="自定义",F35,ROUND(C32*D35,0))</f>
        <v>9901</v>
      </c>
      <c r="D35" s="1442">
        <f ca="1">IF(C33="自定义",ROUND(C35/C32,3),IF(C33="收益比率",SUMIF(INDIRECT("'"&amp;D33&amp;"'"&amp;"!b:b"),"建筑物收益比率",INDIRECT("'"&amp;D33&amp;"'"&amp;"!c:c")),SUMIF(INDIRECT("'"&amp;D33&amp;"'"&amp;"!b:b"),"建筑物成本比率",INDIRECT("'"&amp;D33&amp;"'"&amp;"!c:c"))))</f>
        <v>7.1999999999999995E-2</v>
      </c>
      <c r="E35" s="2453" t="s">
        <v>2156</v>
      </c>
      <c r="F35" s="163"/>
      <c r="G35" s="138"/>
      <c r="H35" s="138"/>
      <c r="I35" s="138"/>
    </row>
    <row r="36" spans="1:15" ht="15.75" hidden="1" thickBot="1">
      <c r="A36" s="3171" t="s">
        <v>2157</v>
      </c>
      <c r="B36" s="2454" t="s">
        <v>2158</v>
      </c>
      <c r="C36" s="154"/>
      <c r="D36" s="2455"/>
      <c r="E36" s="2456"/>
      <c r="F36" s="2457"/>
      <c r="G36" s="138"/>
      <c r="H36" s="138"/>
      <c r="I36" s="138"/>
    </row>
    <row r="37" spans="1:15" ht="15.75" hidden="1" thickBot="1">
      <c r="A37" s="3172"/>
      <c r="B37" s="2262" t="s">
        <v>2159</v>
      </c>
      <c r="C37" s="156"/>
      <c r="D37" s="1392"/>
      <c r="E37" s="1392"/>
      <c r="F37" s="2457"/>
      <c r="G37" s="138"/>
      <c r="H37" s="138"/>
      <c r="I37" s="138"/>
    </row>
    <row r="38" spans="1:15" ht="15.75" hidden="1" thickBot="1">
      <c r="A38" s="3173"/>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88" t="s">
        <v>2171</v>
      </c>
      <c r="B45" s="3189"/>
      <c r="C45" s="3190"/>
      <c r="D45" s="164">
        <f ca="1">ROUND(H101*F45,0)</f>
        <v>137511</v>
      </c>
      <c r="E45" s="165" t="s">
        <v>2172</v>
      </c>
      <c r="F45" s="166">
        <v>1</v>
      </c>
      <c r="G45" s="167" t="s">
        <v>2173</v>
      </c>
      <c r="H45" s="138"/>
      <c r="I45" s="138"/>
      <c r="J45" s="3107" t="s">
        <v>2174</v>
      </c>
      <c r="K45" s="3107"/>
      <c r="L45" s="3107"/>
      <c r="M45" s="3107"/>
      <c r="N45" s="3107"/>
      <c r="O45" s="3107"/>
    </row>
    <row r="46" spans="1:15" ht="14.25" hidden="1" customHeight="1">
      <c r="A46" s="3185" t="s">
        <v>2175</v>
      </c>
      <c r="B46" s="3186"/>
      <c r="C46" s="3186"/>
      <c r="D46" s="3186"/>
      <c r="E46" s="3186"/>
      <c r="F46" s="3186"/>
      <c r="G46" s="3187"/>
      <c r="H46" s="2473"/>
      <c r="I46" s="168"/>
      <c r="J46" s="1807">
        <v>1</v>
      </c>
      <c r="K46" s="3107" t="s">
        <v>2176</v>
      </c>
      <c r="L46" s="3107"/>
      <c r="M46" s="3108"/>
      <c r="N46" s="3108"/>
      <c r="O46" s="3108"/>
    </row>
    <row r="47" spans="1:15" ht="12" hidden="1" customHeight="1">
      <c r="A47" s="169" t="s">
        <v>2177</v>
      </c>
      <c r="B47" s="170"/>
      <c r="C47" s="171"/>
      <c r="D47" s="172" t="s">
        <v>2178</v>
      </c>
      <c r="E47" s="24" t="s">
        <v>2179</v>
      </c>
      <c r="F47" s="173" t="s">
        <v>2180</v>
      </c>
      <c r="G47" s="174" t="s">
        <v>2181</v>
      </c>
      <c r="H47" s="2473"/>
      <c r="I47" s="168"/>
      <c r="J47" s="1807">
        <v>2</v>
      </c>
      <c r="K47" s="3107" t="s">
        <v>2182</v>
      </c>
      <c r="L47" s="3107"/>
      <c r="M47" s="3109">
        <f>'数据-取费表'!B2</f>
        <v>43132</v>
      </c>
      <c r="N47" s="3109"/>
      <c r="O47" s="3109"/>
    </row>
    <row r="48" spans="1:15" ht="25.5" hidden="1">
      <c r="A48" s="3175" t="s">
        <v>2183</v>
      </c>
      <c r="B48" s="3176"/>
      <c r="C48" s="3176"/>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07" t="s">
        <v>2186</v>
      </c>
      <c r="L48" s="3107"/>
      <c r="M48" s="3110">
        <f ca="1">H101</f>
        <v>137511</v>
      </c>
      <c r="N48" s="3110"/>
      <c r="O48" s="3110"/>
    </row>
    <row r="49" spans="1:35" ht="25.5" hidden="1" customHeight="1">
      <c r="A49" s="176" t="s">
        <v>2187</v>
      </c>
      <c r="B49" s="3155" t="s">
        <v>2188</v>
      </c>
      <c r="C49" s="3155"/>
      <c r="D49" s="177">
        <v>0</v>
      </c>
      <c r="E49" s="23" t="s">
        <v>2189</v>
      </c>
      <c r="F49" s="28" t="s">
        <v>34</v>
      </c>
      <c r="G49" s="3136"/>
      <c r="H49" s="138"/>
      <c r="I49" s="2476"/>
      <c r="J49" s="1807">
        <v>4</v>
      </c>
      <c r="K49" s="3107" t="str">
        <f>IF(项目基本情况!E8="房地产抵押价值","房地产抵押价值","抵押担保权已注销时的房地产抵押价值")</f>
        <v>房地产抵押价值</v>
      </c>
      <c r="L49" s="3107"/>
      <c r="M49" s="3110">
        <f ca="1">IF(项目基本情况!E8="房地产抵押价值",H107,H109)</f>
        <v>137511</v>
      </c>
      <c r="N49" s="3110"/>
      <c r="O49" s="3110"/>
    </row>
    <row r="50" spans="1:35" ht="25.5" hidden="1" customHeight="1">
      <c r="A50" s="178"/>
      <c r="B50" s="3155" t="s">
        <v>2190</v>
      </c>
      <c r="C50" s="3155"/>
      <c r="D50" s="179"/>
      <c r="E50" s="31"/>
      <c r="F50" s="180"/>
      <c r="G50" s="3137"/>
      <c r="H50" s="138"/>
      <c r="I50" s="2476"/>
      <c r="J50" s="3107" t="s">
        <v>2191</v>
      </c>
      <c r="K50" s="3107"/>
      <c r="L50" s="3107"/>
      <c r="M50" s="3107"/>
      <c r="N50" s="3107"/>
      <c r="O50" s="3107"/>
    </row>
    <row r="51" spans="1:35" ht="12" hidden="1" customHeight="1">
      <c r="A51" s="181"/>
      <c r="B51" s="3155" t="s">
        <v>2192</v>
      </c>
      <c r="C51" s="3155"/>
      <c r="D51" s="182"/>
      <c r="E51" s="30"/>
      <c r="F51" s="180"/>
      <c r="G51" s="3138"/>
      <c r="H51" s="138"/>
      <c r="I51" s="2476"/>
      <c r="J51" s="2477" t="s">
        <v>2193</v>
      </c>
      <c r="K51" s="3107" t="s">
        <v>2194</v>
      </c>
      <c r="L51" s="3107"/>
      <c r="M51" s="2477" t="s">
        <v>2195</v>
      </c>
      <c r="N51" s="2477" t="s">
        <v>2196</v>
      </c>
      <c r="O51" s="2477" t="s">
        <v>2197</v>
      </c>
    </row>
    <row r="52" spans="1:35" ht="24" hidden="1" customHeight="1">
      <c r="A52" s="183" t="s">
        <v>2198</v>
      </c>
      <c r="B52" s="3155" t="s">
        <v>2199</v>
      </c>
      <c r="C52" s="3155"/>
      <c r="D52" s="182">
        <f ca="1">ROUND(D45*'数据-取费表'!B41/(1+'数据-取费表'!C42),0)</f>
        <v>7334</v>
      </c>
      <c r="E52" s="11" t="s">
        <v>2200</v>
      </c>
      <c r="F52" s="184">
        <f>'数据-取费表'!B41</f>
        <v>5.6000000000000001E-2</v>
      </c>
      <c r="G52" s="2478"/>
      <c r="H52" s="138"/>
      <c r="I52" s="2476"/>
      <c r="J52" s="1807">
        <v>1</v>
      </c>
      <c r="K52" s="3130" t="s">
        <v>2201</v>
      </c>
      <c r="L52" s="3130"/>
      <c r="M52" s="1750">
        <f>D48</f>
        <v>0</v>
      </c>
      <c r="N52" s="1807" t="str">
        <f>E48</f>
        <v>销售额×税（费）率</v>
      </c>
      <c r="O52" s="1751" t="str">
        <f>F48</f>
        <v>免征</v>
      </c>
    </row>
    <row r="53" spans="1:35" ht="12" hidden="1" customHeight="1">
      <c r="A53" s="183" t="s">
        <v>2202</v>
      </c>
      <c r="B53" s="3156" t="s">
        <v>2203</v>
      </c>
      <c r="C53" s="3157"/>
      <c r="D53" s="182">
        <f ca="1">ROUND(D45*'数据-取费表'!B41/(1+'数据-取费表'!C42),0)</f>
        <v>7334</v>
      </c>
      <c r="E53" s="11" t="s">
        <v>2200</v>
      </c>
      <c r="F53" s="184">
        <f>'数据-取费表'!B41</f>
        <v>5.6000000000000001E-2</v>
      </c>
      <c r="G53" s="2478"/>
      <c r="H53" s="138"/>
      <c r="I53" s="2476"/>
      <c r="J53" s="1807">
        <v>2</v>
      </c>
      <c r="K53" s="3130" t="s">
        <v>2204</v>
      </c>
      <c r="L53" s="3130"/>
      <c r="M53" s="1750">
        <f t="shared" ref="M53:O54" ca="1" si="0">D55</f>
        <v>69</v>
      </c>
      <c r="N53" s="1807" t="str">
        <f t="shared" si="0"/>
        <v>销售额×税（费）率</v>
      </c>
      <c r="O53" s="1751">
        <f t="shared" si="0"/>
        <v>5.0000000000000001E-4</v>
      </c>
    </row>
    <row r="54" spans="1:35" ht="12" hidden="1" customHeight="1">
      <c r="A54" s="183" t="s">
        <v>2205</v>
      </c>
      <c r="B54" s="3156" t="s">
        <v>2206</v>
      </c>
      <c r="C54" s="3157"/>
      <c r="D54" s="182">
        <f ca="1">C68</f>
        <v>7334</v>
      </c>
      <c r="E54" s="30" t="s">
        <v>2207</v>
      </c>
      <c r="F54" s="184">
        <f>'数据-取费表'!B41</f>
        <v>5.6000000000000001E-2</v>
      </c>
      <c r="G54" s="2478"/>
      <c r="H54" s="2479"/>
      <c r="I54" s="2476"/>
      <c r="J54" s="1807">
        <v>3</v>
      </c>
      <c r="K54" s="3130" t="s">
        <v>2208</v>
      </c>
      <c r="L54" s="3130"/>
      <c r="M54" s="1750">
        <f t="shared" ca="1" si="0"/>
        <v>77831</v>
      </c>
      <c r="N54" s="1807" t="str">
        <f t="shared" si="0"/>
        <v>增值额×税（费）率</v>
      </c>
      <c r="O54" s="1752" t="str">
        <f t="shared" si="0"/>
        <v>——</v>
      </c>
    </row>
    <row r="55" spans="1:35" ht="24" hidden="1" customHeight="1">
      <c r="A55" s="3194" t="s">
        <v>2209</v>
      </c>
      <c r="B55" s="3176"/>
      <c r="C55" s="3176"/>
      <c r="D55" s="185">
        <f ca="1">IF(H55="个人住宅",0,ROUND(D45*I55,0))</f>
        <v>69</v>
      </c>
      <c r="E55" s="11" t="s">
        <v>2210</v>
      </c>
      <c r="F55" s="184">
        <f>IF(H55="正常",I55,"免征")</f>
        <v>5.0000000000000001E-4</v>
      </c>
      <c r="G55" s="2478"/>
      <c r="H55" s="2475" t="s">
        <v>2211</v>
      </c>
      <c r="I55" s="186">
        <f>'数据-取费表'!B49</f>
        <v>5.0000000000000001E-4</v>
      </c>
      <c r="J55" s="1807" t="str">
        <f>IF(H59="非个人房产","",4)</f>
        <v/>
      </c>
      <c r="K55" s="3130" t="str">
        <f>IF(H59="非个人房产","——","个人所得税")</f>
        <v>——</v>
      </c>
      <c r="L55" s="3130"/>
      <c r="M55" s="1753" t="str">
        <f>D59</f>
        <v>——</v>
      </c>
      <c r="N55" s="1805" t="str">
        <f>E59</f>
        <v>——</v>
      </c>
      <c r="O55" s="1754" t="str">
        <f>F59</f>
        <v>——</v>
      </c>
    </row>
    <row r="56" spans="1:35" ht="24.75" hidden="1">
      <c r="A56" s="3194" t="s">
        <v>2212</v>
      </c>
      <c r="B56" s="3176"/>
      <c r="C56" s="3176"/>
      <c r="D56" s="185">
        <f ca="1">IF(H56="个人住宅",D57,D58)</f>
        <v>77831</v>
      </c>
      <c r="E56" s="11" t="s">
        <v>2213</v>
      </c>
      <c r="F56" s="184" t="str">
        <f>IF(H56="正常",F58,"免征")</f>
        <v>——</v>
      </c>
      <c r="G56" s="2480" t="s">
        <v>2214</v>
      </c>
      <c r="H56" s="2481" t="s">
        <v>2211</v>
      </c>
      <c r="I56" s="2482"/>
      <c r="J56" s="1807" t="str">
        <f>IF(项目基本情况!K6="上海银行",IF(J55="",4,J55+1),"")</f>
        <v/>
      </c>
      <c r="K56" s="3113" t="str">
        <f>IF(项目基本情况!K6="上海银行","其他处置费用","")</f>
        <v/>
      </c>
      <c r="L56" s="3114"/>
      <c r="M56" s="1750" t="str">
        <f>IF(项目基本情况!K6="上海银行",M69,"")</f>
        <v/>
      </c>
      <c r="N56" s="3116" t="str">
        <f>IF(项目基本情况!K6="上海银行","包含处置中涉及的律师、诉讼、拍卖、评估等费用","")</f>
        <v/>
      </c>
      <c r="O56" s="3117"/>
    </row>
    <row r="57" spans="1:35" ht="12.75" hidden="1">
      <c r="A57" s="183" t="s">
        <v>2187</v>
      </c>
      <c r="B57" s="3161" t="s">
        <v>2215</v>
      </c>
      <c r="C57" s="3162"/>
      <c r="D57" s="187">
        <v>0</v>
      </c>
      <c r="E57" s="23" t="s">
        <v>2189</v>
      </c>
      <c r="F57" s="155"/>
      <c r="G57" s="2478"/>
      <c r="H57" s="2482"/>
      <c r="I57" s="2482"/>
      <c r="J57" s="3130">
        <f>IF(AND(J55="",J56=""),4,IF(项目基本情况!K6="上海银行",结果表!J56+1,结果表!J55+1))</f>
        <v>4</v>
      </c>
      <c r="K57" s="3130" t="s">
        <v>2216</v>
      </c>
      <c r="L57" s="2483" t="s">
        <v>2217</v>
      </c>
      <c r="M57" s="1755"/>
      <c r="N57" s="1756">
        <f ca="1">SUMIF(M52:M56,"&lt;9e307")</f>
        <v>77900</v>
      </c>
      <c r="O57" s="2484"/>
      <c r="P57" s="1749">
        <f ca="1">N57/M49</f>
        <v>0.56650013453469172</v>
      </c>
    </row>
    <row r="58" spans="1:35" ht="24.75" hidden="1">
      <c r="A58" s="183" t="s">
        <v>2198</v>
      </c>
      <c r="B58" s="3161" t="s">
        <v>2218</v>
      </c>
      <c r="C58" s="3174"/>
      <c r="D58" s="185">
        <f ca="1">IF(H58="转让取得",C81,C97)</f>
        <v>77831</v>
      </c>
      <c r="E58" s="11" t="s">
        <v>2213</v>
      </c>
      <c r="F58" s="24" t="s">
        <v>34</v>
      </c>
      <c r="G58" s="2478"/>
      <c r="H58" s="2481" t="s">
        <v>2219</v>
      </c>
      <c r="I58" s="2482"/>
      <c r="J58" s="3130"/>
      <c r="K58" s="3130"/>
      <c r="L58" s="2483" t="s">
        <v>2220</v>
      </c>
      <c r="M58" s="1757"/>
      <c r="N58" s="2485" t="str">
        <f ca="1">NUMBERSTRING(INT(N57*10000),2)&amp;"元整"</f>
        <v>柒亿柒仟玖佰万元整</v>
      </c>
      <c r="O58" s="2486"/>
    </row>
    <row r="59" spans="1:35" ht="24.75" hidden="1" thickBot="1">
      <c r="A59" s="3134" t="s">
        <v>2221</v>
      </c>
      <c r="B59" s="3135"/>
      <c r="C59" s="313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32">
        <f>J57+1</f>
        <v>5</v>
      </c>
      <c r="K59" s="3130" t="s">
        <v>2223</v>
      </c>
      <c r="L59" s="1807" t="s">
        <v>2217</v>
      </c>
      <c r="M59" s="1758"/>
      <c r="N59" s="1759">
        <f ca="1">M49-N57</f>
        <v>59611</v>
      </c>
      <c r="O59" s="2488"/>
    </row>
    <row r="60" spans="1:35" ht="12" hidden="1" customHeight="1">
      <c r="A60" s="2489"/>
      <c r="B60" s="2411"/>
      <c r="C60" s="2411"/>
      <c r="D60" s="2411"/>
      <c r="E60" s="2162"/>
      <c r="F60" s="2482"/>
      <c r="G60" s="2482"/>
      <c r="H60" s="2490"/>
      <c r="I60" s="138"/>
      <c r="J60" s="3133"/>
      <c r="K60" s="3130"/>
      <c r="L60" s="2483" t="s">
        <v>2220</v>
      </c>
      <c r="M60" s="1757"/>
      <c r="N60" s="2485" t="str">
        <f ca="1">NUMBERSTRING(INT(N59*10000),2)&amp;"元整"</f>
        <v>伍亿玖仟陆佰壹拾壹万元整</v>
      </c>
      <c r="O60" s="2486"/>
    </row>
    <row r="61" spans="1:35" ht="13.5" hidden="1" thickBot="1">
      <c r="A61" s="3193" t="s">
        <v>2224</v>
      </c>
      <c r="B61" s="3193"/>
      <c r="C61" s="3193"/>
      <c r="D61" s="3193"/>
      <c r="E61" s="3193"/>
      <c r="F61" s="2482"/>
      <c r="G61" s="2482"/>
      <c r="H61" s="2490"/>
      <c r="I61" s="138"/>
      <c r="J61" s="1807">
        <f>J59+1</f>
        <v>6</v>
      </c>
      <c r="K61" s="3130" t="s">
        <v>2225</v>
      </c>
      <c r="L61" s="3130"/>
      <c r="M61" s="1760"/>
      <c r="N61" s="1761">
        <f ca="1">ROUND(N59*10000/'数据-汇总表'!E3,0)</f>
        <v>11962</v>
      </c>
      <c r="O61" s="2491"/>
    </row>
    <row r="62" spans="1:35" ht="12.75" hidden="1">
      <c r="A62" s="3150" t="s">
        <v>2226</v>
      </c>
      <c r="B62" s="3151"/>
      <c r="C62" s="1799"/>
      <c r="D62" s="1799" t="s">
        <v>2227</v>
      </c>
      <c r="E62" s="192" t="s">
        <v>2228</v>
      </c>
      <c r="F62" s="2482"/>
      <c r="G62" s="2482"/>
      <c r="H62" s="2490"/>
      <c r="I62" s="138"/>
    </row>
    <row r="63" spans="1:35" ht="12.75" hidden="1">
      <c r="A63" s="203" t="s">
        <v>775</v>
      </c>
      <c r="B63" s="193" t="s">
        <v>2229</v>
      </c>
      <c r="C63" s="194">
        <f ca="1">ROUND((C64+C65)/(1+'数据-取费表'!C42),0)</f>
        <v>130963</v>
      </c>
      <c r="D63" s="195"/>
      <c r="E63" s="196"/>
      <c r="F63" s="2482"/>
      <c r="G63" s="2482"/>
      <c r="H63" s="2490"/>
      <c r="I63" s="138"/>
      <c r="J63" s="3115" t="s">
        <v>2230</v>
      </c>
      <c r="K63" s="2492" t="s">
        <v>2231</v>
      </c>
      <c r="L63" s="1748">
        <f ca="1">IF(M49&gt;10000,M49*0.5%,IF(AND(M49&gt;1000,M49&lt;=10000),M49*1%,IF(AND(M49&gt;100,M49&lt;=1000),M49*3%,IF(AND(M49&gt;10,M49&lt;=100),M49*5%,M49*8%))))</f>
        <v>687.55500000000006</v>
      </c>
      <c r="M63" s="24">
        <f ca="1">ROUND(L63,1)</f>
        <v>687.6</v>
      </c>
      <c r="Z63" s="2416"/>
      <c r="AI63" s="2417"/>
    </row>
    <row r="64" spans="1:35" ht="14.25" hidden="1" customHeight="1">
      <c r="A64" s="197" t="s">
        <v>770</v>
      </c>
      <c r="B64" s="198" t="s">
        <v>2232</v>
      </c>
      <c r="C64" s="199">
        <f ca="1">D45</f>
        <v>137511</v>
      </c>
      <c r="D64" s="200" t="s">
        <v>32</v>
      </c>
      <c r="E64" s="201"/>
      <c r="F64" s="2482"/>
      <c r="G64" s="2482"/>
      <c r="H64" s="2490"/>
      <c r="I64" s="138"/>
      <c r="J64" s="3115"/>
      <c r="K64" s="2492" t="s">
        <v>2233</v>
      </c>
      <c r="L64" s="1748">
        <f ca="1">IF(M49&gt;2000,M49*0.5%,IF(AND(M49&gt;1000,M49&lt;=2000),M49*0.6%,IF(AND(M49&gt;500,M49&lt;=1000),M49*0.7%,IF(AND(M49&gt;200,M49&lt;=500),M49*0.8%,IF(AND(M49&gt;100,M49&lt;=200),M49*0.9%,IF(AND(M49&gt;50,M49&lt;=100),M49*1%,IF(AND(M49&gt;20,M49&lt;=50),M49*1.5%,IF(AND(M49&gt;10,M49&lt;=20),M49*2%,IF(AND(M49&gt;1,M49&lt;=10),M49*2.5%)))))))))</f>
        <v>687.55500000000006</v>
      </c>
      <c r="M64" s="24">
        <f t="shared" ref="M64:M65" ca="1" si="1">ROUND(L64,1)</f>
        <v>687.6</v>
      </c>
      <c r="N64" s="138" t="s">
        <v>2234</v>
      </c>
      <c r="Z64" s="2416"/>
      <c r="AI64" s="2417"/>
    </row>
    <row r="65" spans="1:35" ht="14.25" hidden="1" customHeight="1">
      <c r="A65" s="197" t="s">
        <v>771</v>
      </c>
      <c r="B65" s="198" t="s">
        <v>2235</v>
      </c>
      <c r="C65" s="202"/>
      <c r="D65" s="200"/>
      <c r="E65" s="201"/>
      <c r="F65" s="2482"/>
      <c r="G65" s="2482"/>
      <c r="H65" s="2490"/>
      <c r="I65" s="138"/>
      <c r="J65" s="3115"/>
      <c r="K65" s="2492" t="s">
        <v>2236</v>
      </c>
      <c r="L65" s="1748">
        <f ca="1">IF(M49&gt;1000,M49*0.1%,IF(AND(M49&gt;500,M49&lt;=1000),M49*0.5%,IF(AND(M49&gt;50,M49&lt;=500),M49*1%,IF(AND(M49&gt;1,M49&lt;=50),M49*1.5%))))</f>
        <v>137.511</v>
      </c>
      <c r="M65" s="24">
        <f t="shared" ca="1" si="1"/>
        <v>137.5</v>
      </c>
      <c r="N65" s="138" t="s">
        <v>2234</v>
      </c>
      <c r="Z65" s="2416"/>
      <c r="AI65" s="2417"/>
    </row>
    <row r="66" spans="1:35" ht="14.25" hidden="1" customHeight="1">
      <c r="A66" s="203" t="s">
        <v>772</v>
      </c>
      <c r="B66" s="204" t="s">
        <v>2237</v>
      </c>
      <c r="C66" s="205"/>
      <c r="D66" s="206" t="s">
        <v>32</v>
      </c>
      <c r="E66" s="1771" t="s">
        <v>1371</v>
      </c>
      <c r="F66" s="2482"/>
      <c r="G66" s="2482"/>
      <c r="H66" s="2490"/>
      <c r="I66" s="138"/>
      <c r="J66" s="3115"/>
      <c r="K66" s="2492" t="s">
        <v>2238</v>
      </c>
      <c r="L66" s="1748">
        <f ca="1">M49*0.5%</f>
        <v>687.55500000000006</v>
      </c>
      <c r="M66" s="24">
        <f ca="1">IF(L66&gt;0.5,0.5,ROUND(L66,0))</f>
        <v>0.5</v>
      </c>
      <c r="N66" s="138" t="s">
        <v>2239</v>
      </c>
      <c r="Z66" s="2416"/>
      <c r="AI66" s="2417"/>
    </row>
    <row r="67" spans="1:35" ht="14.25" hidden="1" customHeight="1">
      <c r="A67" s="203" t="s">
        <v>773</v>
      </c>
      <c r="B67" s="204" t="s">
        <v>2240</v>
      </c>
      <c r="C67" s="207">
        <f ca="1">C63-C66</f>
        <v>130963</v>
      </c>
      <c r="D67" s="200" t="s">
        <v>32</v>
      </c>
      <c r="E67" s="201"/>
      <c r="F67" s="2482"/>
      <c r="G67" s="2482"/>
      <c r="H67" s="2490"/>
      <c r="I67" s="138"/>
      <c r="J67" s="3115"/>
      <c r="K67" s="2492" t="s">
        <v>2241</v>
      </c>
      <c r="L67" s="1748">
        <f ca="1">IF(M49&gt;=10000,(8.25+(M49-10000)*0.01%),IF(AND(M49&gt;=8000,M49&lt;10000),(7.85+(M49-8000)*0.02%),IF(AND(M49&gt;=5000,M49&lt;8000),(6.65+(M49-5000)*0.04%),IF(AND(M49&gt;=2000,M49&lt;5000),(4.25+(PM49-2000)*0.08%),IF(AND(M49&gt;=1000,M49&lt;2000),(2.75+(M49-1000)*0.15%),IF(AND(M49&gt;=100,M49&lt;1000),(0.5+(M49-100)*0.25%),IF(AND(M49&gt;0,M49&lt;100),M49*0.5%)))))))</f>
        <v>21.001100000000001</v>
      </c>
      <c r="M67" s="24">
        <f ca="1">ROUND(L67*0.9,1)</f>
        <v>18.899999999999999</v>
      </c>
      <c r="Z67" s="2416"/>
      <c r="AI67" s="2417"/>
    </row>
    <row r="68" spans="1:35" ht="14.25" hidden="1" customHeight="1" thickBot="1">
      <c r="A68" s="208" t="s">
        <v>774</v>
      </c>
      <c r="B68" s="209" t="s">
        <v>2242</v>
      </c>
      <c r="C68" s="210">
        <f ca="1">IF(C67&lt;=0,0,ROUND(C67*D68,0))</f>
        <v>7334</v>
      </c>
      <c r="D68" s="211">
        <f>'数据-取费表'!B41</f>
        <v>5.6000000000000001E-2</v>
      </c>
      <c r="E68" s="212"/>
      <c r="F68" s="2482"/>
      <c r="G68" s="2482"/>
      <c r="H68" s="2490"/>
      <c r="I68" s="138"/>
      <c r="J68" s="3115"/>
      <c r="K68" s="2492" t="s">
        <v>2243</v>
      </c>
      <c r="L68" s="1748">
        <f ca="1">IF(M49&gt;10000,M49*0.5%,IF(AND(M49&gt;5000,M49&lt;=10000),M49*1%,IF(AND(M49&gt;1000,M49&lt;=5000),M49*2%,IF(AND(M49&gt;200,M49&lt;=1000),M49*3%,M49*5%))))</f>
        <v>687.55500000000006</v>
      </c>
      <c r="M68" s="24">
        <f ca="1">ROUND(L68,1)</f>
        <v>687.6</v>
      </c>
      <c r="Z68" s="2416"/>
      <c r="AI68" s="2417"/>
    </row>
    <row r="69" spans="1:35" s="2439" customFormat="1" ht="16.5" hidden="1" customHeight="1">
      <c r="A69" s="2493"/>
      <c r="B69" s="2494"/>
      <c r="C69" s="2495"/>
      <c r="D69" s="2496"/>
      <c r="E69" s="2497"/>
      <c r="F69" s="2162"/>
      <c r="G69" s="2162"/>
      <c r="H69" s="2161"/>
      <c r="I69" s="2411"/>
      <c r="J69" s="3115"/>
      <c r="K69" s="2492" t="s">
        <v>2244</v>
      </c>
      <c r="L69" s="2498"/>
      <c r="M69" s="24">
        <f ca="1">ROUND(SUM(M63:M68),0)</f>
        <v>2220</v>
      </c>
      <c r="N69" s="1749">
        <f ca="1">M69/M49</f>
        <v>1.6144163012413552E-2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9" t="s">
        <v>2245</v>
      </c>
      <c r="B70" s="3160"/>
      <c r="C70" s="3160"/>
      <c r="D70" s="3160"/>
      <c r="E70" s="3160"/>
      <c r="F70" s="3160"/>
      <c r="G70" s="3160"/>
      <c r="H70" s="316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0" t="s">
        <v>2226</v>
      </c>
      <c r="B71" s="3151"/>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130963</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786</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56" t="s">
        <v>2254</v>
      </c>
      <c r="F76" s="3155"/>
      <c r="G76" s="3155"/>
      <c r="H76" s="315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786</v>
      </c>
      <c r="D78" s="226">
        <f>'数据-取费表'!B43</f>
        <v>6.000000000000001E-3</v>
      </c>
      <c r="E78" s="3147" t="s">
        <v>2259</v>
      </c>
      <c r="F78" s="3148"/>
      <c r="G78" s="3148"/>
      <c r="H78" s="314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130177</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165.61959287531806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77831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9" t="s">
        <v>2263</v>
      </c>
      <c r="B83" s="3160"/>
      <c r="C83" s="3160"/>
      <c r="D83" s="3160"/>
      <c r="E83" s="3160"/>
      <c r="F83" s="3160"/>
      <c r="G83" s="3160"/>
      <c r="H83" s="316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0" t="s">
        <v>2226</v>
      </c>
      <c r="B84" s="3151"/>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130963</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786</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47" t="s">
        <v>2272</v>
      </c>
      <c r="F91" s="3148"/>
      <c r="G91" s="314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47" t="s">
        <v>2276</v>
      </c>
      <c r="F92" s="3148"/>
      <c r="G92" s="3148"/>
      <c r="H92" s="314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786</v>
      </c>
      <c r="D93" s="226">
        <f>'数据-取费表'!B43</f>
        <v>6.000000000000001E-3</v>
      </c>
      <c r="E93" s="3147" t="s">
        <v>2259</v>
      </c>
      <c r="F93" s="3148"/>
      <c r="G93" s="3148"/>
      <c r="H93" s="314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95" t="s">
        <v>2280</v>
      </c>
      <c r="F94" s="3196"/>
      <c r="G94" s="3196"/>
      <c r="H94" s="319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130177</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165.61959287531806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77831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099" t="s">
        <v>2282</v>
      </c>
      <c r="B100" s="3100"/>
      <c r="C100" s="3100"/>
      <c r="D100" s="3131"/>
      <c r="E100" s="3100" t="s">
        <v>2283</v>
      </c>
      <c r="F100" s="3100"/>
      <c r="G100" s="3100"/>
      <c r="H100" s="3131"/>
      <c r="I100" s="138"/>
    </row>
    <row r="101" spans="1:35" ht="18.75" customHeight="1">
      <c r="A101" s="3139" t="s">
        <v>2284</v>
      </c>
      <c r="B101" s="3140"/>
      <c r="C101" s="735" t="str">
        <f>C4</f>
        <v>成本法</v>
      </c>
      <c r="D101" s="736" t="str">
        <f>D4</f>
        <v>假设开发法</v>
      </c>
      <c r="E101" s="3111" t="s">
        <v>2285</v>
      </c>
      <c r="F101" s="3112"/>
      <c r="G101" s="2513" t="s">
        <v>2286</v>
      </c>
      <c r="H101" s="1046">
        <f ca="1">H118</f>
        <v>137511</v>
      </c>
      <c r="I101" s="138"/>
    </row>
    <row r="102" spans="1:35" ht="18.75" customHeight="1">
      <c r="A102" s="3141" t="s">
        <v>2287</v>
      </c>
      <c r="B102" s="2513" t="s">
        <v>2286</v>
      </c>
      <c r="C102" s="735">
        <f ca="1">C19</f>
        <v>168493</v>
      </c>
      <c r="D102" s="736">
        <f ca="1">D19</f>
        <v>99643</v>
      </c>
      <c r="E102" s="3111"/>
      <c r="F102" s="3112"/>
      <c r="G102" s="2513" t="s">
        <v>2288</v>
      </c>
      <c r="H102" s="371">
        <f ca="1">I118</f>
        <v>27594</v>
      </c>
      <c r="I102" s="138"/>
    </row>
    <row r="103" spans="1:35" ht="42.75" customHeight="1">
      <c r="A103" s="3141"/>
      <c r="B103" s="2513" t="s">
        <v>2288</v>
      </c>
      <c r="C103" s="737">
        <f ca="1">C20</f>
        <v>48597</v>
      </c>
      <c r="D103" s="738">
        <f ca="1">D20</f>
        <v>28739</v>
      </c>
      <c r="E103" s="3105" t="s">
        <v>2289</v>
      </c>
      <c r="F103" s="3106"/>
      <c r="G103" s="2514" t="s">
        <v>2290</v>
      </c>
      <c r="H103" s="1046">
        <f>IF(D36="正常操作",H104+H105+H106,H105+H106)</f>
        <v>0</v>
      </c>
      <c r="I103" s="138"/>
    </row>
    <row r="104" spans="1:35" ht="18.75" customHeight="1">
      <c r="A104" s="3141" t="s">
        <v>2291</v>
      </c>
      <c r="B104" s="2515" t="s">
        <v>2286</v>
      </c>
      <c r="C104" s="739">
        <f ca="1">H118</f>
        <v>137511</v>
      </c>
      <c r="D104" s="740"/>
      <c r="E104" s="2262" t="s">
        <v>2292</v>
      </c>
      <c r="F104" s="2253"/>
      <c r="G104" s="2514" t="s">
        <v>2290</v>
      </c>
      <c r="H104" s="1047">
        <f>IF(D36="同一抵押权人同一抵押物续贷",C36&amp;"（未扣减，详见特别提示）",C36)</f>
        <v>0</v>
      </c>
      <c r="I104" s="138"/>
    </row>
    <row r="105" spans="1:35" ht="18.75" customHeight="1" thickBot="1">
      <c r="A105" s="3153"/>
      <c r="B105" s="2516" t="s">
        <v>2288</v>
      </c>
      <c r="C105" s="741">
        <f ca="1">I118</f>
        <v>27594</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42" t="str">
        <f>IF(项目基本情况!E8="已注销","——","3.房地产抵押价值")</f>
        <v>3.房地产抵押价值</v>
      </c>
      <c r="F107" s="3112"/>
      <c r="G107" s="2513" t="s">
        <v>2286</v>
      </c>
      <c r="H107" s="1046">
        <f ca="1">IF(E107="——","——",H101-H103)</f>
        <v>137511</v>
      </c>
      <c r="I107" s="138"/>
    </row>
    <row r="108" spans="1:35" ht="18.75" customHeight="1" thickBot="1">
      <c r="A108" s="138"/>
      <c r="B108" s="138"/>
      <c r="C108" s="138"/>
      <c r="D108" s="138"/>
      <c r="E108" s="3142"/>
      <c r="F108" s="3112"/>
      <c r="G108" s="2513" t="s">
        <v>2288</v>
      </c>
      <c r="H108" s="371">
        <f ca="1">ROUND(H107*10000/'数据-汇总表'!E3,0)</f>
        <v>27594</v>
      </c>
      <c r="I108" s="138"/>
    </row>
    <row r="109" spans="1:35" ht="18.75" hidden="1"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13" t="s">
        <v>2286</v>
      </c>
      <c r="H109" s="348" t="str">
        <f>IF(E109="——","——",H101-H105-H106)</f>
        <v>——</v>
      </c>
      <c r="I109" s="138"/>
    </row>
    <row r="110" spans="1:35" ht="18.75" hidden="1" customHeight="1">
      <c r="A110" s="138"/>
      <c r="B110" s="138"/>
      <c r="C110" s="138"/>
      <c r="D110" s="138"/>
      <c r="E110" s="3142"/>
      <c r="F110" s="3112"/>
      <c r="G110" s="2513" t="s">
        <v>2288</v>
      </c>
      <c r="H110" s="371" t="str">
        <f>IF(H109="——","——",ROUND(H109*10000/'数据-汇总表'!E3,0))</f>
        <v>——</v>
      </c>
      <c r="I110" s="138"/>
    </row>
    <row r="111" spans="1:35" ht="18.75" hidden="1" customHeight="1">
      <c r="A111" s="138"/>
      <c r="B111" s="138"/>
      <c r="C111" s="138"/>
      <c r="D111" s="138"/>
      <c r="E111" s="3143" t="str">
        <f>IF(项目基本情况!E9="抵押净值",IF(OR(项目基本情况!E8="已注销",项目基本情况!E8="房地产抵押价值"),"4.抵押净值","5.抵押净值"),"——")</f>
        <v>——</v>
      </c>
      <c r="F111" s="3144"/>
      <c r="G111" s="2513" t="s">
        <v>2286</v>
      </c>
      <c r="H111" s="1046" t="str">
        <f>IF(E111="——","——",N59)</f>
        <v>——</v>
      </c>
      <c r="I111" s="138"/>
    </row>
    <row r="112" spans="1:35" ht="18.75" hidden="1" customHeight="1" thickBot="1">
      <c r="A112" s="138"/>
      <c r="B112" s="138"/>
      <c r="C112" s="138"/>
      <c r="D112" s="138"/>
      <c r="E112" s="3145"/>
      <c r="F112" s="3146"/>
      <c r="G112" s="2518" t="s">
        <v>2288</v>
      </c>
      <c r="H112" s="789" t="str">
        <f>IF(E111="——","——",N61)</f>
        <v>——</v>
      </c>
      <c r="I112" s="138"/>
    </row>
    <row r="113" spans="1:11" ht="18.75" customHeight="1">
      <c r="A113" s="138"/>
      <c r="B113" s="138"/>
      <c r="C113" s="138"/>
      <c r="D113" s="138"/>
      <c r="E113" s="3154" t="s">
        <v>2294</v>
      </c>
      <c r="F113" s="3154"/>
      <c r="G113" s="3154"/>
      <c r="H113" s="3154"/>
      <c r="I113" s="138"/>
    </row>
    <row r="114" spans="1:11" ht="3.75" customHeight="1">
      <c r="A114" s="2411"/>
      <c r="B114" s="2411"/>
      <c r="C114" s="2411"/>
      <c r="D114" s="2411"/>
      <c r="E114" s="2489"/>
      <c r="F114" s="2489"/>
      <c r="G114" s="2489"/>
      <c r="H114" s="2489"/>
      <c r="I114" s="2411"/>
    </row>
    <row r="115" spans="1:11" ht="18.75" customHeight="1">
      <c r="A115" s="3167" t="s">
        <v>2296</v>
      </c>
      <c r="B115" s="3168"/>
      <c r="C115" s="3168"/>
      <c r="D115" s="3168"/>
      <c r="E115" s="3168"/>
      <c r="F115" s="3168"/>
      <c r="G115" s="3168"/>
      <c r="H115" s="3168"/>
      <c r="I115" s="3169"/>
    </row>
    <row r="116" spans="1:11" ht="27" customHeight="1">
      <c r="A116" s="3078" t="s">
        <v>2297</v>
      </c>
      <c r="B116" s="3121" t="s">
        <v>2298</v>
      </c>
      <c r="C116" s="3121" t="s">
        <v>2299</v>
      </c>
      <c r="D116" s="3127" t="s">
        <v>2300</v>
      </c>
      <c r="E116" s="3128"/>
      <c r="F116" s="3163" t="s">
        <v>2301</v>
      </c>
      <c r="G116" s="3163"/>
      <c r="H116" s="3078" t="s">
        <v>2302</v>
      </c>
      <c r="I116" s="3078"/>
    </row>
    <row r="117" spans="1:11" ht="18.75" customHeight="1">
      <c r="A117" s="3078"/>
      <c r="B117" s="3122"/>
      <c r="C117" s="3122"/>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14638.63</v>
      </c>
      <c r="D118" s="1793">
        <f ca="1">ROUND(IF(D32="总价",C34,E118*B118/10000),0)</f>
        <v>127610</v>
      </c>
      <c r="E118" s="1793">
        <f ca="1">ROUND(IF(C33="自定义",IF(D32="楼面单价",C34,D118*10000/B118),I118-G118),0)</f>
        <v>25607</v>
      </c>
      <c r="F118" s="1793">
        <f ca="1">ROUND(IF(D32="总价",C35,G118*B118/10000),0)</f>
        <v>9901</v>
      </c>
      <c r="G118" s="1793">
        <f ca="1">ROUND(IF(D32="楼面单价",C35,F118*10000/B118),0)</f>
        <v>1987</v>
      </c>
      <c r="H118" s="1793">
        <f ca="1">ROUND(IF(D32="总价",C32,I118*B118/10000),0)</f>
        <v>137511</v>
      </c>
      <c r="I118" s="1793">
        <f ca="1">ROUND(IF(D32="楼面单价",C32,H118*10000/B118),0)</f>
        <v>27594</v>
      </c>
    </row>
    <row r="119" spans="1:11" ht="18.75" customHeight="1">
      <c r="A119" s="3078" t="s">
        <v>2306</v>
      </c>
      <c r="B119" s="3078"/>
      <c r="C119" s="3078"/>
      <c r="D119" s="3123" t="str">
        <f ca="1">NUMBERSTRING(INT(D118*10000),2)&amp;"元整"</f>
        <v>壹拾贰亿柒仟陆佰壹拾万元整</v>
      </c>
      <c r="E119" s="3124"/>
      <c r="F119" s="3123" t="str">
        <f ca="1">NUMBERSTRING(INT(F118*10000),2)&amp;"元整"</f>
        <v>玖仟玖佰零壹万元整</v>
      </c>
      <c r="G119" s="3124"/>
      <c r="H119" s="3123" t="str">
        <f ca="1">NUMBERSTRING(INT(H118*10000),2)&amp;"元整"</f>
        <v>壹拾叁亿柒仟伍佰壹拾壹万元整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16" t="str">
        <f>IF(D120=0,"故，本次评估不存在"&amp;A120,"故，本次评估"&amp;A120&amp;"为人民币"&amp;D120&amp;"万元整。")</f>
        <v>故，本次评估不存在估价师知悉的法定优先受偿款</v>
      </c>
    </row>
    <row r="121" spans="1:11" ht="18.75" customHeight="1">
      <c r="A121" s="3164" t="s">
        <v>2306</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137511</v>
      </c>
      <c r="E122" s="3119"/>
      <c r="F122" s="3119"/>
      <c r="G122" s="3119"/>
      <c r="H122" s="3119"/>
      <c r="I122" s="3120"/>
    </row>
    <row r="123" spans="1:11" ht="18.75" customHeight="1">
      <c r="A123" s="3078" t="s">
        <v>2306</v>
      </c>
      <c r="B123" s="3078"/>
      <c r="C123" s="3078"/>
      <c r="D123" s="3123" t="str">
        <f ca="1">NUMBERSTRING(INT(D122*10000),2)&amp;"元整"</f>
        <v>壹拾叁亿柒仟伍佰壹拾壹万元整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8" t="s">
        <v>2306</v>
      </c>
      <c r="B125" s="3078"/>
      <c r="C125" s="3078"/>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8" t="s">
        <v>2306</v>
      </c>
      <c r="B127" s="3078"/>
      <c r="C127" s="3078"/>
      <c r="D127" s="3123" t="e">
        <f>NUMBERSTRING(INT(D126*10000),2)&amp;"元整"</f>
        <v>#VALUE!</v>
      </c>
      <c r="E127" s="3125"/>
      <c r="F127" s="3125"/>
      <c r="G127" s="3125"/>
      <c r="H127" s="3125"/>
      <c r="I127" s="3124"/>
    </row>
    <row r="128" spans="1:11" ht="21.75" customHeight="1">
      <c r="A128" s="3126" t="s">
        <v>2307</v>
      </c>
      <c r="B128" s="3126"/>
      <c r="C128" s="3126"/>
      <c r="D128" s="3126"/>
      <c r="E128" s="3126"/>
      <c r="F128" s="3126"/>
      <c r="G128" s="3126"/>
      <c r="H128" s="3126"/>
      <c r="I128" s="3126"/>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18058</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3624</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3623926</v>
      </c>
      <c r="D27" s="279">
        <f ca="1">C29</f>
        <v>1.8E-3</v>
      </c>
      <c r="E27" s="280" t="s">
        <v>2368</v>
      </c>
      <c r="F27" s="290">
        <f ca="1">IF(B1="",'数据-取费表'!Q16,INDIRECT("'数据-取费表'!q"&amp;$G$1))</f>
        <v>0.18</v>
      </c>
      <c r="G27" s="291" t="s">
        <v>2369</v>
      </c>
    </row>
    <row r="28" spans="1:7" s="258" customFormat="1" ht="13.5" customHeight="1">
      <c r="A28" s="953" t="s">
        <v>791</v>
      </c>
      <c r="B28" s="292" t="s">
        <v>2370</v>
      </c>
      <c r="C28" s="293">
        <f ca="1">ROUND((C5+C19+C20)*F27,0)</f>
        <v>3623926</v>
      </c>
      <c r="D28" s="279"/>
      <c r="E28" s="280"/>
      <c r="F28" s="290"/>
      <c r="G28" s="291"/>
    </row>
    <row r="29" spans="1:7" s="258" customFormat="1" ht="13.5" customHeight="1">
      <c r="A29" s="953" t="s">
        <v>792</v>
      </c>
      <c r="B29" s="292" t="s">
        <v>2371</v>
      </c>
      <c r="C29" s="282">
        <f ca="1">ROUND(C21*F27,4)</f>
        <v>1.8E-3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27509610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115363506</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98964050</v>
      </c>
      <c r="D34" s="261"/>
      <c r="E34" s="264"/>
      <c r="F34" s="301"/>
      <c r="G34" s="263"/>
    </row>
    <row r="35" spans="1:7" ht="13.5" customHeight="1">
      <c r="A35" s="953" t="s">
        <v>796</v>
      </c>
      <c r="B35" s="259" t="s">
        <v>2381</v>
      </c>
      <c r="C35" s="264">
        <f ca="1">ROUND(C34*F35,0)</f>
        <v>4948203</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1484461</v>
      </c>
      <c r="D38" s="264"/>
      <c r="E38" s="264"/>
      <c r="F38" s="303">
        <f>'数据-取费表'!B36</f>
        <v>1.4999999999999999E-2</v>
      </c>
      <c r="G38" s="263" t="s">
        <v>2382</v>
      </c>
    </row>
    <row r="39" spans="1:7" s="258" customFormat="1" ht="13.5" customHeight="1">
      <c r="A39" s="299" t="s">
        <v>2388</v>
      </c>
      <c r="B39" s="254" t="s">
        <v>2389</v>
      </c>
      <c r="C39" s="276">
        <f ca="1">ROUND(C33*F20,0)</f>
        <v>1153635</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5534565</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5479767</v>
      </c>
      <c r="D42" s="282"/>
      <c r="E42" s="282"/>
      <c r="F42" s="283"/>
      <c r="G42" s="3198" t="s">
        <v>2445</v>
      </c>
    </row>
    <row r="43" spans="1:7" ht="13.5" customHeight="1">
      <c r="A43" s="953" t="s">
        <v>792</v>
      </c>
      <c r="B43" s="259" t="s">
        <v>2399</v>
      </c>
      <c r="C43" s="282">
        <f ca="1">ROUND(IF('数据-取费表'!B22&lt;=1,C39*F22*'数据-取费表'!B20/2,C39*(POWER((1+F22),'数据-取费表'!B20/2)-1)),0)</f>
        <v>54798</v>
      </c>
      <c r="D43" s="282"/>
      <c r="E43" s="282"/>
      <c r="F43" s="283"/>
      <c r="G43" s="3199"/>
    </row>
    <row r="44" spans="1:7" ht="13.5" customHeight="1">
      <c r="A44" s="953" t="s">
        <v>793</v>
      </c>
      <c r="B44" s="259" t="s">
        <v>2400</v>
      </c>
      <c r="C44" s="282">
        <f ca="1">ROUND(IF('数据-取费表'!B22&lt;=1,C40*F22*'数据-取费表'!B20/2,C40*(POWER((1+F22),'数据-取费表'!B20/2)-1)),4)</f>
        <v>5.0000000000000001E-4</v>
      </c>
      <c r="D44" s="282"/>
      <c r="E44" s="282"/>
      <c r="F44" s="283"/>
      <c r="G44" s="3200"/>
    </row>
    <row r="45" spans="1:7" s="258" customFormat="1" ht="13.5" customHeight="1">
      <c r="A45" s="299" t="s">
        <v>2401</v>
      </c>
      <c r="B45" s="288" t="s">
        <v>2367</v>
      </c>
      <c r="C45" s="289">
        <f ca="1">C46</f>
        <v>20973085</v>
      </c>
      <c r="D45" s="279">
        <f ca="1">C47</f>
        <v>1.8E-3</v>
      </c>
      <c r="E45" s="280" t="s">
        <v>2393</v>
      </c>
      <c r="F45" s="290"/>
      <c r="G45" s="291" t="s">
        <v>2402</v>
      </c>
    </row>
    <row r="46" spans="1:7" s="258" customFormat="1" ht="13.5" customHeight="1">
      <c r="A46" s="953" t="s">
        <v>791</v>
      </c>
      <c r="B46" s="292" t="s">
        <v>2403</v>
      </c>
      <c r="C46" s="293">
        <f ca="1">ROUND((C33+C39)*F27,0)</f>
        <v>20973085</v>
      </c>
      <c r="D46" s="307"/>
      <c r="E46" s="280"/>
      <c r="F46" s="290"/>
      <c r="G46" s="291"/>
    </row>
    <row r="47" spans="1:7" s="258" customFormat="1" ht="13.5" customHeight="1">
      <c r="A47" s="953" t="s">
        <v>792</v>
      </c>
      <c r="B47" s="292" t="s">
        <v>2404</v>
      </c>
      <c r="C47" s="282">
        <f ca="1">ROUND(C40*F27,4)</f>
        <v>1.8E-3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153065915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153065915</v>
      </c>
      <c r="D51" s="276"/>
      <c r="E51" s="276"/>
      <c r="F51" s="308"/>
      <c r="G51" s="278" t="s">
        <v>2414</v>
      </c>
    </row>
    <row r="52" spans="1:7" s="252" customFormat="1" ht="16.5" thickBot="1">
      <c r="A52" s="309" t="s">
        <v>2415</v>
      </c>
      <c r="B52" s="310"/>
      <c r="C52" s="311">
        <f ca="1">C31+C51</f>
        <v>180575525</v>
      </c>
      <c r="D52" s="310"/>
      <c r="E52" s="310"/>
      <c r="F52" s="310"/>
      <c r="G52" s="312"/>
    </row>
    <row r="55" spans="1:7" ht="15">
      <c r="B55" s="314" t="s">
        <v>2416</v>
      </c>
      <c r="C55" s="315"/>
    </row>
    <row r="56" spans="1:7">
      <c r="B56" s="317" t="s">
        <v>1514</v>
      </c>
      <c r="C56" s="319">
        <f ca="1">1-C57</f>
        <v>0.15200000000000002</v>
      </c>
    </row>
    <row r="57" spans="1:7">
      <c r="B57" s="317" t="s">
        <v>1515</v>
      </c>
      <c r="C57" s="318">
        <f ca="1">ROUND(C51/C52,3)</f>
        <v>0.84799999999999998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2" t="str">
        <f>项目基本情况!B1</f>
        <v>北京市丰台区马家堡东路168号院7号酒店用房房地产出让国有建设用地使用权及在建建筑物房地产抵押价值预评估</v>
      </c>
      <c r="C37" s="3012"/>
      <c r="D37" s="3012"/>
      <c r="E37" s="3012"/>
      <c r="F37" s="3012"/>
      <c r="G37" s="3012"/>
      <c r="H37" s="3012"/>
      <c r="I37" s="3012"/>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8" sqref="I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t="s">
        <v>3131</v>
      </c>
      <c r="C1" s="242"/>
      <c r="D1" s="242"/>
      <c r="E1" s="242"/>
      <c r="F1" s="242"/>
      <c r="G1" s="1379">
        <f>MATCH(B1,'数据-取费表'!A6:A16,0)+5</f>
        <v>6</v>
      </c>
    </row>
    <row r="2" spans="1:9" s="244" customFormat="1" ht="18" customHeight="1">
      <c r="A2" s="245" t="s">
        <v>2316</v>
      </c>
      <c r="B2" s="246">
        <f ca="1">IF(D2="——",C52,C52-E2)</f>
        <v>168493</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48597</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112831</v>
      </c>
      <c r="D5" s="255" t="s">
        <v>2323</v>
      </c>
      <c r="E5" s="256" t="s">
        <v>2324</v>
      </c>
      <c r="F5" s="256" t="s">
        <v>2325</v>
      </c>
      <c r="G5" s="257"/>
    </row>
    <row r="6" spans="1:9" s="258" customFormat="1" ht="13.5" customHeight="1">
      <c r="A6" s="951" t="s">
        <v>2326</v>
      </c>
      <c r="B6" s="259" t="s">
        <v>2327</v>
      </c>
      <c r="C6" s="260">
        <f>'土地比较法-住宅、综合'!B2</f>
        <v>108709</v>
      </c>
      <c r="D6" s="261"/>
      <c r="E6" s="262"/>
      <c r="F6" s="262"/>
      <c r="G6" s="263"/>
    </row>
    <row r="7" spans="1:9" s="258" customFormat="1" ht="13.5" customHeight="1">
      <c r="A7" s="951" t="s">
        <v>2328</v>
      </c>
      <c r="B7" s="259" t="s">
        <v>2329</v>
      </c>
      <c r="C7" s="264">
        <f>ROUND(C6*F7,0)</f>
        <v>3316</v>
      </c>
      <c r="D7" s="264"/>
      <c r="E7" s="262"/>
      <c r="F7" s="265">
        <f>'数据-取费表'!B48+'数据-取费表'!B49</f>
        <v>3.0499999999999999E-2</v>
      </c>
      <c r="G7" s="263"/>
    </row>
    <row r="8" spans="1:9" s="267" customFormat="1">
      <c r="A8" s="951" t="s">
        <v>2330</v>
      </c>
      <c r="B8" s="259" t="s">
        <v>2331</v>
      </c>
      <c r="C8" s="264">
        <f ca="1">IF(G8="已包含在土地购买价格中","0",IF(B1="",'数据-取费表'!B29,IF(G9="全部缴纳",C9+C10,H9)))</f>
        <v>806</v>
      </c>
      <c r="D8" s="266"/>
      <c r="E8" s="264"/>
      <c r="F8" s="265"/>
      <c r="G8" s="2545" t="s">
        <v>3240</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3145</v>
      </c>
      <c r="H9" s="1390"/>
      <c r="I9" s="2547" t="s">
        <v>2333</v>
      </c>
    </row>
    <row r="10" spans="1:9" s="258" customFormat="1" ht="13.5" customHeight="1">
      <c r="A10" s="952" t="s">
        <v>801</v>
      </c>
      <c r="B10" s="268" t="s">
        <v>2334</v>
      </c>
      <c r="C10" s="269">
        <f ca="1">ROUND(D10*E10/10000,0)</f>
        <v>806</v>
      </c>
      <c r="D10" s="1034">
        <f ca="1">IF(B1="",'数据-汇总表'!E6,IF(INDIRECT("'数据-取费表'!c"&amp;$G$1)="住宅",INDIRECT("'数据-取费表'!s"&amp;$G$1),INDIRECT("'数据-取费表'!k"&amp;$G$1)+INDIRECT("'数据-取费表'!s"&amp;$G$1)))</f>
        <v>40311.689999999995</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40311.689999999995</v>
      </c>
      <c r="E19" s="255">
        <f>'数据-取费表'!B31</f>
        <v>200</v>
      </c>
      <c r="F19" s="275"/>
      <c r="G19" s="2545" t="s">
        <v>3146</v>
      </c>
    </row>
    <row r="20" spans="1:7" s="258" customFormat="1" ht="13.5" customHeight="1">
      <c r="A20" s="299" t="s">
        <v>2347</v>
      </c>
      <c r="B20" s="254" t="s">
        <v>2348</v>
      </c>
      <c r="C20" s="276">
        <f ca="1">ROUND((C5+C19)*F20,0)</f>
        <v>1128</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10451</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10400</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51</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21652</v>
      </c>
      <c r="D27" s="279">
        <f ca="1">C29</f>
        <v>1.9E-3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21652</v>
      </c>
      <c r="D28" s="279"/>
      <c r="E28" s="280"/>
      <c r="F28" s="290"/>
      <c r="G28" s="291"/>
    </row>
    <row r="29" spans="1:7" s="258" customFormat="1" ht="13.5" customHeight="1">
      <c r="A29" s="953" t="s">
        <v>792</v>
      </c>
      <c r="B29" s="292" t="s">
        <v>2371</v>
      </c>
      <c r="C29" s="282">
        <f ca="1">ROUND(C21*F27*'数据-取费表'!B21/'数据-取费表'!B20,4)</f>
        <v>1.9E-3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156333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9034</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7801</v>
      </c>
      <c r="D34" s="261"/>
      <c r="E34" s="264"/>
      <c r="F34" s="301">
        <f ca="1">IF('数据-取费表'!B24=0,1,IF(B1="",'数据-取费表'!N16,INDIRECT("'数据-取费表'!n"&amp;$G$1)))</f>
        <v>0.9</v>
      </c>
      <c r="G34" s="263" t="s">
        <v>2380</v>
      </c>
    </row>
    <row r="35" spans="1:7" ht="13.5" customHeight="1">
      <c r="A35" s="953" t="s">
        <v>796</v>
      </c>
      <c r="B35" s="259" t="s">
        <v>2381</v>
      </c>
      <c r="C35" s="264">
        <f ca="1">ROUND(C34*F35,0)</f>
        <v>390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726</v>
      </c>
      <c r="D37" s="261">
        <f ca="1">D19</f>
        <v>40311.689999999995</v>
      </c>
      <c r="E37" s="293">
        <f>'数据-取费表'!B35</f>
        <v>200</v>
      </c>
      <c r="F37" s="303"/>
      <c r="G37" s="305" t="s">
        <v>2386</v>
      </c>
    </row>
    <row r="38" spans="1:7" ht="13.5" customHeight="1">
      <c r="A38" s="953" t="s">
        <v>799</v>
      </c>
      <c r="B38" s="259" t="s">
        <v>2387</v>
      </c>
      <c r="C38" s="264">
        <f ca="1">ROUND(C34*F38,0)</f>
        <v>117</v>
      </c>
      <c r="D38" s="264"/>
      <c r="E38" s="264"/>
      <c r="F38" s="303">
        <f>'数据-取费表'!B36</f>
        <v>1.4999999999999999E-2</v>
      </c>
      <c r="G38" s="263" t="s">
        <v>2382</v>
      </c>
    </row>
    <row r="39" spans="1:7" s="258" customFormat="1" ht="13.5" customHeight="1">
      <c r="A39" s="299" t="s">
        <v>2388</v>
      </c>
      <c r="B39" s="254" t="s">
        <v>2389</v>
      </c>
      <c r="C39" s="276">
        <f ca="1">ROUND(C33*F20,0)</f>
        <v>90</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411</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407</v>
      </c>
      <c r="D42" s="282"/>
      <c r="E42" s="282"/>
      <c r="F42" s="283"/>
      <c r="G42" s="3198" t="s">
        <v>2398</v>
      </c>
    </row>
    <row r="43" spans="1:7" ht="13.5" customHeight="1">
      <c r="A43" s="953" t="s">
        <v>792</v>
      </c>
      <c r="B43" s="259" t="s">
        <v>2399</v>
      </c>
      <c r="C43" s="282">
        <f ca="1">ROUND(IF('数据-取费表'!B22&lt;=1,C39*F22*'数据-取费表'!B21/2,C39*(POWER((1+F22),'数据-取费表'!B21/2)-1)),0)</f>
        <v>4</v>
      </c>
      <c r="D43" s="282"/>
      <c r="E43" s="282"/>
      <c r="F43" s="283"/>
      <c r="G43" s="3199"/>
    </row>
    <row r="44" spans="1:7" ht="13.5" customHeight="1">
      <c r="A44" s="953" t="s">
        <v>793</v>
      </c>
      <c r="B44" s="259" t="s">
        <v>2400</v>
      </c>
      <c r="C44" s="282">
        <f ca="1">ROUND(IF('数据-取费表'!B22&lt;=1,C40*F22*'数据-取费表'!B21/2,C40*(POWER((1+F22),'数据-取费表'!B21/2)-1)),4)</f>
        <v>5.0000000000000001E-4</v>
      </c>
      <c r="D44" s="282"/>
      <c r="E44" s="282"/>
      <c r="F44" s="283"/>
      <c r="G44" s="3200"/>
    </row>
    <row r="45" spans="1:7" s="258" customFormat="1" ht="13.5" customHeight="1">
      <c r="A45" s="299" t="s">
        <v>2401</v>
      </c>
      <c r="B45" s="288" t="s">
        <v>2367</v>
      </c>
      <c r="C45" s="289">
        <f ca="1">C46</f>
        <v>1825</v>
      </c>
      <c r="D45" s="279">
        <f ca="1">C47</f>
        <v>2E-3</v>
      </c>
      <c r="E45" s="280" t="s">
        <v>2393</v>
      </c>
      <c r="F45" s="290"/>
      <c r="G45" s="291" t="s">
        <v>2402</v>
      </c>
    </row>
    <row r="46" spans="1:7" s="258" customFormat="1" ht="13.5" customHeight="1">
      <c r="A46" s="953" t="s">
        <v>791</v>
      </c>
      <c r="B46" s="292" t="s">
        <v>2403</v>
      </c>
      <c r="C46" s="293">
        <f ca="1">ROUND((C33+C39)*F27,0)</f>
        <v>1825</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12160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12160</v>
      </c>
      <c r="D51" s="276"/>
      <c r="E51" s="276"/>
      <c r="F51" s="308"/>
      <c r="G51" s="278" t="s">
        <v>2414</v>
      </c>
    </row>
    <row r="52" spans="1:7" s="252" customFormat="1" ht="16.5" thickBot="1">
      <c r="A52" s="309" t="s">
        <v>2415</v>
      </c>
      <c r="B52" s="310"/>
      <c r="C52" s="311">
        <f ca="1">C31+C51</f>
        <v>168493</v>
      </c>
      <c r="D52" s="310"/>
      <c r="E52" s="310"/>
      <c r="F52" s="310"/>
      <c r="G52" s="312"/>
    </row>
    <row r="55" spans="1:7" ht="15">
      <c r="B55" s="314" t="s">
        <v>2416</v>
      </c>
      <c r="C55" s="315"/>
    </row>
    <row r="56" spans="1:7">
      <c r="B56" s="317" t="s">
        <v>1514</v>
      </c>
      <c r="C56" s="319">
        <f ca="1">1-C57</f>
        <v>0.92800000000000005</v>
      </c>
    </row>
    <row r="57" spans="1:7">
      <c r="B57" s="317" t="s">
        <v>1515</v>
      </c>
      <c r="C57" s="318">
        <f ca="1">ROUND(C51/C52,3)</f>
        <v>7.1999999999999995E-2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2" sqref="M22"/>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108709</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31354</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1"/>
      <c r="Y4" s="3206" t="s">
        <v>2637</v>
      </c>
      <c r="Z4" s="3207"/>
      <c r="AA4" s="3201" t="s">
        <v>2633</v>
      </c>
      <c r="AB4" s="3202" t="s">
        <v>2634</v>
      </c>
      <c r="AC4" s="3201" t="s">
        <v>2635</v>
      </c>
    </row>
    <row r="5" spans="1:30" ht="43.5" customHeight="1">
      <c r="A5" s="404"/>
      <c r="B5" s="405"/>
      <c r="C5" s="3212" t="s">
        <v>2528</v>
      </c>
      <c r="D5" s="3213"/>
      <c r="E5" s="3210" t="str">
        <f>案例!A2</f>
        <v>丰台区丽泽金融商务区南区D-07、D-08地块</v>
      </c>
      <c r="F5" s="3211"/>
      <c r="G5" s="3212" t="str">
        <f>案例!A3</f>
        <v>丰台区花乡四合庄(中关村科技园丰台园东区三期)1516-28-B地块</v>
      </c>
      <c r="H5" s="3213"/>
      <c r="I5" s="3212" t="str">
        <f>案例!A4</f>
        <v>丰台区花乡四合庄(中关村科技园丰台园东区三期)1516-28-A地块</v>
      </c>
      <c r="J5" s="3213"/>
      <c r="K5" s="610"/>
      <c r="L5" s="1130"/>
      <c r="M5" s="1131"/>
      <c r="N5" s="1131"/>
      <c r="O5" s="1131"/>
      <c r="P5" s="3225"/>
      <c r="Q5" s="3226"/>
      <c r="R5" s="3208"/>
      <c r="S5" s="3209"/>
      <c r="T5" s="3208"/>
      <c r="U5" s="3209"/>
      <c r="V5" s="3231"/>
      <c r="W5" s="3231"/>
      <c r="X5" s="1811"/>
      <c r="Y5" s="3208"/>
      <c r="Z5" s="3209"/>
      <c r="AA5" s="3202"/>
      <c r="AB5" s="3202"/>
      <c r="AC5" s="3202"/>
    </row>
    <row r="6" spans="1:30"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1"/>
      <c r="Y6" s="3229"/>
      <c r="Z6" s="3230"/>
      <c r="AA6" s="3203"/>
      <c r="AB6" s="3203"/>
      <c r="AC6" s="3203"/>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2015-10-21</v>
      </c>
      <c r="H7" s="411">
        <f>SUMIF(70:70,YEAR(G7)&amp;"-"&amp;INT((MONTH(G7)+2)/3),71:71)</f>
        <v>91</v>
      </c>
      <c r="I7" s="2691" t="str">
        <f>案例!X4</f>
        <v>2015-10-21</v>
      </c>
      <c r="J7" s="411">
        <f>SUMIF(70:70,YEAR(I7)&amp;"-"&amp;INT((MONTH(I7)+2)/3),71:71)</f>
        <v>91</v>
      </c>
      <c r="K7" s="611"/>
      <c r="L7" s="1132"/>
      <c r="M7" s="1133"/>
      <c r="N7" s="1133"/>
      <c r="O7" s="1133"/>
      <c r="P7" s="3204" t="s">
        <v>2535</v>
      </c>
      <c r="Q7" s="3232"/>
      <c r="R7" s="769" t="s">
        <v>17</v>
      </c>
      <c r="S7" s="770">
        <f t="shared" ref="S7:S15" si="0">F7</f>
        <v>97</v>
      </c>
      <c r="T7" s="769" t="s">
        <v>17</v>
      </c>
      <c r="U7" s="770">
        <f t="shared" ref="U7:U15" si="1">H7</f>
        <v>91</v>
      </c>
      <c r="V7" s="769" t="s">
        <v>17</v>
      </c>
      <c r="W7" s="770">
        <f t="shared" ref="W7:W15" si="2">J7</f>
        <v>91</v>
      </c>
      <c r="X7" s="771"/>
      <c r="Y7" s="3204" t="s">
        <v>2535</v>
      </c>
      <c r="Z7" s="3205"/>
      <c r="AA7" s="772">
        <f>D7/F7</f>
        <v>1.0309278350515463</v>
      </c>
      <c r="AB7" s="772">
        <f>D7/H7</f>
        <v>1.098901098901099</v>
      </c>
      <c r="AC7" s="772">
        <f>D7/J7</f>
        <v>1.098901098901099</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204" t="s">
        <v>2538</v>
      </c>
      <c r="Q8" s="3205"/>
      <c r="R8" s="769" t="s">
        <v>17</v>
      </c>
      <c r="S8" s="770">
        <f t="shared" si="0"/>
        <v>100</v>
      </c>
      <c r="T8" s="769" t="s">
        <v>17</v>
      </c>
      <c r="U8" s="770">
        <f t="shared" si="1"/>
        <v>100</v>
      </c>
      <c r="V8" s="769" t="s">
        <v>17</v>
      </c>
      <c r="W8" s="770">
        <f t="shared" si="2"/>
        <v>100</v>
      </c>
      <c r="X8" s="771"/>
      <c r="Y8" s="3204" t="s">
        <v>2538</v>
      </c>
      <c r="Z8" s="3205"/>
      <c r="AA8" s="772">
        <f t="shared" ref="AA8:AA45" si="3">D8/F8</f>
        <v>1</v>
      </c>
      <c r="AB8" s="772">
        <f t="shared" ref="AB8:AB45" si="4">D8/H8</f>
        <v>1</v>
      </c>
      <c r="AC8" s="772">
        <f t="shared" ref="AC8:AC45" si="5">D8/J8</f>
        <v>1</v>
      </c>
    </row>
    <row r="9" spans="1:30" s="117" customFormat="1">
      <c r="A9" s="415" t="s">
        <v>2539</v>
      </c>
      <c r="B9" s="71" t="s">
        <v>2540</v>
      </c>
      <c r="C9" s="2994" t="s">
        <v>3215</v>
      </c>
      <c r="D9" s="135">
        <v>100</v>
      </c>
      <c r="E9" s="2994" t="s">
        <v>3219</v>
      </c>
      <c r="F9" s="135">
        <f>SUMIF(75:75,E9,76:76)-SUMIF(75:75,C9,76:76)+100</f>
        <v>95</v>
      </c>
      <c r="G9" s="2994" t="s">
        <v>3219</v>
      </c>
      <c r="H9" s="135">
        <f>SUMIF(75:75,G9,76:76)-SUMIF(75:75,C9,76:76)+100</f>
        <v>95</v>
      </c>
      <c r="I9" s="2994" t="s">
        <v>3219</v>
      </c>
      <c r="J9" s="135">
        <f>SUMIF(75:75,I9,76:76)-SUMIF(75:75,C9,76:76)+100</f>
        <v>95</v>
      </c>
      <c r="K9" s="611"/>
      <c r="L9" s="1132"/>
      <c r="M9" s="1133"/>
      <c r="N9" s="1133"/>
      <c r="O9" s="1134"/>
      <c r="P9" s="3218" t="s">
        <v>2541</v>
      </c>
      <c r="Q9" s="1793" t="str">
        <f t="shared" ref="Q9:Q15" si="6">B9</f>
        <v>用途</v>
      </c>
      <c r="R9" s="769" t="s">
        <v>17</v>
      </c>
      <c r="S9" s="770">
        <f t="shared" si="0"/>
        <v>95</v>
      </c>
      <c r="T9" s="769" t="s">
        <v>17</v>
      </c>
      <c r="U9" s="770">
        <f t="shared" si="1"/>
        <v>95</v>
      </c>
      <c r="V9" s="769" t="s">
        <v>17</v>
      </c>
      <c r="W9" s="770">
        <f t="shared" si="2"/>
        <v>95</v>
      </c>
      <c r="X9" s="771"/>
      <c r="Y9" s="3078"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3216</v>
      </c>
      <c r="F10" s="136">
        <f>ROUND(100/'数据-取费表'!G16,0)</f>
        <v>112</v>
      </c>
      <c r="G10" s="465" t="s">
        <v>3216</v>
      </c>
      <c r="H10" s="136">
        <f>ROUND(100/'数据-取费表'!G16,0)</f>
        <v>112</v>
      </c>
      <c r="I10" s="465" t="s">
        <v>3216</v>
      </c>
      <c r="J10" s="136">
        <f>ROUND(100/'数据-取费表'!G16,0)</f>
        <v>112</v>
      </c>
      <c r="K10" s="672"/>
      <c r="L10" s="1135"/>
      <c r="M10" s="1136"/>
      <c r="N10" s="1136"/>
      <c r="O10" s="1137"/>
      <c r="P10" s="3218"/>
      <c r="Q10" s="1793" t="str">
        <f t="shared" si="6"/>
        <v>土地使用年限（年）</v>
      </c>
      <c r="R10" s="769" t="s">
        <v>17</v>
      </c>
      <c r="S10" s="770">
        <f t="shared" si="0"/>
        <v>112</v>
      </c>
      <c r="T10" s="769" t="s">
        <v>17</v>
      </c>
      <c r="U10" s="770">
        <f t="shared" si="1"/>
        <v>112</v>
      </c>
      <c r="V10" s="769" t="s">
        <v>17</v>
      </c>
      <c r="W10" s="770">
        <f t="shared" si="2"/>
        <v>112</v>
      </c>
      <c r="X10" s="771"/>
      <c r="Y10" s="3078"/>
      <c r="Z10" s="55" t="str">
        <f t="shared" si="7"/>
        <v>土地使用年限（年）</v>
      </c>
      <c r="AA10" s="772">
        <f t="shared" si="3"/>
        <v>0.8928571428571429</v>
      </c>
      <c r="AB10" s="772">
        <f t="shared" si="4"/>
        <v>0.8928571428571429</v>
      </c>
      <c r="AC10" s="772">
        <f t="shared" si="5"/>
        <v>0.8928571428571429</v>
      </c>
    </row>
    <row r="11" spans="1:30" ht="15">
      <c r="A11" s="428"/>
      <c r="B11" s="422" t="s">
        <v>2544</v>
      </c>
      <c r="C11" s="429">
        <f>'数据-汇总表'!I3</f>
        <v>3.4</v>
      </c>
      <c r="D11" s="136">
        <v>100</v>
      </c>
      <c r="E11" s="429">
        <f>案例!L2</f>
        <v>5.8</v>
      </c>
      <c r="F11" s="136">
        <f>LOOKUP(E11,80:80,81:81)-LOOKUP(C11,80:80,81:81)+100</f>
        <v>96</v>
      </c>
      <c r="G11" s="430">
        <f>案例!L3</f>
        <v>4</v>
      </c>
      <c r="H11" s="136">
        <f>LOOKUP(G11,80:80,81:81)-LOOKUP(C11,80:80,81:81)+100</f>
        <v>98</v>
      </c>
      <c r="I11" s="429">
        <f>案例!L4</f>
        <v>4</v>
      </c>
      <c r="J11" s="136">
        <f>LOOKUP(I11,80:80,81:81)-LOOKUP(C11,80:80,81:81)+100</f>
        <v>98</v>
      </c>
      <c r="K11" s="673">
        <v>2</v>
      </c>
      <c r="L11" s="1138"/>
      <c r="M11" s="1131"/>
      <c r="N11" s="1131"/>
      <c r="O11" s="1139"/>
      <c r="P11" s="3218"/>
      <c r="Q11" s="1793" t="str">
        <f t="shared" si="6"/>
        <v>容积率</v>
      </c>
      <c r="R11" s="769" t="s">
        <v>17</v>
      </c>
      <c r="S11" s="770">
        <f t="shared" si="0"/>
        <v>96</v>
      </c>
      <c r="T11" s="769" t="s">
        <v>17</v>
      </c>
      <c r="U11" s="770">
        <f t="shared" si="1"/>
        <v>98</v>
      </c>
      <c r="V11" s="769" t="s">
        <v>17</v>
      </c>
      <c r="W11" s="770">
        <f t="shared" si="2"/>
        <v>98</v>
      </c>
      <c r="X11" s="771"/>
      <c r="Y11" s="3078"/>
      <c r="Z11" s="55" t="str">
        <f t="shared" si="7"/>
        <v>容积率</v>
      </c>
      <c r="AA11" s="772">
        <f t="shared" si="3"/>
        <v>1.0416666666666667</v>
      </c>
      <c r="AB11" s="772">
        <f t="shared" si="4"/>
        <v>1.0204081632653061</v>
      </c>
      <c r="AC11" s="772">
        <f t="shared" si="5"/>
        <v>1.0204081632653061</v>
      </c>
    </row>
    <row r="12" spans="1:30" s="117" customFormat="1" ht="15">
      <c r="A12" s="431"/>
      <c r="B12" s="2595" t="s">
        <v>2733</v>
      </c>
      <c r="C12" s="2995" t="s">
        <v>3217</v>
      </c>
      <c r="D12" s="433">
        <v>100</v>
      </c>
      <c r="E12" s="2995" t="s">
        <v>3218</v>
      </c>
      <c r="F12" s="136">
        <f>SUMIF(82:82,E12,83:83)-SUMIF(82:82,C12,83:83)+100</f>
        <v>80</v>
      </c>
      <c r="G12" s="2995" t="s">
        <v>3217</v>
      </c>
      <c r="H12" s="136">
        <f>SUMIF(82:82,G12,83:83)-SUMIF(82:82,C12,83:83)+100</f>
        <v>100</v>
      </c>
      <c r="I12" s="2995" t="s">
        <v>3217</v>
      </c>
      <c r="J12" s="136">
        <f>SUMIF(82:82,I12,83:83)-SUMIF(82:82,C12,83:83)+100</f>
        <v>100</v>
      </c>
      <c r="K12" s="672"/>
      <c r="L12" s="1132"/>
      <c r="M12" s="1133"/>
      <c r="N12" s="1133"/>
      <c r="O12" s="1134"/>
      <c r="P12" s="3218"/>
      <c r="Q12" s="1793" t="str">
        <f t="shared" si="6"/>
        <v>配建</v>
      </c>
      <c r="R12" s="769" t="s">
        <v>17</v>
      </c>
      <c r="S12" s="770">
        <f t="shared" si="0"/>
        <v>80</v>
      </c>
      <c r="T12" s="769" t="s">
        <v>17</v>
      </c>
      <c r="U12" s="770">
        <f t="shared" si="1"/>
        <v>100</v>
      </c>
      <c r="V12" s="769" t="s">
        <v>17</v>
      </c>
      <c r="W12" s="770">
        <f t="shared" si="2"/>
        <v>100</v>
      </c>
      <c r="X12" s="771"/>
      <c r="Y12" s="3078"/>
      <c r="Z12" s="55" t="str">
        <f t="shared" si="7"/>
        <v>配建</v>
      </c>
      <c r="AA12" s="772">
        <f>D12/F12</f>
        <v>1.25</v>
      </c>
      <c r="AB12" s="772">
        <f>D12/H12</f>
        <v>1</v>
      </c>
      <c r="AC12" s="772">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8"/>
      <c r="Q13" s="1793">
        <f t="shared" si="6"/>
        <v>111</v>
      </c>
      <c r="R13" s="769" t="s">
        <v>17</v>
      </c>
      <c r="S13" s="770">
        <f t="shared" si="0"/>
        <v>100</v>
      </c>
      <c r="T13" s="769" t="s">
        <v>17</v>
      </c>
      <c r="U13" s="770">
        <f t="shared" si="1"/>
        <v>100</v>
      </c>
      <c r="V13" s="769" t="s">
        <v>17</v>
      </c>
      <c r="W13" s="770">
        <f t="shared" si="2"/>
        <v>100</v>
      </c>
      <c r="X13" s="771"/>
      <c r="Y13" s="3078"/>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8"/>
      <c r="Q14" s="1793">
        <f t="shared" si="6"/>
        <v>111</v>
      </c>
      <c r="R14" s="769" t="s">
        <v>17</v>
      </c>
      <c r="S14" s="770">
        <f t="shared" si="0"/>
        <v>100</v>
      </c>
      <c r="T14" s="769" t="s">
        <v>17</v>
      </c>
      <c r="U14" s="770">
        <f t="shared" si="1"/>
        <v>100</v>
      </c>
      <c r="V14" s="769" t="s">
        <v>17</v>
      </c>
      <c r="W14" s="770">
        <f t="shared" si="2"/>
        <v>100</v>
      </c>
      <c r="X14" s="771"/>
      <c r="Y14" s="3078"/>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3" t="s">
        <v>2546</v>
      </c>
      <c r="Q15" s="1808" t="str">
        <f t="shared" si="6"/>
        <v>居住社区成熟度</v>
      </c>
      <c r="R15" s="773" t="s">
        <v>17</v>
      </c>
      <c r="S15" s="774">
        <f t="shared" si="0"/>
        <v>100</v>
      </c>
      <c r="T15" s="773" t="s">
        <v>17</v>
      </c>
      <c r="U15" s="774">
        <f t="shared" si="1"/>
        <v>100</v>
      </c>
      <c r="V15" s="773" t="s">
        <v>17</v>
      </c>
      <c r="W15" s="774">
        <f t="shared" si="2"/>
        <v>100</v>
      </c>
      <c r="X15" s="1811"/>
      <c r="Y15" s="3233"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34"/>
      <c r="Q16" s="1808"/>
      <c r="R16" s="773"/>
      <c r="S16" s="774"/>
      <c r="T16" s="773"/>
      <c r="U16" s="774"/>
      <c r="V16" s="773"/>
      <c r="W16" s="774"/>
      <c r="X16" s="1811"/>
      <c r="Y16" s="3234"/>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102</v>
      </c>
      <c r="I17" s="454"/>
      <c r="J17" s="455">
        <f>SUMIF(90:90,I18,91:91)-SUMIF(90:90,C18,91:91)+100</f>
        <v>102</v>
      </c>
      <c r="K17" s="673">
        <v>2</v>
      </c>
      <c r="L17" s="1140"/>
      <c r="M17" s="1131"/>
      <c r="N17" s="1131"/>
      <c r="O17" s="1139"/>
      <c r="P17" s="3234"/>
      <c r="Q17" s="1808" t="str">
        <f>B17</f>
        <v>商业繁华度</v>
      </c>
      <c r="R17" s="773" t="s">
        <v>17</v>
      </c>
      <c r="S17" s="774">
        <f>F17</f>
        <v>100</v>
      </c>
      <c r="T17" s="773" t="s">
        <v>17</v>
      </c>
      <c r="U17" s="774">
        <f>H17</f>
        <v>102</v>
      </c>
      <c r="V17" s="773" t="s">
        <v>17</v>
      </c>
      <c r="W17" s="774">
        <f>J17</f>
        <v>102</v>
      </c>
      <c r="X17" s="1811"/>
      <c r="Y17" s="3234"/>
      <c r="Z17" s="1812" t="str">
        <f>Q17</f>
        <v>商业繁华度</v>
      </c>
      <c r="AA17" s="1809">
        <f t="shared" si="3"/>
        <v>1</v>
      </c>
      <c r="AB17" s="1809">
        <f t="shared" si="4"/>
        <v>0.98039215686274506</v>
      </c>
      <c r="AC17" s="1809">
        <f t="shared" si="5"/>
        <v>0.98039215686274506</v>
      </c>
    </row>
    <row r="18" spans="1:29" ht="15">
      <c r="A18" s="428"/>
      <c r="B18" s="456"/>
      <c r="C18" s="2603" t="s">
        <v>3057</v>
      </c>
      <c r="D18" s="450"/>
      <c r="E18" s="2603" t="s">
        <v>3057</v>
      </c>
      <c r="F18" s="450"/>
      <c r="G18" s="2603" t="s">
        <v>3058</v>
      </c>
      <c r="H18" s="448"/>
      <c r="I18" s="2603" t="s">
        <v>3058</v>
      </c>
      <c r="J18" s="448"/>
      <c r="K18" s="672"/>
      <c r="L18" s="1140"/>
      <c r="M18" s="1131"/>
      <c r="N18" s="1131"/>
      <c r="O18" s="1139"/>
      <c r="P18" s="3234"/>
      <c r="Q18" s="1808"/>
      <c r="R18" s="773"/>
      <c r="S18" s="774"/>
      <c r="T18" s="773"/>
      <c r="U18" s="774"/>
      <c r="V18" s="773"/>
      <c r="W18" s="774"/>
      <c r="X18" s="1811"/>
      <c r="Y18" s="3234"/>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4"/>
      <c r="Q19" s="1808" t="str">
        <f>B19</f>
        <v>办公集聚程度</v>
      </c>
      <c r="R19" s="773" t="s">
        <v>17</v>
      </c>
      <c r="S19" s="774">
        <f>F19</f>
        <v>100</v>
      </c>
      <c r="T19" s="773" t="s">
        <v>17</v>
      </c>
      <c r="U19" s="774">
        <f>H19</f>
        <v>100</v>
      </c>
      <c r="V19" s="773" t="s">
        <v>17</v>
      </c>
      <c r="W19" s="774">
        <f>J19</f>
        <v>100</v>
      </c>
      <c r="X19" s="1811"/>
      <c r="Y19" s="3234"/>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34"/>
      <c r="Q20" s="1808"/>
      <c r="R20" s="773"/>
      <c r="S20" s="774"/>
      <c r="T20" s="773"/>
      <c r="U20" s="774"/>
      <c r="V20" s="773"/>
      <c r="W20" s="774"/>
      <c r="X20" s="1811"/>
      <c r="Y20" s="3234"/>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100</v>
      </c>
      <c r="I21" s="454"/>
      <c r="J21" s="450">
        <f>SUMIF(94:94,I22,95:95)-SUMIF(94:94,C22,95:95)+100</f>
        <v>100</v>
      </c>
      <c r="K21" s="673">
        <v>2</v>
      </c>
      <c r="L21" s="1140"/>
      <c r="M21" s="1131"/>
      <c r="N21" s="1131"/>
      <c r="O21" s="1139"/>
      <c r="P21" s="3234"/>
      <c r="Q21" s="1808" t="str">
        <f>B21</f>
        <v>交通便捷度</v>
      </c>
      <c r="R21" s="773" t="s">
        <v>17</v>
      </c>
      <c r="S21" s="774">
        <f>F21</f>
        <v>98</v>
      </c>
      <c r="T21" s="773" t="s">
        <v>17</v>
      </c>
      <c r="U21" s="774">
        <f>H21</f>
        <v>100</v>
      </c>
      <c r="V21" s="773" t="s">
        <v>17</v>
      </c>
      <c r="W21" s="774">
        <f>J21</f>
        <v>100</v>
      </c>
      <c r="X21" s="1811"/>
      <c r="Y21" s="3234"/>
      <c r="Z21" s="1812" t="str">
        <f>Q21</f>
        <v>交通便捷度</v>
      </c>
      <c r="AA21" s="1809">
        <f t="shared" si="3"/>
        <v>1.0204081632653061</v>
      </c>
      <c r="AB21" s="1809">
        <f t="shared" si="4"/>
        <v>1</v>
      </c>
      <c r="AC21" s="1809">
        <f t="shared" si="5"/>
        <v>1</v>
      </c>
    </row>
    <row r="22" spans="1:29" ht="15">
      <c r="A22" s="428"/>
      <c r="B22" s="1384"/>
      <c r="C22" s="447" t="s">
        <v>3058</v>
      </c>
      <c r="D22" s="450"/>
      <c r="E22" s="447" t="s">
        <v>3057</v>
      </c>
      <c r="F22" s="448"/>
      <c r="G22" s="447" t="s">
        <v>3058</v>
      </c>
      <c r="H22" s="448"/>
      <c r="I22" s="447" t="s">
        <v>3058</v>
      </c>
      <c r="J22" s="448"/>
      <c r="K22" s="672"/>
      <c r="L22" s="1140"/>
      <c r="M22" s="1131"/>
      <c r="N22" s="1131"/>
      <c r="O22" s="1139"/>
      <c r="P22" s="3234"/>
      <c r="Q22" s="1808"/>
      <c r="R22" s="773"/>
      <c r="S22" s="774"/>
      <c r="T22" s="773"/>
      <c r="U22" s="774"/>
      <c r="V22" s="773"/>
      <c r="W22" s="774"/>
      <c r="X22" s="1811"/>
      <c r="Y22" s="3234"/>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34"/>
      <c r="Q23" s="1808" t="str">
        <f t="shared" ref="Q23:Q37" si="8">B23</f>
        <v>区域土地利用方向</v>
      </c>
      <c r="R23" s="773" t="s">
        <v>17</v>
      </c>
      <c r="S23" s="774">
        <f>F23</f>
        <v>100</v>
      </c>
      <c r="T23" s="773" t="s">
        <v>17</v>
      </c>
      <c r="U23" s="774">
        <f>H23</f>
        <v>100</v>
      </c>
      <c r="V23" s="773" t="s">
        <v>17</v>
      </c>
      <c r="W23" s="774">
        <f>J23</f>
        <v>100</v>
      </c>
      <c r="X23" s="1811"/>
      <c r="Y23" s="3234"/>
      <c r="Z23" s="1812" t="str">
        <f>Q23</f>
        <v>区域土地利用方向</v>
      </c>
      <c r="AA23" s="1809">
        <f t="shared" si="3"/>
        <v>1</v>
      </c>
      <c r="AB23" s="1809">
        <f t="shared" si="4"/>
        <v>1</v>
      </c>
      <c r="AC23" s="1809">
        <f t="shared" si="5"/>
        <v>1</v>
      </c>
    </row>
    <row r="24" spans="1:29" ht="15">
      <c r="A24" s="404"/>
      <c r="B24" s="456"/>
      <c r="C24" s="616" t="s">
        <v>3058</v>
      </c>
      <c r="D24" s="448"/>
      <c r="E24" s="616" t="s">
        <v>3058</v>
      </c>
      <c r="F24" s="448"/>
      <c r="G24" s="616" t="s">
        <v>3058</v>
      </c>
      <c r="H24" s="448"/>
      <c r="I24" s="616" t="s">
        <v>3058</v>
      </c>
      <c r="J24" s="448"/>
      <c r="K24" s="811"/>
      <c r="L24" s="1140"/>
      <c r="M24" s="1131"/>
      <c r="N24" s="1131"/>
      <c r="O24" s="1139"/>
      <c r="P24" s="3234"/>
      <c r="Q24" s="1808"/>
      <c r="R24" s="773"/>
      <c r="S24" s="774"/>
      <c r="T24" s="773"/>
      <c r="U24" s="774"/>
      <c r="V24" s="773"/>
      <c r="W24" s="774"/>
      <c r="X24" s="1811"/>
      <c r="Y24" s="3234"/>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34"/>
      <c r="Q25" s="1808" t="str">
        <f t="shared" si="8"/>
        <v>自然及人文环境状况</v>
      </c>
      <c r="R25" s="773" t="s">
        <v>17</v>
      </c>
      <c r="S25" s="774">
        <f>F25</f>
        <v>102</v>
      </c>
      <c r="T25" s="773" t="s">
        <v>17</v>
      </c>
      <c r="U25" s="774">
        <f>H25</f>
        <v>102</v>
      </c>
      <c r="V25" s="773" t="s">
        <v>17</v>
      </c>
      <c r="W25" s="774">
        <f>J25</f>
        <v>102</v>
      </c>
      <c r="X25" s="1811"/>
      <c r="Y25" s="3234"/>
      <c r="Z25" s="1812" t="str">
        <f>Q25</f>
        <v>自然及人文环境状况</v>
      </c>
      <c r="AA25" s="1809">
        <f t="shared" si="3"/>
        <v>0.98039215686274506</v>
      </c>
      <c r="AB25" s="1809">
        <f t="shared" si="4"/>
        <v>0.98039215686274506</v>
      </c>
      <c r="AC25" s="1809">
        <f t="shared" si="5"/>
        <v>0.98039215686274506</v>
      </c>
    </row>
    <row r="26" spans="1:29" ht="15">
      <c r="A26" s="404"/>
      <c r="B26" s="456"/>
      <c r="C26" s="447" t="s">
        <v>3057</v>
      </c>
      <c r="D26" s="448"/>
      <c r="E26" s="447" t="s">
        <v>3058</v>
      </c>
      <c r="F26" s="448"/>
      <c r="G26" s="447" t="s">
        <v>3058</v>
      </c>
      <c r="H26" s="448"/>
      <c r="I26" s="447" t="s">
        <v>3058</v>
      </c>
      <c r="J26" s="448"/>
      <c r="K26" s="672"/>
      <c r="L26" s="1140"/>
      <c r="M26" s="1131"/>
      <c r="N26" s="1131"/>
      <c r="O26" s="1139"/>
      <c r="P26" s="3234"/>
      <c r="Q26" s="1808"/>
      <c r="R26" s="773"/>
      <c r="S26" s="774"/>
      <c r="T26" s="773"/>
      <c r="U26" s="774"/>
      <c r="V26" s="773"/>
      <c r="W26" s="774"/>
      <c r="X26" s="1811"/>
      <c r="Y26" s="3234"/>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34"/>
      <c r="Q27" s="1793" t="str">
        <f t="shared" si="8"/>
        <v>公共配套设施</v>
      </c>
      <c r="R27" s="769" t="s">
        <v>17</v>
      </c>
      <c r="S27" s="770">
        <f>F27</f>
        <v>98</v>
      </c>
      <c r="T27" s="769" t="s">
        <v>17</v>
      </c>
      <c r="U27" s="770">
        <f>H27</f>
        <v>98</v>
      </c>
      <c r="V27" s="769" t="s">
        <v>17</v>
      </c>
      <c r="W27" s="770">
        <f>J27</f>
        <v>98</v>
      </c>
      <c r="X27" s="771"/>
      <c r="Y27" s="3234"/>
      <c r="Z27" s="55" t="str">
        <f>Q27</f>
        <v>公共配套设施</v>
      </c>
      <c r="AA27" s="1809">
        <f>D27/F27</f>
        <v>1.0204081632653061</v>
      </c>
      <c r="AB27" s="1809">
        <f>D27/H27</f>
        <v>1.0204081632653061</v>
      </c>
      <c r="AC27" s="1809">
        <f>D27/J27</f>
        <v>1.0204081632653061</v>
      </c>
    </row>
    <row r="28" spans="1:29" s="117" customFormat="1" ht="15">
      <c r="A28" s="649"/>
      <c r="B28" s="456"/>
      <c r="C28" s="2695" t="s">
        <v>3058</v>
      </c>
      <c r="D28" s="448"/>
      <c r="E28" s="2695" t="s">
        <v>3057</v>
      </c>
      <c r="F28" s="448"/>
      <c r="G28" s="2695" t="s">
        <v>3057</v>
      </c>
      <c r="H28" s="448"/>
      <c r="I28" s="2695" t="s">
        <v>3057</v>
      </c>
      <c r="J28" s="448"/>
      <c r="K28" s="672"/>
      <c r="L28" s="1132"/>
      <c r="M28" s="1133"/>
      <c r="N28" s="1133"/>
      <c r="O28" s="1134"/>
      <c r="P28" s="3234"/>
      <c r="Q28" s="1793"/>
      <c r="R28" s="769"/>
      <c r="S28" s="770"/>
      <c r="T28" s="769"/>
      <c r="U28" s="770"/>
      <c r="V28" s="769"/>
      <c r="W28" s="770"/>
      <c r="X28" s="771"/>
      <c r="Y28" s="3234"/>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4"/>
      <c r="Q29" s="1793" t="str">
        <f t="shared" ref="Q29" si="9">B29</f>
        <v>基础设施水平</v>
      </c>
      <c r="R29" s="769" t="s">
        <v>17</v>
      </c>
      <c r="S29" s="770">
        <f>F29</f>
        <v>100</v>
      </c>
      <c r="T29" s="769" t="s">
        <v>17</v>
      </c>
      <c r="U29" s="770">
        <f>H29</f>
        <v>100</v>
      </c>
      <c r="V29" s="769" t="s">
        <v>17</v>
      </c>
      <c r="W29" s="770">
        <f>J29</f>
        <v>100</v>
      </c>
      <c r="X29" s="771"/>
      <c r="Y29" s="3234"/>
      <c r="Z29" s="55" t="str">
        <f>Q29</f>
        <v>基础设施水平</v>
      </c>
      <c r="AA29" s="1809">
        <f>D29/F29</f>
        <v>1</v>
      </c>
      <c r="AB29" s="1809">
        <f>D29/H29</f>
        <v>1</v>
      </c>
      <c r="AC29" s="1809">
        <f>D29/J29</f>
        <v>1</v>
      </c>
    </row>
    <row r="30" spans="1:29" s="117" customFormat="1" ht="15">
      <c r="A30" s="649"/>
      <c r="B30" s="456"/>
      <c r="C30" s="2695" t="s">
        <v>3059</v>
      </c>
      <c r="D30" s="448"/>
      <c r="E30" s="2695" t="s">
        <v>3059</v>
      </c>
      <c r="F30" s="448"/>
      <c r="G30" s="2695" t="s">
        <v>3059</v>
      </c>
      <c r="H30" s="448"/>
      <c r="I30" s="2695" t="s">
        <v>3059</v>
      </c>
      <c r="J30" s="448"/>
      <c r="K30" s="672"/>
      <c r="L30" s="1132"/>
      <c r="M30" s="1133"/>
      <c r="N30" s="1133"/>
      <c r="O30" s="1134"/>
      <c r="P30" s="3234"/>
      <c r="Q30" s="1793"/>
      <c r="R30" s="769"/>
      <c r="S30" s="770"/>
      <c r="T30" s="769"/>
      <c r="U30" s="770"/>
      <c r="V30" s="769"/>
      <c r="W30" s="770"/>
      <c r="X30" s="771"/>
      <c r="Y30" s="3234"/>
      <c r="Z30" s="55"/>
      <c r="AA30" s="1809">
        <v>1</v>
      </c>
      <c r="AB30" s="1809">
        <v>1</v>
      </c>
      <c r="AC30" s="1809">
        <v>1</v>
      </c>
    </row>
    <row r="31" spans="1:29" ht="15">
      <c r="A31" s="428"/>
      <c r="B31" s="456" t="s">
        <v>2642</v>
      </c>
      <c r="C31" s="616" t="s">
        <v>3064</v>
      </c>
      <c r="D31" s="435">
        <v>100</v>
      </c>
      <c r="E31" s="616" t="s">
        <v>3241</v>
      </c>
      <c r="F31" s="435">
        <f>SUMIF(104:104,E31,105:105)-SUMIF(104:104,C31,105:105)+100</f>
        <v>104</v>
      </c>
      <c r="G31" s="616" t="s">
        <v>3241</v>
      </c>
      <c r="H31" s="435">
        <f>SUMIF(104:104,G31,105:105)-SUMIF(104:104,C31,105:105)+100</f>
        <v>104</v>
      </c>
      <c r="I31" s="616" t="s">
        <v>3241</v>
      </c>
      <c r="J31" s="435">
        <f>SUMIF(104:104,I31,105:105)-SUMIF(104:104,C31,105:105)+100</f>
        <v>104</v>
      </c>
      <c r="K31" s="673">
        <v>2</v>
      </c>
      <c r="L31" s="1140"/>
      <c r="M31" s="1131"/>
      <c r="N31" s="1131"/>
      <c r="O31" s="1139"/>
      <c r="P31" s="3234"/>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34"/>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34"/>
      <c r="Q32" s="1808" t="str">
        <f t="shared" si="8"/>
        <v>毗邻道路的类型与等级</v>
      </c>
      <c r="R32" s="773" t="s">
        <v>17</v>
      </c>
      <c r="S32" s="774">
        <f t="shared" si="10"/>
        <v>100</v>
      </c>
      <c r="T32" s="773" t="s">
        <v>17</v>
      </c>
      <c r="U32" s="774">
        <f t="shared" si="11"/>
        <v>100</v>
      </c>
      <c r="V32" s="773" t="s">
        <v>17</v>
      </c>
      <c r="W32" s="774">
        <f t="shared" si="12"/>
        <v>100</v>
      </c>
      <c r="X32" s="1811"/>
      <c r="Y32" s="3234"/>
      <c r="Z32" s="1812" t="str">
        <f t="shared" si="13"/>
        <v>毗邻道路的类型与等级</v>
      </c>
      <c r="AA32" s="1809">
        <f t="shared" si="3"/>
        <v>1</v>
      </c>
      <c r="AB32" s="1809">
        <f t="shared" si="4"/>
        <v>1</v>
      </c>
      <c r="AC32" s="1809">
        <f t="shared" si="5"/>
        <v>1</v>
      </c>
    </row>
    <row r="33" spans="1:29" ht="15.75" thickBot="1">
      <c r="A33" s="428"/>
      <c r="B33" s="456"/>
      <c r="C33" s="447" t="s">
        <v>3224</v>
      </c>
      <c r="D33" s="448"/>
      <c r="E33" s="447" t="s">
        <v>3224</v>
      </c>
      <c r="F33" s="448"/>
      <c r="G33" s="447" t="s">
        <v>3224</v>
      </c>
      <c r="H33" s="448"/>
      <c r="I33" s="447" t="s">
        <v>3224</v>
      </c>
      <c r="J33" s="448"/>
      <c r="K33" s="613"/>
      <c r="L33" s="1140"/>
      <c r="M33" s="1131"/>
      <c r="N33" s="1131"/>
      <c r="O33" s="1139"/>
      <c r="P33" s="3234"/>
      <c r="Q33" s="1808"/>
      <c r="R33" s="773"/>
      <c r="S33" s="774"/>
      <c r="T33" s="773"/>
      <c r="U33" s="774"/>
      <c r="V33" s="773"/>
      <c r="W33" s="774"/>
      <c r="X33" s="1811"/>
      <c r="Y33" s="3234"/>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4"/>
      <c r="Q34" s="1808" t="str">
        <f t="shared" si="8"/>
        <v>土地级别</v>
      </c>
      <c r="R34" s="773" t="s">
        <v>17</v>
      </c>
      <c r="S34" s="774">
        <f t="shared" si="10"/>
        <v>100</v>
      </c>
      <c r="T34" s="773" t="s">
        <v>17</v>
      </c>
      <c r="U34" s="774">
        <f t="shared" si="11"/>
        <v>100</v>
      </c>
      <c r="V34" s="773" t="s">
        <v>17</v>
      </c>
      <c r="W34" s="774">
        <f t="shared" si="12"/>
        <v>100</v>
      </c>
      <c r="X34" s="1811"/>
      <c r="Y34" s="3234"/>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4"/>
      <c r="Q35" s="1808">
        <f t="shared" si="8"/>
        <v>111</v>
      </c>
      <c r="R35" s="773" t="s">
        <v>17</v>
      </c>
      <c r="S35" s="774">
        <f t="shared" si="10"/>
        <v>100</v>
      </c>
      <c r="T35" s="773" t="s">
        <v>17</v>
      </c>
      <c r="U35" s="774">
        <f t="shared" si="11"/>
        <v>100</v>
      </c>
      <c r="V35" s="773" t="s">
        <v>17</v>
      </c>
      <c r="W35" s="774">
        <f t="shared" si="12"/>
        <v>100</v>
      </c>
      <c r="X35" s="1811"/>
      <c r="Y35" s="3234"/>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2551</v>
      </c>
      <c r="Q36" s="1808">
        <f t="shared" si="8"/>
        <v>111</v>
      </c>
      <c r="R36" s="773" t="s">
        <v>17</v>
      </c>
      <c r="S36" s="774">
        <f t="shared" si="10"/>
        <v>100</v>
      </c>
      <c r="T36" s="773" t="s">
        <v>17</v>
      </c>
      <c r="U36" s="774">
        <f t="shared" si="11"/>
        <v>100</v>
      </c>
      <c r="V36" s="773" t="s">
        <v>17</v>
      </c>
      <c r="W36" s="774">
        <f t="shared" si="12"/>
        <v>100</v>
      </c>
      <c r="X36" s="1811"/>
      <c r="Y36" s="3236"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08">
        <f t="shared" si="8"/>
        <v>111</v>
      </c>
      <c r="R37" s="776" t="s">
        <v>17</v>
      </c>
      <c r="S37" s="777">
        <f t="shared" si="10"/>
        <v>100</v>
      </c>
      <c r="T37" s="776" t="s">
        <v>17</v>
      </c>
      <c r="U37" s="777">
        <f t="shared" si="11"/>
        <v>100</v>
      </c>
      <c r="V37" s="776" t="s">
        <v>17</v>
      </c>
      <c r="W37" s="777">
        <f t="shared" si="12"/>
        <v>100</v>
      </c>
      <c r="X37" s="778"/>
      <c r="Y37" s="3236"/>
      <c r="Z37" s="779">
        <f t="shared" si="13"/>
        <v>111</v>
      </c>
      <c r="AA37" s="1809">
        <f t="shared" si="3"/>
        <v>1</v>
      </c>
      <c r="AB37" s="1809">
        <f t="shared" si="4"/>
        <v>1</v>
      </c>
      <c r="AC37" s="1809">
        <f t="shared" si="5"/>
        <v>1</v>
      </c>
    </row>
    <row r="38" spans="1:29" ht="15">
      <c r="A38" s="472" t="s">
        <v>2549</v>
      </c>
      <c r="B38" s="456" t="s">
        <v>2737</v>
      </c>
      <c r="C38" s="679">
        <f>'数据-汇总表'!D3</f>
        <v>14638.63</v>
      </c>
      <c r="D38" s="467">
        <v>100</v>
      </c>
      <c r="E38" s="679">
        <f>案例!J2</f>
        <v>27295.08</v>
      </c>
      <c r="F38" s="467">
        <f>LOOKUP(E38,117:117,118:118)-LOOKUP(C38,117:117,118:118)+100</f>
        <v>101</v>
      </c>
      <c r="G38" s="679">
        <f>案例!J3</f>
        <v>14788.3</v>
      </c>
      <c r="H38" s="467">
        <f>LOOKUP(G38,117:117,118:118)-LOOKUP(C38,117:117,118:118)+100</f>
        <v>100</v>
      </c>
      <c r="I38" s="530">
        <f>案例!J4</f>
        <v>29500</v>
      </c>
      <c r="J38" s="467">
        <f>LOOKUP(I38,117:117,118:118)-LOOKUP(C38,117:117,118:118)+100</f>
        <v>101</v>
      </c>
      <c r="K38" s="613"/>
      <c r="L38" s="1140"/>
      <c r="M38" s="1131"/>
      <c r="N38" s="1131"/>
      <c r="O38" s="1139"/>
      <c r="P38" s="3236"/>
      <c r="Q38" s="1808" t="str">
        <f>B38</f>
        <v>宗地面积</v>
      </c>
      <c r="R38" s="773" t="s">
        <v>17</v>
      </c>
      <c r="S38" s="774">
        <f t="shared" si="10"/>
        <v>101</v>
      </c>
      <c r="T38" s="773" t="s">
        <v>17</v>
      </c>
      <c r="U38" s="774">
        <f t="shared" si="11"/>
        <v>100</v>
      </c>
      <c r="V38" s="773" t="s">
        <v>17</v>
      </c>
      <c r="W38" s="774">
        <f t="shared" si="12"/>
        <v>101</v>
      </c>
      <c r="X38" s="1811"/>
      <c r="Y38" s="3236"/>
      <c r="Z38" s="1812" t="str">
        <f t="shared" si="13"/>
        <v>宗地面积</v>
      </c>
      <c r="AA38" s="1809">
        <f t="shared" si="3"/>
        <v>0.99009900990099009</v>
      </c>
      <c r="AB38" s="1809">
        <f t="shared" si="4"/>
        <v>1</v>
      </c>
      <c r="AC38" s="1809">
        <f t="shared" si="5"/>
        <v>0.99009900990099009</v>
      </c>
    </row>
    <row r="39" spans="1:29" ht="15">
      <c r="A39" s="472"/>
      <c r="B39" s="422" t="s">
        <v>2738</v>
      </c>
      <c r="C39" s="2608" t="s">
        <v>3228</v>
      </c>
      <c r="D39" s="435">
        <v>100</v>
      </c>
      <c r="E39" s="2608" t="s">
        <v>3228</v>
      </c>
      <c r="F39" s="435">
        <f>SUMIF(119:119,E39,120:120)-SUMIF(119:119,C39,120:120)+100</f>
        <v>100</v>
      </c>
      <c r="G39" s="2608" t="s">
        <v>3228</v>
      </c>
      <c r="H39" s="435">
        <f>SUMIF(119:119,G39,120:120)-SUMIF(119:119,C39,120:120)+100</f>
        <v>100</v>
      </c>
      <c r="I39" s="2608" t="s">
        <v>3228</v>
      </c>
      <c r="J39" s="435">
        <f>SUMIF(119:119,I39,120:120)-SUMIF(119:119,C39,120:120)+100</f>
        <v>100</v>
      </c>
      <c r="K39" s="612">
        <v>2</v>
      </c>
      <c r="L39" s="1140"/>
      <c r="M39" s="1131"/>
      <c r="N39" s="1131"/>
      <c r="O39" s="1139"/>
      <c r="P39" s="3236"/>
      <c r="Q39" s="1808" t="str">
        <f t="shared" ref="Q39:Q45" si="14">B39</f>
        <v>宗地形状</v>
      </c>
      <c r="R39" s="773" t="s">
        <v>17</v>
      </c>
      <c r="S39" s="774">
        <f t="shared" si="10"/>
        <v>100</v>
      </c>
      <c r="T39" s="773" t="s">
        <v>17</v>
      </c>
      <c r="U39" s="774">
        <f t="shared" si="11"/>
        <v>100</v>
      </c>
      <c r="V39" s="773" t="s">
        <v>17</v>
      </c>
      <c r="W39" s="774">
        <f t="shared" si="12"/>
        <v>100</v>
      </c>
      <c r="X39" s="1811"/>
      <c r="Y39" s="3236"/>
      <c r="Z39" s="1812" t="str">
        <f t="shared" si="13"/>
        <v>宗地形状</v>
      </c>
      <c r="AA39" s="1809">
        <f t="shared" si="3"/>
        <v>1</v>
      </c>
      <c r="AB39" s="1809">
        <f t="shared" si="4"/>
        <v>1</v>
      </c>
      <c r="AC39" s="1809">
        <f t="shared" si="5"/>
        <v>1</v>
      </c>
    </row>
    <row r="40" spans="1:29" ht="15">
      <c r="A40" s="472"/>
      <c r="B40" s="422" t="s">
        <v>2739</v>
      </c>
      <c r="C40" s="2608" t="s">
        <v>3234</v>
      </c>
      <c r="D40" s="435">
        <v>100</v>
      </c>
      <c r="E40" s="2608" t="s">
        <v>3234</v>
      </c>
      <c r="F40" s="435">
        <f>SUMIF(121:121,E40,122:122)-SUMIF(121:121,C40,122:122)+100</f>
        <v>100</v>
      </c>
      <c r="G40" s="2608" t="s">
        <v>3234</v>
      </c>
      <c r="H40" s="435">
        <f>SUMIF(121:121,G40,122:122)-SUMIF(121:121,C40,122:122)+100</f>
        <v>100</v>
      </c>
      <c r="I40" s="2608" t="s">
        <v>3234</v>
      </c>
      <c r="J40" s="435">
        <f>SUMIF(121:121,I40,122:122)-SUMIF(121:121,C40,122:122)+100</f>
        <v>100</v>
      </c>
      <c r="K40" s="612">
        <v>2</v>
      </c>
      <c r="L40" s="1140"/>
      <c r="M40" s="1131"/>
      <c r="N40" s="1131"/>
      <c r="O40" s="1139"/>
      <c r="P40" s="3236"/>
      <c r="Q40" s="1808" t="str">
        <f t="shared" si="14"/>
        <v>临街宽度及深度</v>
      </c>
      <c r="R40" s="773" t="s">
        <v>17</v>
      </c>
      <c r="S40" s="774">
        <f t="shared" si="10"/>
        <v>100</v>
      </c>
      <c r="T40" s="773" t="s">
        <v>17</v>
      </c>
      <c r="U40" s="774">
        <f t="shared" si="11"/>
        <v>100</v>
      </c>
      <c r="V40" s="773" t="s">
        <v>17</v>
      </c>
      <c r="W40" s="774">
        <f t="shared" si="12"/>
        <v>100</v>
      </c>
      <c r="X40" s="1811"/>
      <c r="Y40" s="3236"/>
      <c r="Z40" s="1812" t="str">
        <f t="shared" si="13"/>
        <v>临街宽度及深度</v>
      </c>
      <c r="AA40" s="1809">
        <f t="shared" si="3"/>
        <v>1</v>
      </c>
      <c r="AB40" s="1809">
        <f t="shared" si="4"/>
        <v>1</v>
      </c>
      <c r="AC40" s="1809">
        <f t="shared" si="5"/>
        <v>1</v>
      </c>
    </row>
    <row r="41" spans="1:29" s="117" customFormat="1" ht="15">
      <c r="A41" s="473"/>
      <c r="B41" s="422" t="s">
        <v>2740</v>
      </c>
      <c r="C41" s="2697" t="s">
        <v>3080</v>
      </c>
      <c r="D41" s="136">
        <v>100</v>
      </c>
      <c r="E41" s="2697" t="s">
        <v>3238</v>
      </c>
      <c r="F41" s="435">
        <f>SUMIF(123:123,E41,124:124)-SUMIF(123:123,C41,124:124)+100</f>
        <v>97</v>
      </c>
      <c r="G41" s="2697" t="s">
        <v>3239</v>
      </c>
      <c r="H41" s="435">
        <f>SUMIF(123:123,G41,124:124)-SUMIF(123:123,C41,124:124)+100</f>
        <v>99</v>
      </c>
      <c r="I41" s="2697" t="s">
        <v>3239</v>
      </c>
      <c r="J41" s="435">
        <f>SUMIF(123:123,I41,124:124)-SUMIF(123:123,C41,124:124)+100</f>
        <v>99</v>
      </c>
      <c r="K41" s="612">
        <v>1</v>
      </c>
      <c r="L41" s="1132"/>
      <c r="M41" s="1133"/>
      <c r="N41" s="1133"/>
      <c r="O41" s="1134"/>
      <c r="P41" s="3236"/>
      <c r="Q41" s="1808" t="str">
        <f t="shared" si="14"/>
        <v>宗地开发程度</v>
      </c>
      <c r="R41" s="769" t="s">
        <v>17</v>
      </c>
      <c r="S41" s="770">
        <f t="shared" si="10"/>
        <v>97</v>
      </c>
      <c r="T41" s="769" t="s">
        <v>17</v>
      </c>
      <c r="U41" s="770">
        <f t="shared" si="11"/>
        <v>99</v>
      </c>
      <c r="V41" s="769" t="s">
        <v>17</v>
      </c>
      <c r="W41" s="770">
        <f t="shared" si="12"/>
        <v>99</v>
      </c>
      <c r="X41" s="771"/>
      <c r="Y41" s="3236"/>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3058</v>
      </c>
      <c r="D42" s="435">
        <v>100</v>
      </c>
      <c r="E42" s="2608" t="s">
        <v>3058</v>
      </c>
      <c r="F42" s="435">
        <f>SUMIF(125:125,E42,126:126)-SUMIF(125:125,C42,126:126)+100</f>
        <v>100</v>
      </c>
      <c r="G42" s="2608" t="s">
        <v>3058</v>
      </c>
      <c r="H42" s="435">
        <f>SUMIF(125:125,G42,126:126)-SUMIF(125:125,C42,126:126)+100</f>
        <v>100</v>
      </c>
      <c r="I42" s="2608" t="s">
        <v>3058</v>
      </c>
      <c r="J42" s="435">
        <f>SUMIF(125:125,I42,126:126)-SUMIF(125:125,C42,126:126)+100</f>
        <v>100</v>
      </c>
      <c r="K42" s="612">
        <v>2</v>
      </c>
      <c r="L42" s="1140"/>
      <c r="M42" s="1131"/>
      <c r="N42" s="1131"/>
      <c r="O42" s="1139"/>
      <c r="P42" s="3236" t="s">
        <v>2551</v>
      </c>
      <c r="Q42" s="1808" t="str">
        <f t="shared" si="14"/>
        <v>工程地质条件</v>
      </c>
      <c r="R42" s="773" t="s">
        <v>17</v>
      </c>
      <c r="S42" s="774">
        <f t="shared" si="10"/>
        <v>100</v>
      </c>
      <c r="T42" s="773" t="s">
        <v>17</v>
      </c>
      <c r="U42" s="774">
        <f t="shared" si="11"/>
        <v>100</v>
      </c>
      <c r="V42" s="773" t="s">
        <v>17</v>
      </c>
      <c r="W42" s="774">
        <f t="shared" si="12"/>
        <v>100</v>
      </c>
      <c r="X42" s="1811"/>
      <c r="Y42" s="3236"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08">
        <f t="shared" si="14"/>
        <v>111</v>
      </c>
      <c r="R43" s="773" t="s">
        <v>17</v>
      </c>
      <c r="S43" s="774">
        <f t="shared" si="10"/>
        <v>100</v>
      </c>
      <c r="T43" s="773" t="s">
        <v>17</v>
      </c>
      <c r="U43" s="774">
        <f t="shared" si="11"/>
        <v>100</v>
      </c>
      <c r="V43" s="773" t="s">
        <v>17</v>
      </c>
      <c r="W43" s="774">
        <f t="shared" si="12"/>
        <v>100</v>
      </c>
      <c r="X43" s="1811"/>
      <c r="Y43" s="3236"/>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08">
        <f t="shared" si="14"/>
        <v>111</v>
      </c>
      <c r="R44" s="773" t="s">
        <v>17</v>
      </c>
      <c r="S44" s="774">
        <f t="shared" si="10"/>
        <v>100</v>
      </c>
      <c r="T44" s="773" t="s">
        <v>17</v>
      </c>
      <c r="U44" s="774">
        <f t="shared" si="11"/>
        <v>100</v>
      </c>
      <c r="V44" s="773" t="s">
        <v>17</v>
      </c>
      <c r="W44" s="774">
        <f t="shared" si="12"/>
        <v>100</v>
      </c>
      <c r="X44" s="1811"/>
      <c r="Y44" s="3236"/>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08">
        <f t="shared" si="14"/>
        <v>111</v>
      </c>
      <c r="R45" s="776" t="s">
        <v>17</v>
      </c>
      <c r="S45" s="777">
        <f t="shared" si="10"/>
        <v>100</v>
      </c>
      <c r="T45" s="776" t="s">
        <v>17</v>
      </c>
      <c r="U45" s="777">
        <f t="shared" si="11"/>
        <v>100</v>
      </c>
      <c r="V45" s="776" t="s">
        <v>17</v>
      </c>
      <c r="W45" s="777">
        <f t="shared" si="12"/>
        <v>100</v>
      </c>
      <c r="X45" s="778"/>
      <c r="Y45" s="3236"/>
      <c r="Z45" s="779">
        <f t="shared" si="13"/>
        <v>111</v>
      </c>
      <c r="AA45" s="1809">
        <f t="shared" si="3"/>
        <v>1</v>
      </c>
      <c r="AB45" s="1809">
        <f t="shared" si="4"/>
        <v>1</v>
      </c>
      <c r="AC45" s="1809">
        <f t="shared" si="5"/>
        <v>1</v>
      </c>
    </row>
    <row r="46" spans="1:29" ht="15">
      <c r="A46" s="479" t="s">
        <v>2706</v>
      </c>
      <c r="B46" s="2699" t="s">
        <v>2742</v>
      </c>
      <c r="C46" s="682" t="s">
        <v>1</v>
      </c>
      <c r="D46" s="481"/>
      <c r="E46" s="482">
        <f>案例!AG2</f>
        <v>27125</v>
      </c>
      <c r="F46" s="483"/>
      <c r="G46" s="484">
        <f>案例!AG3</f>
        <v>29753.34</v>
      </c>
      <c r="H46" s="485"/>
      <c r="I46" s="482">
        <f>案例!AG4</f>
        <v>28983.040000000001</v>
      </c>
      <c r="J46" s="485"/>
      <c r="K46" s="782"/>
      <c r="L46" s="1143"/>
      <c r="M46" s="1144"/>
      <c r="N46" s="1131"/>
      <c r="O46" s="1144"/>
      <c r="P46" s="3218" t="str">
        <f>A46</f>
        <v>成交单价</v>
      </c>
      <c r="Q46" s="3218"/>
      <c r="R46" s="3231">
        <f>E46</f>
        <v>27125</v>
      </c>
      <c r="S46" s="3231"/>
      <c r="T46" s="3231">
        <f>G46</f>
        <v>29753.34</v>
      </c>
      <c r="U46" s="3231"/>
      <c r="V46" s="3231">
        <f>I46</f>
        <v>28983.040000000001</v>
      </c>
      <c r="W46" s="3231"/>
      <c r="X46" s="758"/>
      <c r="Y46" s="780"/>
      <c r="Z46" s="758"/>
      <c r="AA46" s="758"/>
      <c r="AB46" s="758"/>
      <c r="AC46" s="758"/>
    </row>
    <row r="47" spans="1:29" ht="15.75" thickBot="1">
      <c r="A47" s="486" t="s">
        <v>2655</v>
      </c>
      <c r="B47" s="683"/>
      <c r="C47" s="490">
        <f>R48</f>
        <v>30988</v>
      </c>
      <c r="D47" s="489"/>
      <c r="E47" s="490">
        <f>R47</f>
        <v>34286</v>
      </c>
      <c r="F47" s="491"/>
      <c r="G47" s="488">
        <f>T47</f>
        <v>29870</v>
      </c>
      <c r="H47" s="489"/>
      <c r="I47" s="490">
        <f>V47</f>
        <v>28808</v>
      </c>
      <c r="J47" s="489"/>
      <c r="K47" s="783"/>
      <c r="L47" s="1143"/>
      <c r="M47" s="1144"/>
      <c r="N47" s="1144"/>
      <c r="O47" s="1144"/>
      <c r="P47" s="3218" t="str">
        <f>A47</f>
        <v>比较价值（元/平方米）</v>
      </c>
      <c r="Q47" s="3218"/>
      <c r="R47" s="3237">
        <f>ROUND(PRODUCT(R46,AA7:AA45),0)</f>
        <v>34286</v>
      </c>
      <c r="S47" s="3237"/>
      <c r="T47" s="3237">
        <f>ROUND(PRODUCT(T46,AB7:AB45),0)</f>
        <v>29870</v>
      </c>
      <c r="U47" s="3237"/>
      <c r="V47" s="3237">
        <f>ROUND(PRODUCT(V46,AC7:AC45),0)</f>
        <v>28808</v>
      </c>
      <c r="W47" s="3237"/>
      <c r="X47" s="758"/>
      <c r="Y47" s="758"/>
      <c r="Z47" s="758"/>
      <c r="AA47" s="758"/>
      <c r="AB47" s="758"/>
      <c r="AC47" s="758"/>
    </row>
    <row r="48" spans="1:29" ht="15.75" thickBot="1">
      <c r="A48" s="492" t="s">
        <v>2743</v>
      </c>
      <c r="B48" s="493"/>
      <c r="C48" s="494">
        <f>R48</f>
        <v>30988</v>
      </c>
      <c r="D48" s="494"/>
      <c r="E48" s="494"/>
      <c r="F48" s="494"/>
      <c r="G48" s="494"/>
      <c r="H48" s="494"/>
      <c r="I48" s="494"/>
      <c r="J48" s="494"/>
      <c r="K48" s="784"/>
      <c r="L48" s="1143"/>
      <c r="M48" s="1144"/>
      <c r="N48" s="1144"/>
      <c r="O48" s="1144"/>
      <c r="P48" s="3238" t="str">
        <f>A48</f>
        <v>估价对象XX用房的比较价值（楼面单价，元/平方米）</v>
      </c>
      <c r="Q48" s="3239"/>
      <c r="R48" s="3240">
        <f>ROUND(AVERAGE(R47:V47),0)</f>
        <v>30988</v>
      </c>
      <c r="S48" s="3240"/>
      <c r="T48" s="3240"/>
      <c r="U48" s="3240"/>
      <c r="V48" s="3240"/>
      <c r="W48" s="3240"/>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0.26400000000000001</v>
      </c>
      <c r="F51" s="500" t="str">
        <f>IF(OR(E51&gt;=0.3,E51&lt;=-0.3),"超过30%","")</f>
        <v/>
      </c>
      <c r="G51" s="499">
        <f>IF(G46&lt;G47,G47/G46-1,G46/G47-1)</f>
        <v>3.9209043421679635E-3</v>
      </c>
      <c r="H51" s="500" t="str">
        <f>IF(OR(G51&gt;=0.3,G51&lt;=-0.3),"超过30%","")</f>
        <v/>
      </c>
      <c r="I51" s="499">
        <f>IF(I46&lt;I47,I47/I46-1,I46/I47-1)</f>
        <v>6.0760899750069708E-3</v>
      </c>
      <c r="J51" s="500" t="str">
        <f>IF(OR(I51&gt;=0.3,I51&lt;=-0.3),"超过30%","")</f>
        <v/>
      </c>
      <c r="K51" s="1106"/>
      <c r="L51" s="1107"/>
      <c r="M51" s="1144"/>
      <c r="N51" s="1144"/>
      <c r="O51" s="1144"/>
    </row>
    <row r="52" spans="1:15" ht="13.5" customHeight="1">
      <c r="A52" s="1144"/>
      <c r="B52" s="1144"/>
      <c r="C52" s="497" t="s">
        <v>2658</v>
      </c>
      <c r="D52" s="501"/>
      <c r="E52" s="499">
        <f>IF(E47&lt;G47,G47/E47-1,E47/G47-1)</f>
        <v>0.14784064278540332</v>
      </c>
      <c r="F52" s="500" t="str">
        <f>IF(OR(E52&gt;=0.2,E52&lt;=-0.2),"超过20%","")</f>
        <v/>
      </c>
      <c r="G52" s="499">
        <f>IF(G47&lt;I47,I47/G47-1,G47/I47-1)</f>
        <v>3.6864759788947543E-2</v>
      </c>
      <c r="H52" s="500" t="str">
        <f>IF(OR(G52&gt;=0.2,G52&lt;=-0.2),"超过20%","")</f>
        <v/>
      </c>
      <c r="I52" s="499">
        <f>IF(I47&lt;E47,E47/I47-1,I47/E47-1)</f>
        <v>0.19015551235767836</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9.6897327188940174E-2</v>
      </c>
      <c r="F53" s="500" t="str">
        <f>IF(OR(E53&gt;=0.3,E53&lt;=-0.3),"超过30%","")</f>
        <v/>
      </c>
      <c r="G53" s="499">
        <f>IF(G46&lt;I46,I46/G46-1,G46/I46-1)</f>
        <v>2.6577612286357688E-2</v>
      </c>
      <c r="H53" s="500" t="str">
        <f>IF(OR(G53&gt;=0.3,G53&lt;=-0.3),"超过30%","")</f>
        <v/>
      </c>
      <c r="I53" s="499">
        <f>IF(I46&lt;E46,E46/I46-1,I46/E46-1)</f>
        <v>6.8499170506912455E-2</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219" t="s">
        <v>2750</v>
      </c>
      <c r="H55" s="3241"/>
      <c r="I55" s="144" t="s">
        <v>2751</v>
      </c>
      <c r="J55" s="2702">
        <f>项目基本情况!F35</f>
        <v>0</v>
      </c>
      <c r="K55" s="2703" t="s">
        <v>2752</v>
      </c>
      <c r="L55" s="1107"/>
      <c r="M55" s="1144"/>
      <c r="N55" s="1144"/>
      <c r="O55" s="1144"/>
    </row>
    <row r="56" spans="1:15" s="692" customFormat="1">
      <c r="A56" s="688" t="s">
        <v>2753</v>
      </c>
      <c r="B56" s="689">
        <f>C48</f>
        <v>30988</v>
      </c>
      <c r="C56" s="690">
        <v>1</v>
      </c>
      <c r="D56" s="1163">
        <v>1</v>
      </c>
      <c r="E56" s="690">
        <f>'数据-汇总表'!E8+'数据-汇总表'!E9</f>
        <v>34671.619999999995</v>
      </c>
      <c r="F56" s="1104">
        <f t="shared" ref="F56:F65" si="15">ROUND(B56*E56/10000,0)</f>
        <v>107440</v>
      </c>
      <c r="G56" s="3242"/>
      <c r="H56" s="3218"/>
      <c r="I56" s="1109">
        <v>1</v>
      </c>
      <c r="J56" s="1112">
        <v>1</v>
      </c>
      <c r="K56" s="1145"/>
      <c r="L56" s="943"/>
      <c r="M56" s="943"/>
      <c r="N56" s="943"/>
      <c r="O56" s="943"/>
    </row>
    <row r="57" spans="1:15" s="692" customFormat="1">
      <c r="A57" s="693" t="s">
        <v>2754</v>
      </c>
      <c r="B57" s="262">
        <f>ROUND($C$48*C57*D57,0)</f>
        <v>5423</v>
      </c>
      <c r="C57" s="200">
        <f t="shared" ref="C57:C65" si="16">IF($C$55="北京市系数",I57,J57)</f>
        <v>0.7</v>
      </c>
      <c r="D57" s="1164">
        <v>0.25</v>
      </c>
      <c r="E57" s="694"/>
      <c r="F57" s="1104">
        <f t="shared" si="15"/>
        <v>0</v>
      </c>
      <c r="G57" s="3243"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3099</v>
      </c>
      <c r="C58" s="200">
        <f t="shared" si="16"/>
        <v>0.4</v>
      </c>
      <c r="D58" s="1164">
        <v>0.25</v>
      </c>
      <c r="E58" s="694"/>
      <c r="F58" s="1104">
        <f t="shared" si="15"/>
        <v>0</v>
      </c>
      <c r="G58" s="3243"/>
      <c r="H58" s="1105" t="str">
        <f>项目基本情况!B37</f>
        <v>五级</v>
      </c>
      <c r="I58" s="1109">
        <f>SUMIF(修正!A45:A56,H58,修正!C45:C56)</f>
        <v>0.4</v>
      </c>
      <c r="J58" s="1113"/>
      <c r="K58" s="1145"/>
      <c r="L58" s="943"/>
      <c r="M58" s="943"/>
      <c r="N58" s="943"/>
      <c r="O58" s="943"/>
    </row>
    <row r="59" spans="1:15" s="692" customFormat="1">
      <c r="A59" s="693" t="s">
        <v>2757</v>
      </c>
      <c r="B59" s="262">
        <f t="shared" si="17"/>
        <v>2169</v>
      </c>
      <c r="C59" s="200">
        <f t="shared" si="16"/>
        <v>0.28000000000000003</v>
      </c>
      <c r="D59" s="1164">
        <v>0.25</v>
      </c>
      <c r="E59" s="694"/>
      <c r="F59" s="1104">
        <f t="shared" si="15"/>
        <v>0</v>
      </c>
      <c r="G59" s="3243"/>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1937</v>
      </c>
      <c r="C60" s="200">
        <f t="shared" si="16"/>
        <v>0.25</v>
      </c>
      <c r="D60" s="1164">
        <v>0.25</v>
      </c>
      <c r="E60" s="694"/>
      <c r="F60" s="1104">
        <f t="shared" si="15"/>
        <v>0</v>
      </c>
      <c r="G60" s="3243"/>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1549</v>
      </c>
      <c r="C64" s="200">
        <f t="shared" si="16"/>
        <v>0.2</v>
      </c>
      <c r="D64" s="1164">
        <v>0.25</v>
      </c>
      <c r="E64" s="261">
        <f>'数据-汇总表'!E14</f>
        <v>8190</v>
      </c>
      <c r="F64" s="1104">
        <f t="shared" si="15"/>
        <v>1269</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108709</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3215</v>
      </c>
      <c r="D75" s="2965" t="s">
        <v>3220</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3217</v>
      </c>
      <c r="D82" s="2962" t="s">
        <v>3218</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3221</v>
      </c>
      <c r="D106" s="2962" t="s">
        <v>3222</v>
      </c>
      <c r="E106" s="2962" t="s">
        <v>3223</v>
      </c>
      <c r="F106" s="2962" t="s">
        <v>3225</v>
      </c>
      <c r="G106" s="2962" t="s">
        <v>3226</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3227</v>
      </c>
      <c r="D119" s="2966" t="s">
        <v>3229</v>
      </c>
      <c r="E119" s="2966" t="s">
        <v>3230</v>
      </c>
      <c r="F119" s="2966" t="s">
        <v>3231</v>
      </c>
      <c r="G119" s="2966" t="s">
        <v>3232</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3233</v>
      </c>
      <c r="D121" s="2962" t="s">
        <v>3235</v>
      </c>
      <c r="E121" s="2962" t="s">
        <v>3230</v>
      </c>
      <c r="F121" s="2966" t="s">
        <v>3236</v>
      </c>
      <c r="G121" s="2966" t="s">
        <v>3237</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3127</v>
      </c>
      <c r="F3" s="2723" t="s">
        <v>3128</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58"/>
      <c r="B4" s="3259"/>
      <c r="C4" s="3259"/>
      <c r="D4" s="3260"/>
      <c r="E4" s="3260"/>
      <c r="F4" s="3260"/>
      <c r="G4" s="3260"/>
      <c r="H4" s="3260"/>
      <c r="I4" s="3260"/>
      <c r="J4" s="3261"/>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44"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45"/>
      <c r="B8" s="198" t="s">
        <v>2822</v>
      </c>
      <c r="C8" s="2745" t="s">
        <v>3138</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55" t="s">
        <v>2825</v>
      </c>
      <c r="X8" s="3256"/>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45"/>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57"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45"/>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5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5"/>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57"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44"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57"/>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62"/>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57"/>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62"/>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3"/>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4" t="s">
        <v>2868</v>
      </c>
      <c r="B16" s="2740" t="s">
        <v>2869</v>
      </c>
      <c r="C16" s="1799">
        <f>ROUND(SUM(G17:J17)/C17,0)</f>
        <v>20</v>
      </c>
      <c r="D16" s="2774" t="s">
        <v>2870</v>
      </c>
      <c r="E16" s="2775" t="s">
        <v>3139</v>
      </c>
      <c r="F16" s="2776" t="s">
        <v>3140</v>
      </c>
      <c r="G16" s="2777" t="s">
        <v>3141</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5"/>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3142</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52"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3"/>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3"/>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54"/>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3057</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3058</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3058</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3058</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3143</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3058</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3058</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3144</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3057</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46" t="s">
        <v>2958</v>
      </c>
      <c r="B90" s="3246"/>
      <c r="C90" s="3246"/>
      <c r="D90" s="3246"/>
      <c r="E90" s="3246"/>
      <c r="F90" s="3246"/>
      <c r="G90" s="3246"/>
      <c r="H90" s="3246"/>
      <c r="I90" s="3246"/>
      <c r="J90" s="3246"/>
      <c r="K90" s="2887"/>
      <c r="L90" s="2887"/>
      <c r="M90" s="2887"/>
      <c r="N90" s="2887"/>
    </row>
    <row r="91" spans="1:37">
      <c r="A91" s="3248" t="s">
        <v>2959</v>
      </c>
      <c r="B91" s="3248" t="s">
        <v>2960</v>
      </c>
      <c r="C91" s="2841" t="s">
        <v>2961</v>
      </c>
      <c r="D91" s="2842"/>
      <c r="E91" s="2842"/>
      <c r="F91" s="2842"/>
      <c r="G91" s="2842"/>
      <c r="H91" s="2842"/>
      <c r="I91" s="2842"/>
      <c r="J91" s="2888"/>
      <c r="K91" s="2889"/>
      <c r="L91" s="2889"/>
      <c r="M91" s="2889"/>
      <c r="N91" s="2889"/>
    </row>
    <row r="92" spans="1:37">
      <c r="A92" s="3248"/>
      <c r="B92" s="3248"/>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49"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0"/>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51"/>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49"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50"/>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50"/>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50"/>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50"/>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50"/>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50"/>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50"/>
      <c r="B108" s="3132"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51"/>
      <c r="B109" s="3133"/>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47" t="s">
        <v>2966</v>
      </c>
      <c r="B110" s="3247"/>
      <c r="C110" s="3247"/>
      <c r="D110" s="3247"/>
      <c r="E110" s="3247"/>
      <c r="F110" s="3247"/>
      <c r="G110" s="3247"/>
      <c r="H110" s="3247"/>
      <c r="I110" s="3247"/>
      <c r="J110" s="3247"/>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D6" sqref="D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t="s">
        <v>3131</v>
      </c>
      <c r="D1" s="1579"/>
      <c r="E1" s="320"/>
      <c r="F1" s="320"/>
      <c r="G1" s="1580"/>
      <c r="H1" s="320"/>
      <c r="I1" s="320"/>
      <c r="J1" s="320"/>
      <c r="K1" s="320">
        <f>MATCH(C1,'数据-取费表'!A6:A16,0)+5</f>
        <v>6</v>
      </c>
    </row>
    <row r="2" spans="1:33" ht="18" customHeight="1">
      <c r="A2" s="245" t="s">
        <v>2316</v>
      </c>
      <c r="B2" s="248">
        <f ca="1">C32</f>
        <v>99643</v>
      </c>
      <c r="C2" s="320" t="s">
        <v>2449</v>
      </c>
      <c r="D2" s="320"/>
      <c r="E2" s="320"/>
      <c r="F2" s="320"/>
      <c r="G2" s="320"/>
      <c r="H2" s="320"/>
      <c r="I2" s="320"/>
      <c r="J2" s="320"/>
      <c r="K2" s="320"/>
    </row>
    <row r="3" spans="1:33" ht="18" customHeight="1" thickBot="1">
      <c r="A3" s="247" t="s">
        <v>2318</v>
      </c>
      <c r="B3" s="248">
        <f ca="1">ROUND(B2*10000/IF(C1="",'数据-汇总表'!E3,INDIRECT("'数据-取费表'!K"&amp;$K$1)),0)</f>
        <v>28739</v>
      </c>
      <c r="C3" s="320" t="s">
        <v>2450</v>
      </c>
      <c r="D3" s="320"/>
      <c r="E3" s="320"/>
      <c r="F3" s="320"/>
      <c r="G3" s="320"/>
      <c r="H3" s="320"/>
      <c r="I3" s="320"/>
      <c r="J3" s="320"/>
      <c r="K3" s="320"/>
    </row>
    <row r="4" spans="1:33" s="958" customFormat="1" ht="16.5" customHeight="1">
      <c r="A4" s="955" t="s">
        <v>2451</v>
      </c>
      <c r="B4" s="956"/>
      <c r="C4" s="998">
        <f ca="1">SUM(C8:K8)</f>
        <v>111327</v>
      </c>
      <c r="D4" s="956"/>
      <c r="E4" s="956"/>
      <c r="F4" s="956"/>
      <c r="G4" s="956"/>
      <c r="H4" s="956"/>
      <c r="I4" s="956"/>
      <c r="J4" s="956"/>
      <c r="K4" s="957"/>
    </row>
    <row r="5" spans="1:33" s="962" customFormat="1" ht="15">
      <c r="A5" s="959" t="s">
        <v>2452</v>
      </c>
      <c r="B5" s="960" t="s">
        <v>2453</v>
      </c>
      <c r="C5" s="2549" t="s">
        <v>3131</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 ca="1">'收益法-商业'!B3</f>
        <v>29644</v>
      </c>
      <c r="D6" s="964">
        <f ca="1">'收益法-车库'!B3</f>
        <v>10435</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 ca="1">'收益法-商业'!B2</f>
        <v>102781</v>
      </c>
      <c r="D8" s="999">
        <f ca="1">'收益法-车库'!B2</f>
        <v>8546</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867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2467</v>
      </c>
      <c r="C12" s="24">
        <f ca="1">ROUND(C11*F12,0)</f>
        <v>43</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81</v>
      </c>
      <c r="D14" s="1035">
        <f ca="1">IF(C1="",'数据-汇总表'!E3,INDIRECT("'数据-取费表'!K"&amp;$K$1)+INDIRECT("'数据-取费表'!S"&amp;$K$1))</f>
        <v>40311.689999999995</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13</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1004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40311.689999999995</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3147</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806</v>
      </c>
      <c r="D20" s="1035">
        <f ca="1">IF(C1="",'数据-汇总表'!E6,IF(INDIRECT("'数据-取费表'!c"&amp;$K$1)="住宅",INDIRECT("'数据-取费表'!s"&amp;$K$1),INDIRECT("'数据-取费表'!k"&amp;$K$1)+INDIRECT("'数据-取费表'!s"&amp;$K$1)))</f>
        <v>40311.689999999995</v>
      </c>
      <c r="E20" s="24">
        <f>'数据-取费表'!B28</f>
        <v>200</v>
      </c>
      <c r="F20" s="978"/>
      <c r="G20" s="15"/>
      <c r="H20" s="983"/>
      <c r="I20" s="983"/>
      <c r="J20" s="983"/>
      <c r="K20" s="984"/>
    </row>
    <row r="21" spans="1:33" s="977" customFormat="1" ht="13.5" customHeight="1">
      <c r="A21" s="963" t="s">
        <v>802</v>
      </c>
      <c r="B21" s="987" t="s">
        <v>2482</v>
      </c>
      <c r="C21" s="988">
        <f ca="1">C16+C17+C18</f>
        <v>1004</v>
      </c>
      <c r="D21" s="989"/>
      <c r="E21" s="325"/>
      <c r="F21" s="325"/>
      <c r="G21" s="140" t="s">
        <v>2483</v>
      </c>
      <c r="H21" s="981"/>
      <c r="I21" s="981"/>
      <c r="J21" s="981"/>
      <c r="K21" s="982"/>
    </row>
    <row r="22" spans="1:33" s="977" customFormat="1" ht="13.5" customHeight="1">
      <c r="A22" s="963" t="s">
        <v>2455</v>
      </c>
      <c r="B22" s="987" t="s">
        <v>2484</v>
      </c>
      <c r="C22" s="988">
        <f ca="1">ROUND(C21*F22,0)</f>
        <v>10</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111</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3</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4.7999999999999996E-3</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3</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225</v>
      </c>
      <c r="D28" s="324">
        <f ca="1">C29</f>
        <v>1.03E-2</v>
      </c>
      <c r="E28" s="326" t="s">
        <v>15</v>
      </c>
      <c r="F28" s="332">
        <f ca="1">IF(C1="",'数据-取费表'!Q16,INDIRECT("'数据-取费表'!q"&amp;$K$1))</f>
        <v>0.2</v>
      </c>
      <c r="G28" s="991"/>
      <c r="H28" s="992"/>
      <c r="I28" s="992"/>
      <c r="J28" s="992"/>
      <c r="K28" s="993"/>
    </row>
    <row r="29" spans="1:33" s="335" customFormat="1" ht="13.5" customHeight="1">
      <c r="A29" s="973" t="s">
        <v>803</v>
      </c>
      <c r="B29" s="996" t="s">
        <v>2497</v>
      </c>
      <c r="C29" s="328">
        <f ca="1">ROUND((1+C24)*F28*'数据-取费表'!B24/'数据-取费表'!B20,4)</f>
        <v>1.03E-2</v>
      </c>
      <c r="D29" s="328"/>
      <c r="E29" s="329"/>
      <c r="F29" s="334"/>
      <c r="G29" s="140" t="s">
        <v>2498</v>
      </c>
      <c r="H29" s="981"/>
      <c r="I29" s="981"/>
      <c r="J29" s="981"/>
      <c r="K29" s="982"/>
    </row>
    <row r="30" spans="1:33" s="335" customFormat="1" ht="13.5" customHeight="1">
      <c r="A30" s="973" t="s">
        <v>804</v>
      </c>
      <c r="B30" s="996" t="s">
        <v>2499</v>
      </c>
      <c r="C30" s="336">
        <f ca="1">ROUND((C21+C22+C23)*F28,0)</f>
        <v>225</v>
      </c>
      <c r="D30" s="328"/>
      <c r="E30" s="329"/>
      <c r="F30" s="334"/>
      <c r="G30" s="140"/>
      <c r="H30" s="981"/>
      <c r="I30" s="981"/>
      <c r="J30" s="981"/>
      <c r="K30" s="982"/>
    </row>
    <row r="31" spans="1:33" s="977" customFormat="1" ht="13.5" customHeight="1" thickBot="1">
      <c r="A31" s="2555" t="s">
        <v>2500</v>
      </c>
      <c r="B31" s="1007" t="s">
        <v>2501</v>
      </c>
      <c r="C31" s="1008">
        <f ca="1">ROUND(C4*F31/(1+'数据-取费表'!C42),0)</f>
        <v>5937</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99643</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50"/>
  <sheetViews>
    <sheetView topLeftCell="A27" zoomScale="90" zoomScaleNormal="90" workbookViewId="0">
      <selection activeCell="D51" sqref="D51"/>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3131</v>
      </c>
      <c r="E1" s="2652"/>
      <c r="F1" s="2579" t="s">
        <v>3053</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161903</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46696</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1"/>
      <c r="Y4" s="3206" t="s">
        <v>2637</v>
      </c>
      <c r="Z4" s="3207"/>
      <c r="AA4" s="3201" t="s">
        <v>2633</v>
      </c>
      <c r="AB4" s="3231" t="s">
        <v>2634</v>
      </c>
      <c r="AC4" s="3201" t="s">
        <v>2635</v>
      </c>
    </row>
    <row r="5" spans="1:29" ht="15">
      <c r="A5" s="404"/>
      <c r="B5" s="405"/>
      <c r="C5" s="3265" t="s">
        <v>3054</v>
      </c>
      <c r="D5" s="3213"/>
      <c r="E5" s="3264" t="str">
        <f>案例!A9</f>
        <v>东旭国际中心</v>
      </c>
      <c r="F5" s="3211"/>
      <c r="G5" s="3265" t="str">
        <f>案例!A10</f>
        <v>玉璞家园</v>
      </c>
      <c r="H5" s="3213"/>
      <c r="I5" s="3265" t="str">
        <f>案例!A13</f>
        <v>万年生态城·园博府</v>
      </c>
      <c r="J5" s="3213"/>
      <c r="K5" s="610"/>
      <c r="L5" s="1130"/>
      <c r="M5" s="1131"/>
      <c r="N5" s="1131"/>
      <c r="O5" s="1131"/>
      <c r="P5" s="3225"/>
      <c r="Q5" s="3226"/>
      <c r="R5" s="3208"/>
      <c r="S5" s="3209"/>
      <c r="T5" s="3208"/>
      <c r="U5" s="3209"/>
      <c r="V5" s="3231"/>
      <c r="W5" s="3231"/>
      <c r="X5" s="1811"/>
      <c r="Y5" s="3208"/>
      <c r="Z5" s="3209"/>
      <c r="AA5" s="3202"/>
      <c r="AB5" s="3231"/>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1"/>
      <c r="Y6" s="3229"/>
      <c r="Z6" s="3230"/>
      <c r="AA6" s="3203"/>
      <c r="AB6" s="3231"/>
      <c r="AC6" s="3203"/>
    </row>
    <row r="7" spans="1:29" s="117" customFormat="1" ht="15.75" thickBot="1">
      <c r="A7" s="408" t="s">
        <v>2534</v>
      </c>
      <c r="B7" s="409"/>
      <c r="C7" s="410">
        <f>'数据-取费表'!B2</f>
        <v>43132</v>
      </c>
      <c r="D7" s="411">
        <v>100</v>
      </c>
      <c r="E7" s="3006">
        <v>43121</v>
      </c>
      <c r="F7" s="413">
        <f>SUMIF(58:58,YEAR(E7)&amp;"-"&amp;MONTH(E7),59:59)</f>
        <v>99</v>
      </c>
      <c r="G7" s="3006">
        <v>43132</v>
      </c>
      <c r="H7" s="411">
        <f>SUMIF(58:58,YEAR(G7)&amp;"-"&amp;MONTH(G7),59:59)</f>
        <v>100</v>
      </c>
      <c r="I7" s="3006">
        <f>案例!K13</f>
        <v>43110</v>
      </c>
      <c r="J7" s="411">
        <f>SUMIF(58:58,YEAR(I7)&amp;"-"&amp;MONTH(I7),59:59)</f>
        <v>99</v>
      </c>
      <c r="K7" s="611"/>
      <c r="L7" s="1132"/>
      <c r="M7" s="1133"/>
      <c r="N7" s="1133"/>
      <c r="O7" s="1133"/>
      <c r="P7" s="3204" t="s">
        <v>2535</v>
      </c>
      <c r="Q7" s="3232"/>
      <c r="R7" s="769" t="s">
        <v>17</v>
      </c>
      <c r="S7" s="770">
        <f t="shared" ref="S7:S15" si="0">F7</f>
        <v>99</v>
      </c>
      <c r="T7" s="769" t="s">
        <v>17</v>
      </c>
      <c r="U7" s="770">
        <f t="shared" ref="U7:U15" si="1">H7</f>
        <v>100</v>
      </c>
      <c r="V7" s="769" t="s">
        <v>17</v>
      </c>
      <c r="W7" s="770">
        <f t="shared" ref="W7:W15" si="2">J7</f>
        <v>99</v>
      </c>
      <c r="X7" s="771"/>
      <c r="Y7" s="3204" t="s">
        <v>2535</v>
      </c>
      <c r="Z7" s="3205"/>
      <c r="AA7" s="772">
        <f>D7/F7</f>
        <v>1.0101010101010102</v>
      </c>
      <c r="AB7" s="772">
        <f>D7/H7</f>
        <v>1</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04" t="s">
        <v>2538</v>
      </c>
      <c r="Q8" s="3205"/>
      <c r="R8" s="769" t="s">
        <v>17</v>
      </c>
      <c r="S8" s="770">
        <f t="shared" si="0"/>
        <v>100</v>
      </c>
      <c r="T8" s="769" t="s">
        <v>17</v>
      </c>
      <c r="U8" s="770">
        <f t="shared" si="1"/>
        <v>100</v>
      </c>
      <c r="V8" s="769" t="s">
        <v>17</v>
      </c>
      <c r="W8" s="770">
        <f t="shared" si="2"/>
        <v>100</v>
      </c>
      <c r="X8" s="771"/>
      <c r="Y8" s="3204" t="s">
        <v>2538</v>
      </c>
      <c r="Z8" s="3205"/>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42" t="s">
        <v>2541</v>
      </c>
      <c r="Q9" s="1793" t="str">
        <f t="shared" ref="Q9:Q15" si="6">B9</f>
        <v>用途</v>
      </c>
      <c r="R9" s="769" t="s">
        <v>17</v>
      </c>
      <c r="S9" s="770">
        <f t="shared" si="0"/>
        <v>100</v>
      </c>
      <c r="T9" s="769" t="s">
        <v>17</v>
      </c>
      <c r="U9" s="770">
        <f t="shared" si="1"/>
        <v>100</v>
      </c>
      <c r="V9" s="769" t="s">
        <v>17</v>
      </c>
      <c r="W9" s="770">
        <f t="shared" si="2"/>
        <v>100</v>
      </c>
      <c r="X9" s="771"/>
      <c r="Y9" s="3078" t="s">
        <v>2542</v>
      </c>
      <c r="Z9" s="55" t="str">
        <f t="shared" ref="Z9:Z15" si="7">Q9</f>
        <v>用途</v>
      </c>
      <c r="AA9" s="772">
        <f t="shared" si="3"/>
        <v>1</v>
      </c>
      <c r="AB9" s="772">
        <f t="shared" si="4"/>
        <v>1</v>
      </c>
      <c r="AC9" s="772">
        <f t="shared" si="5"/>
        <v>1</v>
      </c>
    </row>
    <row r="10" spans="1:29" s="427" customFormat="1" ht="27.75" thickBot="1">
      <c r="A10" s="421"/>
      <c r="B10" s="422" t="s">
        <v>2543</v>
      </c>
      <c r="C10" s="423" t="s">
        <v>3056</v>
      </c>
      <c r="D10" s="136">
        <v>100</v>
      </c>
      <c r="E10" s="424" t="s">
        <v>3056</v>
      </c>
      <c r="F10" s="425">
        <f>SUMIF(65:65,E10,66:66)-SUMIF(65:65,C10,66:66)+100</f>
        <v>100</v>
      </c>
      <c r="G10" s="424" t="s">
        <v>3056</v>
      </c>
      <c r="H10" s="136">
        <f>SUMIF(65:65,G10,66:66)-SUMIF(65:65,C10,66:66)+100</f>
        <v>100</v>
      </c>
      <c r="I10" s="424" t="s">
        <v>3056</v>
      </c>
      <c r="J10" s="136">
        <f>SUMIF(65:65,I10,66:66)-SUMIF(65:65,C10,66:66)+100</f>
        <v>100</v>
      </c>
      <c r="K10" s="612">
        <v>2</v>
      </c>
      <c r="L10" s="1135"/>
      <c r="M10" s="1136"/>
      <c r="N10" s="1136"/>
      <c r="O10" s="1136"/>
      <c r="P10" s="3242"/>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42"/>
      <c r="Q11" s="1793" t="str">
        <f t="shared" si="6"/>
        <v>容积率</v>
      </c>
      <c r="R11" s="769" t="s">
        <v>17</v>
      </c>
      <c r="S11" s="770">
        <f t="shared" si="0"/>
        <v>100</v>
      </c>
      <c r="T11" s="769" t="s">
        <v>17</v>
      </c>
      <c r="U11" s="770">
        <f t="shared" si="1"/>
        <v>100</v>
      </c>
      <c r="V11" s="769" t="s">
        <v>17</v>
      </c>
      <c r="W11" s="770">
        <f t="shared" si="2"/>
        <v>100</v>
      </c>
      <c r="X11" s="771"/>
      <c r="Y11" s="3078"/>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2"/>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2"/>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2"/>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66" t="s">
        <v>2546</v>
      </c>
      <c r="Q15" s="1808" t="str">
        <f t="shared" si="6"/>
        <v>商业繁华度</v>
      </c>
      <c r="R15" s="773" t="s">
        <v>17</v>
      </c>
      <c r="S15" s="774">
        <f t="shared" si="0"/>
        <v>102</v>
      </c>
      <c r="T15" s="773" t="s">
        <v>17</v>
      </c>
      <c r="U15" s="774">
        <f t="shared" si="1"/>
        <v>102</v>
      </c>
      <c r="V15" s="773" t="s">
        <v>17</v>
      </c>
      <c r="W15" s="774">
        <f t="shared" si="2"/>
        <v>102</v>
      </c>
      <c r="X15" s="1811"/>
      <c r="Y15" s="3233" t="s">
        <v>2546</v>
      </c>
      <c r="Z15" s="1812" t="str">
        <f t="shared" si="7"/>
        <v>商业繁华度</v>
      </c>
      <c r="AA15" s="1809">
        <f t="shared" si="3"/>
        <v>0.98039215686274506</v>
      </c>
      <c r="AB15" s="1809">
        <f t="shared" si="4"/>
        <v>0.98039215686274506</v>
      </c>
      <c r="AC15" s="180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67"/>
      <c r="Q16" s="1808"/>
      <c r="R16" s="773"/>
      <c r="S16" s="774"/>
      <c r="T16" s="773"/>
      <c r="U16" s="774"/>
      <c r="V16" s="773"/>
      <c r="W16" s="774"/>
      <c r="X16" s="1811"/>
      <c r="Y16" s="3234"/>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67"/>
      <c r="Q17" s="1808" t="str">
        <f>B17</f>
        <v>交通便捷度</v>
      </c>
      <c r="R17" s="773" t="s">
        <v>17</v>
      </c>
      <c r="S17" s="774">
        <f>F17</f>
        <v>100</v>
      </c>
      <c r="T17" s="773" t="s">
        <v>17</v>
      </c>
      <c r="U17" s="774">
        <f>H17</f>
        <v>100</v>
      </c>
      <c r="V17" s="773" t="s">
        <v>17</v>
      </c>
      <c r="W17" s="774">
        <f>J17</f>
        <v>100</v>
      </c>
      <c r="X17" s="1811"/>
      <c r="Y17" s="3234"/>
      <c r="Z17" s="1812" t="str">
        <f>Q17</f>
        <v>交通便捷度</v>
      </c>
      <c r="AA17" s="1809">
        <f t="shared" si="3"/>
        <v>1</v>
      </c>
      <c r="AB17" s="1809">
        <f t="shared" si="4"/>
        <v>1</v>
      </c>
      <c r="AC17" s="180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67"/>
      <c r="Q18" s="1808"/>
      <c r="R18" s="773"/>
      <c r="S18" s="774"/>
      <c r="T18" s="773"/>
      <c r="U18" s="774"/>
      <c r="V18" s="773"/>
      <c r="W18" s="774"/>
      <c r="X18" s="1811"/>
      <c r="Y18" s="3234"/>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67"/>
      <c r="Q19" s="1808" t="str">
        <f>B19</f>
        <v>公共配套设施</v>
      </c>
      <c r="R19" s="773" t="s">
        <v>17</v>
      </c>
      <c r="S19" s="774">
        <f>F19</f>
        <v>100</v>
      </c>
      <c r="T19" s="773" t="s">
        <v>17</v>
      </c>
      <c r="U19" s="774">
        <f>H19</f>
        <v>100</v>
      </c>
      <c r="V19" s="773" t="s">
        <v>17</v>
      </c>
      <c r="W19" s="774">
        <f>J19</f>
        <v>100</v>
      </c>
      <c r="X19" s="1811"/>
      <c r="Y19" s="3234"/>
      <c r="Z19" s="1812" t="str">
        <f>Q19</f>
        <v>公共配套设施</v>
      </c>
      <c r="AA19" s="1809">
        <f t="shared" si="3"/>
        <v>1</v>
      </c>
      <c r="AB19" s="1809">
        <f t="shared" si="4"/>
        <v>1</v>
      </c>
      <c r="AC19" s="180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67"/>
      <c r="Q20" s="1808"/>
      <c r="R20" s="773"/>
      <c r="S20" s="774"/>
      <c r="T20" s="773"/>
      <c r="U20" s="774"/>
      <c r="V20" s="773"/>
      <c r="W20" s="774"/>
      <c r="X20" s="1811"/>
      <c r="Y20" s="3234"/>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67"/>
      <c r="Q21" s="1808" t="str">
        <f>B21</f>
        <v>基础设施水平</v>
      </c>
      <c r="R21" s="773" t="s">
        <v>17</v>
      </c>
      <c r="S21" s="774">
        <f>F21</f>
        <v>100</v>
      </c>
      <c r="T21" s="773" t="s">
        <v>17</v>
      </c>
      <c r="U21" s="774">
        <f>H21</f>
        <v>100</v>
      </c>
      <c r="V21" s="773" t="s">
        <v>17</v>
      </c>
      <c r="W21" s="774">
        <f>J21</f>
        <v>100</v>
      </c>
      <c r="X21" s="1811"/>
      <c r="Y21" s="3234"/>
      <c r="Z21" s="1812" t="str">
        <f>Q21</f>
        <v>基础设施水平</v>
      </c>
      <c r="AA21" s="1809">
        <f t="shared" ref="AA21" si="8">D21/F21</f>
        <v>1</v>
      </c>
      <c r="AB21" s="1809">
        <f t="shared" ref="AB21" si="9">D21/H21</f>
        <v>1</v>
      </c>
      <c r="AC21" s="180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67"/>
      <c r="Q22" s="1808"/>
      <c r="R22" s="773"/>
      <c r="S22" s="774"/>
      <c r="T22" s="773"/>
      <c r="U22" s="774"/>
      <c r="V22" s="773"/>
      <c r="W22" s="774"/>
      <c r="X22" s="1811"/>
      <c r="Y22" s="3234"/>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67"/>
      <c r="Q23" s="1808" t="str">
        <f>B23</f>
        <v>自然及人文环境</v>
      </c>
      <c r="R23" s="773" t="s">
        <v>17</v>
      </c>
      <c r="S23" s="774">
        <f>F23</f>
        <v>100</v>
      </c>
      <c r="T23" s="773" t="s">
        <v>17</v>
      </c>
      <c r="U23" s="774">
        <f>H23</f>
        <v>100</v>
      </c>
      <c r="V23" s="773" t="s">
        <v>17</v>
      </c>
      <c r="W23" s="774">
        <f>J23</f>
        <v>100</v>
      </c>
      <c r="X23" s="1811"/>
      <c r="Y23" s="3234"/>
      <c r="Z23" s="1812" t="str">
        <f>Q23</f>
        <v>自然及人文环境</v>
      </c>
      <c r="AA23" s="1809">
        <f t="shared" si="3"/>
        <v>1</v>
      </c>
      <c r="AB23" s="1809">
        <f t="shared" si="4"/>
        <v>1</v>
      </c>
      <c r="AC23" s="180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67"/>
      <c r="Q24" s="1808"/>
      <c r="R24" s="773"/>
      <c r="S24" s="774"/>
      <c r="T24" s="773"/>
      <c r="U24" s="774"/>
      <c r="V24" s="773"/>
      <c r="W24" s="774"/>
      <c r="X24" s="1811"/>
      <c r="Y24" s="3234"/>
      <c r="Z24" s="1812"/>
      <c r="AA24" s="1809">
        <v>1</v>
      </c>
      <c r="AB24" s="1809">
        <v>1</v>
      </c>
      <c r="AC24" s="1809">
        <v>1</v>
      </c>
    </row>
    <row r="25" spans="1:29" ht="15">
      <c r="A25" s="428"/>
      <c r="B25" s="422"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67"/>
      <c r="Q25" s="1808" t="str">
        <f t="shared" ref="Q25:Q46" si="11">B25</f>
        <v>临街状况</v>
      </c>
      <c r="R25" s="773" t="s">
        <v>17</v>
      </c>
      <c r="S25" s="774">
        <f>F25</f>
        <v>100</v>
      </c>
      <c r="T25" s="773" t="s">
        <v>17</v>
      </c>
      <c r="U25" s="774">
        <f>H25</f>
        <v>100</v>
      </c>
      <c r="V25" s="773" t="s">
        <v>17</v>
      </c>
      <c r="W25" s="774">
        <f>J25</f>
        <v>100</v>
      </c>
      <c r="X25" s="1811"/>
      <c r="Y25" s="3234"/>
      <c r="Z25" s="1812" t="str">
        <f>Q25</f>
        <v>临街状况</v>
      </c>
      <c r="AA25" s="1809">
        <f t="shared" si="3"/>
        <v>1</v>
      </c>
      <c r="AB25" s="1809">
        <f t="shared" si="4"/>
        <v>1</v>
      </c>
      <c r="AC25" s="180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67"/>
      <c r="Q26" s="1808" t="str">
        <f t="shared" si="11"/>
        <v>平面位置/可视性</v>
      </c>
      <c r="R26" s="773" t="s">
        <v>17</v>
      </c>
      <c r="S26" s="774">
        <f>F26</f>
        <v>100</v>
      </c>
      <c r="T26" s="773" t="s">
        <v>17</v>
      </c>
      <c r="U26" s="774">
        <f>H26</f>
        <v>100</v>
      </c>
      <c r="V26" s="773" t="s">
        <v>17</v>
      </c>
      <c r="W26" s="774">
        <f>J26</f>
        <v>100</v>
      </c>
      <c r="X26" s="1811"/>
      <c r="Y26" s="3234"/>
      <c r="Z26" s="1812" t="str">
        <f>Q26</f>
        <v>平面位置/可视性</v>
      </c>
      <c r="AA26" s="1809">
        <f t="shared" si="3"/>
        <v>1</v>
      </c>
      <c r="AB26" s="1809">
        <f t="shared" si="4"/>
        <v>1</v>
      </c>
      <c r="AC26" s="180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67"/>
      <c r="Q27" s="1793" t="str">
        <f t="shared" si="11"/>
        <v>人流量</v>
      </c>
      <c r="R27" s="769" t="s">
        <v>17</v>
      </c>
      <c r="S27" s="770">
        <f>F27</f>
        <v>100</v>
      </c>
      <c r="T27" s="769" t="s">
        <v>17</v>
      </c>
      <c r="U27" s="770">
        <f>H27</f>
        <v>100</v>
      </c>
      <c r="V27" s="769" t="s">
        <v>17</v>
      </c>
      <c r="W27" s="770">
        <f>J27</f>
        <v>100</v>
      </c>
      <c r="X27" s="771"/>
      <c r="Y27" s="3234"/>
      <c r="Z27" s="55" t="str">
        <f>Q27</f>
        <v>人流量</v>
      </c>
      <c r="AA27" s="1809">
        <f>D27/F27</f>
        <v>1</v>
      </c>
      <c r="AB27" s="1809">
        <f>D27/H27</f>
        <v>1</v>
      </c>
      <c r="AC27" s="1809">
        <f>D27/J27</f>
        <v>1</v>
      </c>
    </row>
    <row r="28" spans="1:29" ht="15.75" thickBot="1">
      <c r="A28" s="428"/>
      <c r="B28" s="422"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6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4"/>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7"/>
      <c r="Q29" s="1808">
        <f t="shared" si="11"/>
        <v>111</v>
      </c>
      <c r="R29" s="773" t="s">
        <v>17</v>
      </c>
      <c r="S29" s="774">
        <f t="shared" si="12"/>
        <v>100</v>
      </c>
      <c r="T29" s="773" t="s">
        <v>17</v>
      </c>
      <c r="U29" s="774">
        <f t="shared" si="13"/>
        <v>100</v>
      </c>
      <c r="V29" s="773" t="s">
        <v>17</v>
      </c>
      <c r="W29" s="774">
        <f t="shared" si="14"/>
        <v>100</v>
      </c>
      <c r="X29" s="1811"/>
      <c r="Y29" s="3234"/>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7"/>
      <c r="Q30" s="1808">
        <f t="shared" si="11"/>
        <v>111</v>
      </c>
      <c r="R30" s="773" t="s">
        <v>17</v>
      </c>
      <c r="S30" s="774">
        <f t="shared" si="12"/>
        <v>100</v>
      </c>
      <c r="T30" s="773" t="s">
        <v>17</v>
      </c>
      <c r="U30" s="774">
        <f t="shared" si="13"/>
        <v>100</v>
      </c>
      <c r="V30" s="773" t="s">
        <v>17</v>
      </c>
      <c r="W30" s="774">
        <f t="shared" si="14"/>
        <v>100</v>
      </c>
      <c r="X30" s="1811"/>
      <c r="Y30" s="3234"/>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7"/>
      <c r="Q31" s="1808">
        <f t="shared" si="11"/>
        <v>111</v>
      </c>
      <c r="R31" s="773" t="s">
        <v>17</v>
      </c>
      <c r="S31" s="774">
        <f t="shared" si="12"/>
        <v>100</v>
      </c>
      <c r="T31" s="773" t="s">
        <v>17</v>
      </c>
      <c r="U31" s="774">
        <f t="shared" si="13"/>
        <v>100</v>
      </c>
      <c r="V31" s="773" t="s">
        <v>17</v>
      </c>
      <c r="W31" s="774">
        <f t="shared" si="14"/>
        <v>100</v>
      </c>
      <c r="X31" s="1811"/>
      <c r="Y31" s="3234"/>
      <c r="Z31" s="1812">
        <f t="shared" si="15"/>
        <v>111</v>
      </c>
      <c r="AA31" s="1809">
        <f t="shared" si="3"/>
        <v>1</v>
      </c>
      <c r="AB31" s="1809">
        <f t="shared" si="4"/>
        <v>1</v>
      </c>
      <c r="AC31" s="1809">
        <f t="shared" si="5"/>
        <v>1</v>
      </c>
    </row>
    <row r="32" spans="1:29" ht="15">
      <c r="A32" s="440" t="s">
        <v>2549</v>
      </c>
      <c r="B32" s="71" t="s">
        <v>2646</v>
      </c>
      <c r="C32" s="2612" t="s">
        <v>3242</v>
      </c>
      <c r="D32" s="467">
        <v>100</v>
      </c>
      <c r="E32" s="2612" t="s">
        <v>3280</v>
      </c>
      <c r="F32" s="461">
        <f>SUMIF(100:100,E32,101:101)-SUMIF(100:100,C32,101:101)+100</f>
        <v>96</v>
      </c>
      <c r="G32" s="2612" t="s">
        <v>3066</v>
      </c>
      <c r="H32" s="435">
        <f>SUMIF(100:100,G32,101:101)-SUMIF(100:100,C32,101:101)+100</f>
        <v>94</v>
      </c>
      <c r="I32" s="2612" t="s">
        <v>3066</v>
      </c>
      <c r="J32" s="467">
        <f>SUMIF(100:100,I32,101:101)-SUMIF(100:100,C32,101:101)+100</f>
        <v>94</v>
      </c>
      <c r="K32" s="612">
        <v>2</v>
      </c>
      <c r="L32" s="1140"/>
      <c r="M32" s="1131"/>
      <c r="N32" s="1131"/>
      <c r="O32" s="1131"/>
      <c r="P32" s="3268" t="s">
        <v>2551</v>
      </c>
      <c r="Q32" s="1808" t="str">
        <f t="shared" si="11"/>
        <v>商业类型</v>
      </c>
      <c r="R32" s="773" t="s">
        <v>17</v>
      </c>
      <c r="S32" s="774">
        <f t="shared" si="12"/>
        <v>96</v>
      </c>
      <c r="T32" s="773" t="s">
        <v>17</v>
      </c>
      <c r="U32" s="774">
        <f t="shared" si="13"/>
        <v>94</v>
      </c>
      <c r="V32" s="773" t="s">
        <v>17</v>
      </c>
      <c r="W32" s="774">
        <f t="shared" si="14"/>
        <v>94</v>
      </c>
      <c r="X32" s="1811"/>
      <c r="Y32" s="3236" t="s">
        <v>2551</v>
      </c>
      <c r="Z32" s="1812" t="str">
        <f t="shared" si="15"/>
        <v>商业类型</v>
      </c>
      <c r="AA32" s="1809">
        <f t="shared" si="3"/>
        <v>1.0416666666666667</v>
      </c>
      <c r="AB32" s="1809">
        <f t="shared" si="4"/>
        <v>1.0638297872340425</v>
      </c>
      <c r="AC32" s="1809">
        <f t="shared" si="5"/>
        <v>1.0638297872340425</v>
      </c>
    </row>
    <row r="33" spans="1:29" s="471" customFormat="1" ht="15">
      <c r="A33" s="468"/>
      <c r="B33" s="422" t="s">
        <v>2552</v>
      </c>
      <c r="C33" s="469">
        <f>'数据-基础表'!I16</f>
        <v>5777.36</v>
      </c>
      <c r="D33" s="136">
        <v>100</v>
      </c>
      <c r="E33" s="430">
        <f>案例!S9</f>
        <v>279.69</v>
      </c>
      <c r="F33" s="425">
        <f>LOOKUP(E33,103:103,104:104)-LOOKUP(C33,103:103,104:104)+100</f>
        <v>100</v>
      </c>
      <c r="G33" s="429">
        <f>案例!J10</f>
        <v>126</v>
      </c>
      <c r="H33" s="136">
        <f>LOOKUP(G33,103:103,104:104)-LOOKUP(C33,103:103,104:104)+100</f>
        <v>103</v>
      </c>
      <c r="I33" s="429">
        <f>案例!S13</f>
        <v>3831.15</v>
      </c>
      <c r="J33" s="136">
        <f>LOOKUP(I33,103:103,104:104)-LOOKUP(C33,103:103,104:104)+100</f>
        <v>100</v>
      </c>
      <c r="K33" s="613"/>
      <c r="L33" s="1138"/>
      <c r="M33" s="1141"/>
      <c r="N33" s="1141"/>
      <c r="O33" s="1141"/>
      <c r="P33" s="3269"/>
      <c r="Q33" s="775" t="str">
        <f t="shared" si="11"/>
        <v>项目建筑规模</v>
      </c>
      <c r="R33" s="776" t="s">
        <v>17</v>
      </c>
      <c r="S33" s="777">
        <f t="shared" si="12"/>
        <v>100</v>
      </c>
      <c r="T33" s="776" t="s">
        <v>17</v>
      </c>
      <c r="U33" s="777">
        <f t="shared" si="13"/>
        <v>103</v>
      </c>
      <c r="V33" s="776" t="s">
        <v>17</v>
      </c>
      <c r="W33" s="777">
        <f t="shared" si="14"/>
        <v>100</v>
      </c>
      <c r="X33" s="778"/>
      <c r="Y33" s="3236"/>
      <c r="Z33" s="779" t="str">
        <f t="shared" si="15"/>
        <v>项目建筑规模</v>
      </c>
      <c r="AA33" s="1809">
        <f t="shared" si="3"/>
        <v>1</v>
      </c>
      <c r="AB33" s="1809">
        <f t="shared" si="4"/>
        <v>0.970873786407767</v>
      </c>
      <c r="AC33" s="1809">
        <f t="shared" si="5"/>
        <v>1</v>
      </c>
    </row>
    <row r="34" spans="1:29" ht="15">
      <c r="A34" s="472"/>
      <c r="B34" s="422"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9"/>
      <c r="Q34" s="1808" t="str">
        <f t="shared" si="11"/>
        <v>建筑结构</v>
      </c>
      <c r="R34" s="773" t="s">
        <v>17</v>
      </c>
      <c r="S34" s="774">
        <f t="shared" si="12"/>
        <v>100</v>
      </c>
      <c r="T34" s="773" t="s">
        <v>17</v>
      </c>
      <c r="U34" s="774">
        <f t="shared" si="13"/>
        <v>100</v>
      </c>
      <c r="V34" s="773" t="s">
        <v>17</v>
      </c>
      <c r="W34" s="774">
        <f t="shared" si="14"/>
        <v>100</v>
      </c>
      <c r="X34" s="1811"/>
      <c r="Y34" s="3236"/>
      <c r="Z34" s="1812" t="str">
        <f t="shared" si="15"/>
        <v>建筑结构</v>
      </c>
      <c r="AA34" s="1809">
        <f t="shared" si="3"/>
        <v>1</v>
      </c>
      <c r="AB34" s="1809">
        <f t="shared" si="4"/>
        <v>1</v>
      </c>
      <c r="AC34" s="1809">
        <f t="shared" si="5"/>
        <v>1</v>
      </c>
    </row>
    <row r="35" spans="1:29" ht="15">
      <c r="A35" s="472"/>
      <c r="B35" s="422" t="s">
        <v>2647</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2</v>
      </c>
      <c r="L35" s="1140"/>
      <c r="M35" s="1131"/>
      <c r="N35" s="1131"/>
      <c r="O35" s="1131"/>
      <c r="P35" s="3269"/>
      <c r="Q35" s="1808" t="str">
        <f t="shared" si="11"/>
        <v>公共部分装修</v>
      </c>
      <c r="R35" s="773" t="s">
        <v>17</v>
      </c>
      <c r="S35" s="774">
        <f t="shared" si="12"/>
        <v>100</v>
      </c>
      <c r="T35" s="773" t="s">
        <v>17</v>
      </c>
      <c r="U35" s="774">
        <f t="shared" si="13"/>
        <v>100</v>
      </c>
      <c r="V35" s="773" t="s">
        <v>17</v>
      </c>
      <c r="W35" s="774">
        <f t="shared" si="14"/>
        <v>100</v>
      </c>
      <c r="X35" s="1811"/>
      <c r="Y35" s="3236"/>
      <c r="Z35" s="1812" t="str">
        <f t="shared" si="15"/>
        <v>公共部分装修</v>
      </c>
      <c r="AA35" s="1809">
        <f t="shared" si="3"/>
        <v>1</v>
      </c>
      <c r="AB35" s="1809">
        <f t="shared" si="4"/>
        <v>1</v>
      </c>
      <c r="AC35" s="1809">
        <f t="shared" si="5"/>
        <v>1</v>
      </c>
    </row>
    <row r="36" spans="1:29" ht="15">
      <c r="A36" s="472"/>
      <c r="B36" s="422" t="s">
        <v>2648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69"/>
      <c r="Q36" s="1808" t="str">
        <f t="shared" si="11"/>
        <v>成新度</v>
      </c>
      <c r="R36" s="773" t="s">
        <v>17</v>
      </c>
      <c r="S36" s="774">
        <f t="shared" si="12"/>
        <v>100</v>
      </c>
      <c r="T36" s="773" t="s">
        <v>17</v>
      </c>
      <c r="U36" s="774">
        <f t="shared" si="13"/>
        <v>100</v>
      </c>
      <c r="V36" s="773" t="s">
        <v>17</v>
      </c>
      <c r="W36" s="774">
        <f t="shared" si="14"/>
        <v>100</v>
      </c>
      <c r="X36" s="1811"/>
      <c r="Y36" s="3236"/>
      <c r="Z36" s="1812" t="str">
        <f t="shared" si="15"/>
        <v>成新度</v>
      </c>
      <c r="AA36" s="1809">
        <f t="shared" si="3"/>
        <v>1</v>
      </c>
      <c r="AB36" s="1809">
        <f t="shared" si="4"/>
        <v>1</v>
      </c>
      <c r="AC36" s="1809">
        <f t="shared" si="5"/>
        <v>1</v>
      </c>
    </row>
    <row r="37" spans="1:29" s="117" customFormat="1" ht="15">
      <c r="A37" s="473"/>
      <c r="B37" s="422"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9"/>
      <c r="Q37" s="1793" t="str">
        <f t="shared" si="11"/>
        <v>市政基础设施</v>
      </c>
      <c r="R37" s="769" t="s">
        <v>17</v>
      </c>
      <c r="S37" s="770">
        <f t="shared" si="12"/>
        <v>100</v>
      </c>
      <c r="T37" s="769" t="s">
        <v>17</v>
      </c>
      <c r="U37" s="770">
        <f t="shared" si="13"/>
        <v>100</v>
      </c>
      <c r="V37" s="769" t="s">
        <v>17</v>
      </c>
      <c r="W37" s="770">
        <f t="shared" si="14"/>
        <v>100</v>
      </c>
      <c r="X37" s="771"/>
      <c r="Y37" s="3236"/>
      <c r="Z37" s="55" t="str">
        <f t="shared" si="15"/>
        <v>市政基础设施</v>
      </c>
      <c r="AA37" s="772">
        <f t="shared" si="3"/>
        <v>1</v>
      </c>
      <c r="AB37" s="772">
        <f t="shared" si="4"/>
        <v>1</v>
      </c>
      <c r="AC37" s="772">
        <f t="shared" si="5"/>
        <v>1</v>
      </c>
    </row>
    <row r="38" spans="1:29" ht="15">
      <c r="A38" s="472"/>
      <c r="B38" s="422"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9" t="s">
        <v>2551</v>
      </c>
      <c r="Q38" s="1808" t="str">
        <f t="shared" si="11"/>
        <v>业态</v>
      </c>
      <c r="R38" s="773" t="s">
        <v>17</v>
      </c>
      <c r="S38" s="774">
        <f t="shared" si="12"/>
        <v>98</v>
      </c>
      <c r="T38" s="773" t="s">
        <v>17</v>
      </c>
      <c r="U38" s="774">
        <f t="shared" si="13"/>
        <v>98</v>
      </c>
      <c r="V38" s="773" t="s">
        <v>17</v>
      </c>
      <c r="W38" s="774">
        <f t="shared" si="14"/>
        <v>98</v>
      </c>
      <c r="X38" s="1811"/>
      <c r="Y38" s="3236" t="s">
        <v>2551</v>
      </c>
      <c r="Z38" s="1812" t="str">
        <f t="shared" si="15"/>
        <v>业态</v>
      </c>
      <c r="AA38" s="1809">
        <f t="shared" si="3"/>
        <v>1.0204081632653061</v>
      </c>
      <c r="AB38" s="1809">
        <f t="shared" si="4"/>
        <v>1.0204081632653061</v>
      </c>
      <c r="AC38" s="1809">
        <f t="shared" si="5"/>
        <v>1.0204081632653061</v>
      </c>
    </row>
    <row r="39" spans="1:29" ht="15">
      <c r="A39" s="472"/>
      <c r="B39" s="422" t="s">
        <v>2651</v>
      </c>
      <c r="C39" s="2608" t="s">
        <v>3088</v>
      </c>
      <c r="D39" s="435">
        <v>100</v>
      </c>
      <c r="E39" s="2608" t="s">
        <v>3088</v>
      </c>
      <c r="F39" s="461">
        <f>SUMIF(116:116,E39,117:117)-SUMIF(116:116,C39,117:117)+100</f>
        <v>100</v>
      </c>
      <c r="G39" s="2608" t="s">
        <v>3088</v>
      </c>
      <c r="H39" s="435">
        <f>SUMIF(116:116,G39,117:117)-SUMIF(116:116,C39,117:117)+100</f>
        <v>100</v>
      </c>
      <c r="I39" s="2608" t="s">
        <v>3288</v>
      </c>
      <c r="J39" s="435">
        <f>SUMIF(116:116,I39,117:117)-SUMIF(116:116,C39,117:117)+100</f>
        <v>105</v>
      </c>
      <c r="K39" s="612">
        <v>5</v>
      </c>
      <c r="L39" s="1140"/>
      <c r="M39" s="1131"/>
      <c r="N39" s="1131"/>
      <c r="O39" s="1131"/>
      <c r="P39" s="3269"/>
      <c r="Q39" s="1808" t="str">
        <f t="shared" si="11"/>
        <v>层高</v>
      </c>
      <c r="R39" s="773" t="s">
        <v>17</v>
      </c>
      <c r="S39" s="774">
        <f t="shared" si="12"/>
        <v>100</v>
      </c>
      <c r="T39" s="773" t="s">
        <v>17</v>
      </c>
      <c r="U39" s="774">
        <f t="shared" si="13"/>
        <v>100</v>
      </c>
      <c r="V39" s="773" t="s">
        <v>17</v>
      </c>
      <c r="W39" s="774">
        <f t="shared" si="14"/>
        <v>105</v>
      </c>
      <c r="X39" s="1811"/>
      <c r="Y39" s="3236"/>
      <c r="Z39" s="1812" t="str">
        <f t="shared" si="15"/>
        <v>层高</v>
      </c>
      <c r="AA39" s="1809">
        <f t="shared" si="3"/>
        <v>1</v>
      </c>
      <c r="AB39" s="1809">
        <f t="shared" si="4"/>
        <v>1</v>
      </c>
      <c r="AC39" s="1809">
        <f t="shared" si="5"/>
        <v>0.95238095238095233</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9"/>
      <c r="Q40" s="1808" t="str">
        <f t="shared" si="11"/>
        <v>单套建筑面积</v>
      </c>
      <c r="R40" s="773" t="s">
        <v>17</v>
      </c>
      <c r="S40" s="774">
        <f t="shared" si="12"/>
        <v>100</v>
      </c>
      <c r="T40" s="773" t="s">
        <v>17</v>
      </c>
      <c r="U40" s="774">
        <f t="shared" si="13"/>
        <v>100</v>
      </c>
      <c r="V40" s="773" t="s">
        <v>17</v>
      </c>
      <c r="W40" s="774">
        <f t="shared" si="14"/>
        <v>100</v>
      </c>
      <c r="X40" s="1811"/>
      <c r="Y40" s="3236"/>
      <c r="Z40" s="1812" t="str">
        <f t="shared" si="15"/>
        <v>单套建筑面积</v>
      </c>
      <c r="AA40" s="1809">
        <f t="shared" si="3"/>
        <v>1</v>
      </c>
      <c r="AB40" s="1809">
        <f t="shared" si="4"/>
        <v>1</v>
      </c>
      <c r="AC40" s="1809">
        <f t="shared" si="5"/>
        <v>1</v>
      </c>
    </row>
    <row r="41" spans="1:29" s="471" customFormat="1" ht="15">
      <c r="A41" s="468"/>
      <c r="B41" s="1810"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9"/>
      <c r="Q41" s="775" t="str">
        <f t="shared" si="11"/>
        <v>进深比</v>
      </c>
      <c r="R41" s="776" t="s">
        <v>17</v>
      </c>
      <c r="S41" s="777">
        <f t="shared" si="12"/>
        <v>100</v>
      </c>
      <c r="T41" s="776" t="s">
        <v>17</v>
      </c>
      <c r="U41" s="777">
        <f t="shared" si="13"/>
        <v>100</v>
      </c>
      <c r="V41" s="776" t="s">
        <v>17</v>
      </c>
      <c r="W41" s="777">
        <f t="shared" si="14"/>
        <v>100</v>
      </c>
      <c r="X41" s="778"/>
      <c r="Y41" s="3236"/>
      <c r="Z41" s="779" t="str">
        <f t="shared" si="15"/>
        <v>进深比</v>
      </c>
      <c r="AA41" s="1809">
        <f t="shared" si="3"/>
        <v>1</v>
      </c>
      <c r="AB41" s="1809">
        <f t="shared" si="4"/>
        <v>1</v>
      </c>
      <c r="AC41" s="1809">
        <f t="shared" si="5"/>
        <v>1</v>
      </c>
    </row>
    <row r="42" spans="1:29" ht="15">
      <c r="A42" s="472"/>
      <c r="B42" s="422" t="s">
        <v>2654</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40"/>
      <c r="M42" s="1131"/>
      <c r="N42" s="1131"/>
      <c r="O42" s="1131"/>
      <c r="P42" s="3269"/>
      <c r="Q42" s="1808" t="str">
        <f t="shared" si="11"/>
        <v>内部装修</v>
      </c>
      <c r="R42" s="773" t="s">
        <v>17</v>
      </c>
      <c r="S42" s="774">
        <f t="shared" si="12"/>
        <v>100</v>
      </c>
      <c r="T42" s="773" t="s">
        <v>17</v>
      </c>
      <c r="U42" s="774">
        <f t="shared" si="13"/>
        <v>100</v>
      </c>
      <c r="V42" s="773" t="s">
        <v>17</v>
      </c>
      <c r="W42" s="774">
        <f t="shared" si="14"/>
        <v>100</v>
      </c>
      <c r="X42" s="1811"/>
      <c r="Y42" s="3236"/>
      <c r="Z42" s="1812" t="str">
        <f t="shared" si="15"/>
        <v>内部装修</v>
      </c>
      <c r="AA42" s="1809">
        <f t="shared" si="3"/>
        <v>1</v>
      </c>
      <c r="AB42" s="1809">
        <f t="shared" si="4"/>
        <v>1</v>
      </c>
      <c r="AC42" s="1809">
        <f t="shared" si="5"/>
        <v>1</v>
      </c>
    </row>
    <row r="43" spans="1:29" ht="15.75" thickBot="1">
      <c r="A43" s="472"/>
      <c r="B43" s="422" t="s">
        <v>2562</v>
      </c>
      <c r="C43" s="2608" t="s">
        <v>3057</v>
      </c>
      <c r="D43" s="435">
        <v>100</v>
      </c>
      <c r="E43" s="2608" t="s">
        <v>3058</v>
      </c>
      <c r="F43" s="461">
        <f>SUMIF(124:124,E43,125:125)-SUMIF(124:124,C43,125:125)+100</f>
        <v>102</v>
      </c>
      <c r="G43" s="2608" t="s">
        <v>3058</v>
      </c>
      <c r="H43" s="435">
        <f>SUMIF(124:124,G43,125:125)-SUMIF(124:124,C43,125:125)+100</f>
        <v>102</v>
      </c>
      <c r="I43" s="2608" t="s">
        <v>3058</v>
      </c>
      <c r="J43" s="435">
        <f>SUMIF(124:124,I43,125:125)-SUMIF(124:124,C43,125:125)+100</f>
        <v>102</v>
      </c>
      <c r="K43" s="612">
        <v>2</v>
      </c>
      <c r="L43" s="1140"/>
      <c r="M43" s="1131"/>
      <c r="N43" s="1131"/>
      <c r="O43" s="1131"/>
      <c r="P43" s="3269"/>
      <c r="Q43" s="1808" t="str">
        <f t="shared" si="11"/>
        <v>内部装修维护情况</v>
      </c>
      <c r="R43" s="773" t="s">
        <v>17</v>
      </c>
      <c r="S43" s="774">
        <f t="shared" si="12"/>
        <v>102</v>
      </c>
      <c r="T43" s="773" t="s">
        <v>17</v>
      </c>
      <c r="U43" s="774">
        <f t="shared" si="13"/>
        <v>102</v>
      </c>
      <c r="V43" s="773" t="s">
        <v>17</v>
      </c>
      <c r="W43" s="774">
        <f t="shared" si="14"/>
        <v>102</v>
      </c>
      <c r="X43" s="1811"/>
      <c r="Y43" s="3236"/>
      <c r="Z43" s="1812" t="str">
        <f t="shared" si="15"/>
        <v>内部装修维护情况</v>
      </c>
      <c r="AA43" s="1809">
        <f t="shared" si="3"/>
        <v>0.98039215686274506</v>
      </c>
      <c r="AB43" s="1809">
        <f t="shared" si="4"/>
        <v>0.98039215686274506</v>
      </c>
      <c r="AC43" s="1809">
        <f t="shared" si="5"/>
        <v>0.98039215686274506</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9"/>
      <c r="Q44" s="1793">
        <f t="shared" si="11"/>
        <v>111</v>
      </c>
      <c r="R44" s="769" t="s">
        <v>17</v>
      </c>
      <c r="S44" s="770">
        <f t="shared" si="12"/>
        <v>100</v>
      </c>
      <c r="T44" s="769" t="s">
        <v>17</v>
      </c>
      <c r="U44" s="770">
        <f t="shared" si="13"/>
        <v>100</v>
      </c>
      <c r="V44" s="769" t="s">
        <v>17</v>
      </c>
      <c r="W44" s="770">
        <f t="shared" si="14"/>
        <v>100</v>
      </c>
      <c r="X44" s="771"/>
      <c r="Y44" s="3236"/>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9"/>
      <c r="Q45" s="1808">
        <f t="shared" si="11"/>
        <v>111</v>
      </c>
      <c r="R45" s="773" t="s">
        <v>17</v>
      </c>
      <c r="S45" s="774">
        <f t="shared" si="12"/>
        <v>100</v>
      </c>
      <c r="T45" s="773" t="s">
        <v>17</v>
      </c>
      <c r="U45" s="774">
        <f t="shared" si="13"/>
        <v>100</v>
      </c>
      <c r="V45" s="773" t="s">
        <v>17</v>
      </c>
      <c r="W45" s="774">
        <f t="shared" si="14"/>
        <v>100</v>
      </c>
      <c r="X45" s="1811"/>
      <c r="Y45" s="3236"/>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0"/>
      <c r="Q46" s="1808">
        <f t="shared" si="11"/>
        <v>111</v>
      </c>
      <c r="R46" s="773" t="s">
        <v>17</v>
      </c>
      <c r="S46" s="774">
        <f t="shared" si="12"/>
        <v>100</v>
      </c>
      <c r="T46" s="773" t="s">
        <v>17</v>
      </c>
      <c r="U46" s="774">
        <f t="shared" si="13"/>
        <v>100</v>
      </c>
      <c r="V46" s="773" t="s">
        <v>17</v>
      </c>
      <c r="W46" s="774">
        <f t="shared" si="14"/>
        <v>100</v>
      </c>
      <c r="X46" s="1811"/>
      <c r="Y46" s="3271"/>
      <c r="Z46" s="1812">
        <f t="shared" si="15"/>
        <v>111</v>
      </c>
      <c r="AA46" s="1809">
        <f t="shared" si="3"/>
        <v>1</v>
      </c>
      <c r="AB46" s="1809">
        <f t="shared" si="4"/>
        <v>1</v>
      </c>
      <c r="AC46" s="1809">
        <f t="shared" si="5"/>
        <v>1</v>
      </c>
    </row>
    <row r="47" spans="1:29" ht="15">
      <c r="A47" s="479" t="s">
        <v>2563</v>
      </c>
      <c r="B47" s="480"/>
      <c r="C47" s="1407" t="s">
        <v>1</v>
      </c>
      <c r="D47" s="1408"/>
      <c r="E47" s="1409">
        <f>案例!T9</f>
        <v>40896</v>
      </c>
      <c r="F47" s="1410"/>
      <c r="G47" s="1411">
        <f>案例!G10</f>
        <v>48321</v>
      </c>
      <c r="H47" s="1412"/>
      <c r="I47" s="1409">
        <f>案例!T13</f>
        <v>48753</v>
      </c>
      <c r="J47" s="1412"/>
      <c r="K47" s="782"/>
      <c r="L47" s="1143"/>
      <c r="M47" s="1144"/>
      <c r="N47" s="1131"/>
      <c r="O47" s="1144"/>
      <c r="P47" s="3218" t="str">
        <f>A47</f>
        <v>成交单价（元/平方米）</v>
      </c>
      <c r="Q47" s="3218"/>
      <c r="R47" s="3231">
        <f>E47</f>
        <v>40896</v>
      </c>
      <c r="S47" s="3231"/>
      <c r="T47" s="3231">
        <f>G47</f>
        <v>48321</v>
      </c>
      <c r="U47" s="3231"/>
      <c r="V47" s="3231">
        <f>I47</f>
        <v>48753</v>
      </c>
      <c r="W47" s="3231"/>
      <c r="X47" s="758"/>
      <c r="Y47" s="780"/>
      <c r="Z47" s="758"/>
      <c r="AA47" s="758"/>
      <c r="AB47" s="758"/>
      <c r="AC47" s="758"/>
    </row>
    <row r="48" spans="1:29" ht="15.75" thickBot="1">
      <c r="A48" s="486" t="s">
        <v>2655</v>
      </c>
      <c r="B48" s="487"/>
      <c r="C48" s="1413">
        <f>R49</f>
        <v>46696</v>
      </c>
      <c r="D48" s="1414"/>
      <c r="E48" s="1415">
        <f>R48</f>
        <v>42203</v>
      </c>
      <c r="F48" s="1415"/>
      <c r="G48" s="1413">
        <f>T48</f>
        <v>48949</v>
      </c>
      <c r="H48" s="1414"/>
      <c r="I48" s="1415">
        <f>V48</f>
        <v>48935</v>
      </c>
      <c r="J48" s="1414"/>
      <c r="K48" s="783"/>
      <c r="L48" s="1143"/>
      <c r="M48" s="1144"/>
      <c r="N48" s="1131"/>
      <c r="O48" s="1144"/>
      <c r="P48" s="3218" t="str">
        <f>A48</f>
        <v>比较价值（元/平方米）</v>
      </c>
      <c r="Q48" s="3218"/>
      <c r="R48" s="3272">
        <f>IF(F1="售价",ROUND(PRODUCT(R47,AA7:AA46),0),ROUND(PRODUCT(R47,AA7:AA46),1))</f>
        <v>42203</v>
      </c>
      <c r="S48" s="3272"/>
      <c r="T48" s="3272">
        <f>IF(F1="售价",ROUND(PRODUCT(T47,AB7:AB46),0),ROUND(PRODUCT(T47,AB7:AB46),1))</f>
        <v>48949</v>
      </c>
      <c r="U48" s="3272"/>
      <c r="V48" s="3272">
        <f>IF(F1="售价",ROUND(PRODUCT(V47,AC7:AC46),0),ROUND(PRODUCT(V47,AC7:AC46),1))</f>
        <v>48935</v>
      </c>
      <c r="W48" s="3272"/>
      <c r="X48" s="758"/>
      <c r="Y48" s="758"/>
      <c r="Z48" s="758"/>
      <c r="AA48" s="758"/>
      <c r="AB48" s="758"/>
      <c r="AC48" s="758"/>
    </row>
    <row r="49" spans="1:29" ht="15.75" thickBot="1">
      <c r="A49" s="492" t="s">
        <v>2656</v>
      </c>
      <c r="B49" s="493"/>
      <c r="C49" s="1417">
        <f>R49</f>
        <v>46696</v>
      </c>
      <c r="D49" s="1417"/>
      <c r="E49" s="1417"/>
      <c r="F49" s="1417"/>
      <c r="G49" s="1417"/>
      <c r="H49" s="1417"/>
      <c r="I49" s="1417"/>
      <c r="J49" s="1417"/>
      <c r="K49" s="784"/>
      <c r="L49" s="1143"/>
      <c r="M49" s="1144"/>
      <c r="N49" s="1131"/>
      <c r="O49" s="1144"/>
      <c r="P49" s="3238" t="str">
        <f>A49</f>
        <v>估价对象XX用房的比较价值（楼面单价，元/平方米）</v>
      </c>
      <c r="Q49" s="3239"/>
      <c r="R49" s="3273">
        <f>IF(F1="售价",ROUND(AVERAGE(R48:V48),0),ROUND(AVERAGE(R48:V48),1))</f>
        <v>46696</v>
      </c>
      <c r="S49" s="3273"/>
      <c r="T49" s="3273"/>
      <c r="U49" s="3273"/>
      <c r="V49" s="3273"/>
      <c r="W49" s="3273"/>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3.1959115805946903E-2</v>
      </c>
      <c r="F52" s="500" t="str">
        <f>IF(OR(E52&gt;=0.3,E52&lt;=-0.3),"超过30%","")</f>
        <v/>
      </c>
      <c r="G52" s="499">
        <f>IF(G47&lt;G48,G48/G47-1,G47/G48-1)</f>
        <v>1.2996419776080792E-2</v>
      </c>
      <c r="H52" s="500" t="str">
        <f>IF(OR(G52&gt;=0.3,G52&lt;=-0.3),"超过30%","")</f>
        <v/>
      </c>
      <c r="I52" s="499">
        <f>IF(I47&lt;I48,I48/I47-1,I47/I48-1)</f>
        <v>3.7331036038807941E-3</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0.15984645641305129</v>
      </c>
      <c r="F53" s="500" t="str">
        <f>IF(OR(E53&gt;=0.2,E53&lt;=-0.2),"超过20%","")</f>
        <v/>
      </c>
      <c r="G53" s="499">
        <f>IF(G48&lt;I48,I48/G48-1,G48/I48-1)</f>
        <v>2.8609379789523715E-4</v>
      </c>
      <c r="H53" s="500" t="str">
        <f>IF(OR(G53&gt;=0.2,G53&lt;=-0.2),"超过20%","")</f>
        <v/>
      </c>
      <c r="I53" s="499">
        <f>IF(I48&lt;E48,E48/I48-1,I48/E48-1)</f>
        <v>0.1595147264412482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0.18155809859154926</v>
      </c>
      <c r="F54" s="500" t="str">
        <f>IF(OR(E54&gt;=0.3,E54&lt;=-0.3),"超过30%","")</f>
        <v/>
      </c>
      <c r="G54" s="499">
        <f>IF(G47&lt;I47,I47/G47-1,G47/I47-1)</f>
        <v>8.9402123300428293E-3</v>
      </c>
      <c r="H54" s="500" t="str">
        <f>IF(OR(G54&gt;=0.3,G54&lt;=-0.3),"超过30%","")</f>
        <v/>
      </c>
      <c r="I54" s="499">
        <f>IF(I47&lt;E47,E47/I47-1,I47/E47-1)</f>
        <v>0.19212147887323949</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f>C59-1</f>
        <v>99</v>
      </c>
      <c r="E59" s="512">
        <f t="shared" ref="E59:I59" si="17">D59-1</f>
        <v>98</v>
      </c>
      <c r="F59" s="512">
        <f t="shared" si="17"/>
        <v>97</v>
      </c>
      <c r="G59" s="512">
        <f t="shared" si="17"/>
        <v>96</v>
      </c>
      <c r="H59" s="512">
        <f t="shared" si="17"/>
        <v>95</v>
      </c>
      <c r="I59" s="512">
        <f t="shared" si="17"/>
        <v>94</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18449</v>
      </c>
      <c r="F62" s="512">
        <f>ROUND(F61*10000/G33*D61,0)</f>
        <v>47619</v>
      </c>
      <c r="G62" s="512">
        <f>ROUND(G61*10000/I33*D61,0)</f>
        <v>2086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3281</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15.7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4"/>
      <c r="O103" s="1154"/>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5"/>
      <c r="Q115" s="504"/>
    </row>
    <row r="116" spans="1:17" ht="15" thickTop="1">
      <c r="A116" s="599"/>
      <c r="B116" s="538" t="s">
        <v>2669</v>
      </c>
      <c r="C116" s="2962" t="s">
        <v>3289</v>
      </c>
      <c r="D116" s="2962" t="s">
        <v>3290</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9" spans="1:17">
      <c r="E139" s="403">
        <v>1</v>
      </c>
      <c r="F139" s="403">
        <v>1</v>
      </c>
      <c r="G139" s="403">
        <f>C49</f>
        <v>46696</v>
      </c>
      <c r="H139" s="403">
        <v>5777.36</v>
      </c>
      <c r="I139" s="403">
        <f t="shared" ref="I139:I149" si="33">ROUND(H139*G139/10000,0)</f>
        <v>26978</v>
      </c>
    </row>
    <row r="140" spans="1:17">
      <c r="E140" s="403">
        <v>2</v>
      </c>
      <c r="F140" s="403">
        <v>0.7</v>
      </c>
      <c r="G140" s="403">
        <f t="shared" ref="G140:G149" si="34">ROUND($G$139*F140,0)</f>
        <v>32687</v>
      </c>
      <c r="H140" s="403">
        <v>4352.83</v>
      </c>
      <c r="I140" s="403">
        <f t="shared" si="33"/>
        <v>14228</v>
      </c>
    </row>
    <row r="141" spans="1:17">
      <c r="E141" s="403">
        <v>3</v>
      </c>
      <c r="F141" s="403">
        <v>0.65</v>
      </c>
      <c r="G141" s="403">
        <f t="shared" si="34"/>
        <v>30352</v>
      </c>
      <c r="H141" s="403">
        <v>5204.8599999999997</v>
      </c>
      <c r="I141" s="403">
        <f t="shared" si="33"/>
        <v>15798</v>
      </c>
    </row>
    <row r="142" spans="1:17">
      <c r="E142" s="403">
        <v>4</v>
      </c>
      <c r="F142" s="403">
        <v>0.6</v>
      </c>
      <c r="G142" s="403">
        <f t="shared" si="34"/>
        <v>28018</v>
      </c>
      <c r="H142" s="403">
        <v>2872.01</v>
      </c>
      <c r="I142" s="403">
        <f t="shared" si="33"/>
        <v>8047</v>
      </c>
    </row>
    <row r="143" spans="1:17">
      <c r="E143" s="403">
        <v>5</v>
      </c>
      <c r="F143" s="403">
        <v>0.55000000000000004</v>
      </c>
      <c r="G143" s="403">
        <f t="shared" si="34"/>
        <v>25683</v>
      </c>
      <c r="H143" s="403">
        <v>2485.44</v>
      </c>
      <c r="I143" s="403">
        <f t="shared" si="33"/>
        <v>6383</v>
      </c>
    </row>
    <row r="144" spans="1:17">
      <c r="E144" s="403">
        <v>6</v>
      </c>
      <c r="F144" s="403">
        <v>0.55000000000000004</v>
      </c>
      <c r="G144" s="403">
        <f t="shared" si="34"/>
        <v>25683</v>
      </c>
      <c r="H144" s="403">
        <v>1242.72</v>
      </c>
      <c r="I144" s="403">
        <f t="shared" si="33"/>
        <v>3192</v>
      </c>
    </row>
    <row r="145" spans="5:9">
      <c r="E145" s="403">
        <v>7</v>
      </c>
      <c r="F145" s="403">
        <v>0.55000000000000004</v>
      </c>
      <c r="G145" s="403">
        <f t="shared" si="34"/>
        <v>25683</v>
      </c>
      <c r="H145" s="403">
        <v>2485.44</v>
      </c>
      <c r="I145" s="403">
        <f t="shared" si="33"/>
        <v>6383</v>
      </c>
    </row>
    <row r="146" spans="5:9">
      <c r="E146" s="403">
        <v>8</v>
      </c>
      <c r="F146" s="403">
        <v>0.55000000000000004</v>
      </c>
      <c r="G146" s="403">
        <f t="shared" si="34"/>
        <v>25683</v>
      </c>
      <c r="H146" s="403">
        <v>2526.8000000000002</v>
      </c>
      <c r="I146" s="403">
        <f t="shared" si="33"/>
        <v>6490</v>
      </c>
    </row>
    <row r="147" spans="5:9">
      <c r="E147" s="403">
        <v>9</v>
      </c>
      <c r="F147" s="403">
        <v>0.55000000000000004</v>
      </c>
      <c r="G147" s="403">
        <f t="shared" si="34"/>
        <v>25683</v>
      </c>
      <c r="H147" s="403">
        <v>2476.8000000000002</v>
      </c>
      <c r="I147" s="403">
        <f t="shared" si="33"/>
        <v>6361</v>
      </c>
    </row>
    <row r="148" spans="5:9">
      <c r="E148" s="403">
        <v>10</v>
      </c>
      <c r="F148" s="403">
        <v>0.55000000000000004</v>
      </c>
      <c r="G148" s="403">
        <f t="shared" si="34"/>
        <v>25683</v>
      </c>
      <c r="H148" s="403">
        <v>3026.88</v>
      </c>
      <c r="I148" s="403">
        <f t="shared" si="33"/>
        <v>7774</v>
      </c>
    </row>
    <row r="149" spans="5:9">
      <c r="E149" s="403">
        <v>11</v>
      </c>
      <c r="F149" s="403">
        <v>0.55000000000000004</v>
      </c>
      <c r="G149" s="403">
        <f t="shared" si="34"/>
        <v>25683</v>
      </c>
      <c r="H149" s="403">
        <v>2220.48</v>
      </c>
      <c r="I149" s="403">
        <f t="shared" si="33"/>
        <v>5703</v>
      </c>
    </row>
    <row r="150" spans="5:9">
      <c r="H150" s="3010">
        <v>34671.619999999995</v>
      </c>
      <c r="I150" s="3010">
        <f>SUM(I139:I149)</f>
        <v>107337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102779</v>
      </c>
      <c r="C2" s="1843" t="s">
        <v>1592</v>
      </c>
      <c r="D2" s="1936">
        <f ca="1">C40+J29+L46</f>
        <v>1027788533</v>
      </c>
      <c r="E2" s="1844" t="s">
        <v>1593</v>
      </c>
      <c r="F2" s="1845"/>
      <c r="G2" s="1846"/>
      <c r="H2" s="1838"/>
      <c r="I2" s="1838"/>
      <c r="J2" s="1838"/>
      <c r="K2" s="1839"/>
      <c r="L2" s="1838"/>
      <c r="M2" s="1838"/>
    </row>
    <row r="3" spans="1:37" ht="18" customHeight="1" thickBot="1">
      <c r="A3" s="1847" t="s">
        <v>1594</v>
      </c>
      <c r="B3" s="1848">
        <f ca="1">IF(ISERROR(D2/F43),0,ROUND(D2/F43,0))</f>
        <v>29644</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57027231</v>
      </c>
      <c r="D5" s="1820" t="s">
        <v>1602</v>
      </c>
      <c r="E5" s="1293"/>
      <c r="F5" s="1294"/>
      <c r="G5" s="1849"/>
      <c r="H5" s="344">
        <v>1</v>
      </c>
      <c r="I5" s="345" t="s">
        <v>1601</v>
      </c>
      <c r="J5" s="1292">
        <f ca="1">J6+J10+J12</f>
        <v>0</v>
      </c>
      <c r="K5" s="1820" t="s">
        <v>1602</v>
      </c>
      <c r="L5" s="1293"/>
      <c r="M5" s="1294"/>
    </row>
    <row r="6" spans="1:37" ht="18" customHeight="1">
      <c r="A6" s="1291" t="s">
        <v>1035</v>
      </c>
      <c r="B6" s="3274" t="s">
        <v>1403</v>
      </c>
      <c r="C6" s="1296">
        <f ca="1">ROUND(F6*F8*F7*(1-F9),0)</f>
        <v>56948136</v>
      </c>
      <c r="D6" s="164" t="s">
        <v>3008</v>
      </c>
      <c r="E6" s="347" t="s">
        <v>1405</v>
      </c>
      <c r="F6" s="348">
        <f ca="1">INDIRECT("'数据-取费表'!u"&amp;$G$1)</f>
        <v>5</v>
      </c>
      <c r="G6" s="1849"/>
      <c r="H6" s="1291" t="s">
        <v>1035</v>
      </c>
      <c r="I6" s="3274" t="s">
        <v>1403</v>
      </c>
      <c r="J6" s="346">
        <f ca="1">ROUND(M6*M8*M7*(1-M9),0)</f>
        <v>0</v>
      </c>
      <c r="K6" s="1832" t="s">
        <v>3011</v>
      </c>
      <c r="L6" s="347" t="s">
        <v>1405</v>
      </c>
      <c r="M6" s="348">
        <f ca="1">INDIRECT("'数据-取费表'!z"&amp;$G$1)</f>
        <v>0</v>
      </c>
    </row>
    <row r="7" spans="1:37" ht="18" customHeight="1">
      <c r="A7" s="1295"/>
      <c r="B7" s="3275"/>
      <c r="C7" s="1297"/>
      <c r="D7" s="352"/>
      <c r="E7" s="1298" t="s">
        <v>1406</v>
      </c>
      <c r="F7" s="348">
        <f ca="1">IF(INDIRECT("'数据-取费表'!ah"&amp;$G$1)="",INDIRECT("'数据-取费表'!k"&amp;$G$1),INDIRECT("'数据-取费表'!ah"&amp;$G$1))</f>
        <v>34671.619999999995</v>
      </c>
      <c r="G7" s="1849"/>
      <c r="H7" s="349"/>
      <c r="I7" s="3275"/>
      <c r="J7" s="351"/>
      <c r="K7" s="352"/>
      <c r="L7" s="347" t="s">
        <v>1406</v>
      </c>
      <c r="M7" s="348">
        <f ca="1">F7</f>
        <v>34671.619999999995</v>
      </c>
    </row>
    <row r="8" spans="1:37" ht="18" customHeight="1">
      <c r="A8" s="349"/>
      <c r="B8" s="3275"/>
      <c r="C8" s="351"/>
      <c r="D8" s="352"/>
      <c r="E8" s="347" t="s">
        <v>1407</v>
      </c>
      <c r="F8" s="348">
        <f ca="1">INDIRECT("'数据-取费表'!ai"&amp;$G$1)</f>
        <v>365</v>
      </c>
      <c r="G8" s="1849"/>
      <c r="H8" s="349"/>
      <c r="I8" s="3275"/>
      <c r="J8" s="351"/>
      <c r="K8" s="352"/>
      <c r="L8" s="347" t="s">
        <v>1407</v>
      </c>
      <c r="M8" s="348">
        <f ca="1">INDIRECT("'数据-取费表'!ai"&amp;$G$1)</f>
        <v>365</v>
      </c>
    </row>
    <row r="9" spans="1:37" ht="18" customHeight="1">
      <c r="A9" s="349"/>
      <c r="B9" s="3276"/>
      <c r="C9" s="351"/>
      <c r="D9" s="352"/>
      <c r="E9" s="347" t="s">
        <v>1408</v>
      </c>
      <c r="F9" s="357">
        <f ca="1">INDIRECT("'数据-取费表'!w"&amp;$G$1)</f>
        <v>0.1</v>
      </c>
      <c r="G9" s="1849"/>
      <c r="H9" s="349"/>
      <c r="I9" s="3276"/>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79095</v>
      </c>
      <c r="D10" s="1822" t="s">
        <v>3009</v>
      </c>
      <c r="E10" s="358" t="s">
        <v>1411</v>
      </c>
      <c r="F10" s="1366" t="s">
        <v>3098</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135378563</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86679050</v>
      </c>
      <c r="D14" s="1798" t="s">
        <v>1419</v>
      </c>
      <c r="E14" s="1792"/>
      <c r="F14" s="364"/>
      <c r="G14" s="1849"/>
      <c r="H14" s="1201" t="s">
        <v>1035</v>
      </c>
      <c r="I14" s="347" t="s">
        <v>1420</v>
      </c>
      <c r="J14" s="24">
        <f ca="1">C29</f>
        <v>135378563</v>
      </c>
      <c r="K14" s="15"/>
      <c r="L14" s="981"/>
      <c r="M14" s="982"/>
    </row>
    <row r="15" spans="1:37" s="1856" customFormat="1" ht="18" customHeight="1" thickBot="1">
      <c r="A15" s="1201" t="s">
        <v>1036</v>
      </c>
      <c r="B15" s="347" t="s">
        <v>1421</v>
      </c>
      <c r="C15" s="24">
        <f ca="1">ROUND(C14*F15,0)</f>
        <v>4333953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3203382</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1172704</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1300186</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100375527</v>
      </c>
      <c r="D19" s="140" t="s">
        <v>1437</v>
      </c>
      <c r="E19" s="1816"/>
      <c r="F19" s="26"/>
      <c r="G19" s="1849"/>
      <c r="H19" s="1201" t="s">
        <v>1036</v>
      </c>
      <c r="I19" s="347" t="s">
        <v>1438</v>
      </c>
      <c r="J19" s="24">
        <f ca="1">IF(K19="按租金收入计税",ROUND(J5*M19,0),ROUND(C29*M19*0.7,0))</f>
        <v>1137180</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1003755</v>
      </c>
      <c r="D20" s="369" t="s">
        <v>1441</v>
      </c>
      <c r="E20" s="347" t="s">
        <v>1423</v>
      </c>
      <c r="F20" s="367">
        <f>'数据-取费表'!B37</f>
        <v>0.01</v>
      </c>
      <c r="G20" s="1852"/>
      <c r="H20" s="1201" t="s">
        <v>1389</v>
      </c>
      <c r="I20" s="164" t="s">
        <v>1442</v>
      </c>
      <c r="J20" s="25">
        <f ca="1">ROUND(M20*M21,0)</f>
        <v>35524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2030678</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4815516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-3203382</v>
      </c>
      <c r="K25" s="1345" t="s">
        <v>1465</v>
      </c>
      <c r="L25" s="1346"/>
      <c r="M25" s="1347"/>
    </row>
    <row r="26" spans="1:37" ht="18" customHeight="1">
      <c r="A26" s="1201" t="s">
        <v>1034</v>
      </c>
      <c r="B26" s="347" t="s">
        <v>1466</v>
      </c>
      <c r="C26" s="24">
        <f ca="1">ROUND((C19+C20)*F26,0)</f>
        <v>20275856</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135378563</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7018174</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4214156</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3041452</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1137180</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35524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ROUND(C29*F36,0)</f>
        <v>2030678</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ROUND(C13*F37,0)</f>
        <v>203068</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570272.30000000005</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50009057</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1027788533</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ROUND(C40/F43,0)</f>
        <v>29644</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-1097798056</v>
      </c>
      <c r="D45" s="1938" t="s">
        <v>1605</v>
      </c>
      <c r="E45" s="1864"/>
      <c r="F45" s="1864"/>
      <c r="O45" s="1867" t="s">
        <v>1520</v>
      </c>
      <c r="P45" s="1837"/>
      <c r="Q45" s="1837"/>
      <c r="R45" s="1837"/>
    </row>
    <row r="46" spans="1:18" s="1840" customFormat="1" ht="13.5" thickBot="1">
      <c r="A46" s="1868" t="s">
        <v>1521</v>
      </c>
      <c r="C46" s="1869">
        <f ca="1">ROUND(C45/10000,0)</f>
        <v>-109780</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1027788533</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135378563</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52</v>
      </c>
      <c r="K51" s="1898" t="s">
        <v>1542</v>
      </c>
      <c r="L51" s="1899">
        <f ca="1">ROUND(-PV(INDIRECT("'数据-取费表'!h"&amp;$G$1),L48,(C39-C13*C76),0),0)</f>
        <v>628855859</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77" t="s">
        <v>1549</v>
      </c>
      <c r="L53" s="3278"/>
      <c r="O53" s="1882" t="s">
        <v>1046</v>
      </c>
      <c r="P53" s="1883" t="s">
        <v>1550</v>
      </c>
      <c r="Q53" s="1884">
        <f ca="1">Q47+Q48</f>
        <v>1027788533</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135378563</v>
      </c>
      <c r="D56" s="1912"/>
      <c r="E56" s="1913"/>
      <c r="F56" s="1905"/>
      <c r="I56" s="1914" t="s">
        <v>1555</v>
      </c>
      <c r="J56" s="1915" t="s">
        <v>3032</v>
      </c>
      <c r="K56" s="1885" t="s">
        <v>1556</v>
      </c>
      <c r="L56" s="1888" t="str">
        <f ca="1">IF(L48&lt;J51,"——",L48-J51)</f>
        <v>——</v>
      </c>
      <c r="O56" s="1882" t="s">
        <v>1040</v>
      </c>
      <c r="P56" s="1883" t="s">
        <v>1529</v>
      </c>
      <c r="Q56" s="1884">
        <f ca="1">C40+J29</f>
        <v>1027788533</v>
      </c>
      <c r="R56" s="1884" t="s">
        <v>1530</v>
      </c>
    </row>
    <row r="57" spans="1:18" s="1840" customFormat="1" ht="24.75" thickBot="1">
      <c r="A57" s="1916"/>
      <c r="B57" s="1169" t="s">
        <v>1479</v>
      </c>
      <c r="C57" s="282">
        <f ca="1">C29</f>
        <v>135378563</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3406450</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1172704</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1137180</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35524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1027788533</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2030678</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203068</v>
      </c>
      <c r="D65" s="1183" t="s">
        <v>1455</v>
      </c>
      <c r="E65" s="1169" t="s">
        <v>1456</v>
      </c>
      <c r="F65" s="376">
        <f t="shared" ca="1" si="0"/>
        <v>1.5E-3</v>
      </c>
      <c r="I65" s="1927" t="s">
        <v>1580</v>
      </c>
      <c r="J65" s="1928">
        <v>40</v>
      </c>
      <c r="K65" s="1928">
        <v>30</v>
      </c>
      <c r="L65" s="1928">
        <v>50</v>
      </c>
      <c r="M65" s="1930">
        <v>0.02</v>
      </c>
      <c r="O65" s="1882" t="s">
        <v>1040</v>
      </c>
      <c r="P65" s="1883" t="s">
        <v>1581</v>
      </c>
      <c r="Q65" s="1884">
        <f ca="1">C40+J29</f>
        <v>1027788533</v>
      </c>
      <c r="R65" s="1884" t="s">
        <v>1530</v>
      </c>
    </row>
    <row r="66" spans="1:18" s="1840" customFormat="1" ht="16.5" thickBot="1">
      <c r="A66" s="1201" t="s">
        <v>1505</v>
      </c>
      <c r="B66" s="1169" t="s">
        <v>1440</v>
      </c>
      <c r="C66" s="24">
        <f ca="1">ROUND(C48*F66,0)</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-3406450</v>
      </c>
      <c r="D67" s="1182" t="s">
        <v>1465</v>
      </c>
      <c r="E67" s="1187"/>
      <c r="F67" s="1188"/>
      <c r="O67" s="1892" t="s">
        <v>1042</v>
      </c>
      <c r="P67" s="1883" t="s">
        <v>1563</v>
      </c>
      <c r="Q67" s="1931">
        <f ca="1">L51</f>
        <v>628855859</v>
      </c>
      <c r="R67" s="1884" t="s">
        <v>1583</v>
      </c>
    </row>
    <row r="68" spans="1:18" s="1840" customFormat="1" ht="16.5" thickBot="1">
      <c r="A68" s="1166" t="s">
        <v>1032</v>
      </c>
      <c r="B68" s="1167" t="s">
        <v>1486</v>
      </c>
      <c r="C68" s="346">
        <f ca="1">ROUND(C67*(1-((1+F70)/(1+F68))^F69)/(F68-F70),0)</f>
        <v>-70009523</v>
      </c>
      <c r="D68" s="1184" t="s">
        <v>1470</v>
      </c>
      <c r="E68" s="1169" t="s">
        <v>1471</v>
      </c>
      <c r="F68" s="357">
        <f ca="1">F40</f>
        <v>5.5E-2</v>
      </c>
      <c r="O68" s="1892" t="s">
        <v>1043</v>
      </c>
      <c r="P68" s="1932" t="s">
        <v>1584</v>
      </c>
      <c r="Q68" s="1884">
        <f ca="1">ROUND(Q69-Q70*Q71,0)</f>
        <v>38501879</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50009057</v>
      </c>
      <c r="R69" s="1884" t="s">
        <v>1530</v>
      </c>
    </row>
    <row r="70" spans="1:18" s="1840" customFormat="1" ht="13.5" thickBot="1">
      <c r="A70" s="1173"/>
      <c r="B70" s="1174"/>
      <c r="C70" s="355"/>
      <c r="D70" s="1185"/>
      <c r="E70" s="1169" t="s">
        <v>1478</v>
      </c>
      <c r="F70" s="1275">
        <f ca="1">F42</f>
        <v>0.03</v>
      </c>
      <c r="O70" s="1892" t="s">
        <v>1049</v>
      </c>
      <c r="P70" s="1932" t="s">
        <v>1586</v>
      </c>
      <c r="Q70" s="1884">
        <f ca="1">C13</f>
        <v>135378563</v>
      </c>
      <c r="R70" s="1884" t="s">
        <v>1530</v>
      </c>
    </row>
    <row r="71" spans="1:18" s="1840" customFormat="1" ht="13.5" thickBot="1">
      <c r="A71" s="1190" t="s">
        <v>1033</v>
      </c>
      <c r="B71" s="1191" t="s">
        <v>1488</v>
      </c>
      <c r="C71" s="382">
        <f ca="1">ROUND(C68/F71,0)</f>
        <v>-2019</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11507178</v>
      </c>
      <c r="D75" s="1840"/>
      <c r="E75" s="1840"/>
      <c r="F75" s="1840"/>
      <c r="K75" s="1866"/>
      <c r="L75" s="1840"/>
      <c r="O75" s="1882" t="s">
        <v>1046</v>
      </c>
      <c r="P75" s="1883" t="s">
        <v>1550</v>
      </c>
      <c r="Q75" s="1884">
        <f ca="1">Q65+Q66</f>
        <v>1027788533</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0.77</v>
      </c>
    </row>
    <row r="80" spans="1:18">
      <c r="B80" s="386" t="s">
        <v>1512</v>
      </c>
      <c r="C80" s="318">
        <f ca="1">ROUND(C75/C39,3)</f>
        <v>0.23</v>
      </c>
    </row>
    <row r="81" spans="2:3">
      <c r="B81" s="314" t="s">
        <v>1513</v>
      </c>
      <c r="C81" s="282"/>
    </row>
    <row r="82" spans="2:3">
      <c r="B82" s="317" t="s">
        <v>1514</v>
      </c>
      <c r="C82" s="319">
        <f ca="1">1-C83</f>
        <v>0.86799999999999999</v>
      </c>
    </row>
    <row r="83" spans="2:3">
      <c r="B83" s="317" t="s">
        <v>1515</v>
      </c>
      <c r="C83" s="318">
        <f ca="1">ROUND(C13/C40,3)</f>
        <v>0.13200000000000001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111327</v>
      </c>
      <c r="C2" s="2561" t="s">
        <v>2505</v>
      </c>
      <c r="D2" s="2562" t="s">
        <v>2506</v>
      </c>
      <c r="E2" s="2563">
        <f>SUM(E6:E13)</f>
        <v>49833.959999999992</v>
      </c>
    </row>
    <row r="3" spans="1:6" ht="15.75">
      <c r="A3" s="2559" t="s">
        <v>1395</v>
      </c>
      <c r="B3" s="2560">
        <f ca="1">ROUND(B2*10000/E2,0)</f>
        <v>22340</v>
      </c>
      <c r="C3" s="2561" t="s">
        <v>2513</v>
      </c>
      <c r="D3" s="2564"/>
      <c r="E3" s="2565"/>
    </row>
    <row r="4" spans="1:6" ht="15.75">
      <c r="A4" s="2566"/>
      <c r="B4" s="2564"/>
      <c r="C4" s="2564"/>
      <c r="D4" s="2564"/>
      <c r="E4" s="2565"/>
    </row>
    <row r="5" spans="1:6" ht="15">
      <c r="A5" s="2567" t="s">
        <v>2507</v>
      </c>
      <c r="B5" s="3279" t="s">
        <v>2508</v>
      </c>
      <c r="C5" s="3279"/>
      <c r="D5" s="2568"/>
      <c r="E5" s="2569" t="s">
        <v>2509</v>
      </c>
      <c r="F5" s="2570" t="s">
        <v>2510</v>
      </c>
    </row>
    <row r="6" spans="1:6">
      <c r="A6" s="2571" t="str">
        <f>'数据-取费表'!AN6</f>
        <v>收益法-商业</v>
      </c>
      <c r="B6" s="2570">
        <f ca="1">IF(F6="是",'数据-取费表'!AO6,0)</f>
        <v>102781</v>
      </c>
      <c r="C6" s="2561" t="s">
        <v>2505</v>
      </c>
      <c r="D6" s="2564"/>
      <c r="E6" s="2572">
        <f>IF(OR(A6=0,F6="否"),0,'数据-取费表'!K6+'数据-取费表'!S6)</f>
        <v>40311.689999999995</v>
      </c>
      <c r="F6" s="2573" t="s">
        <v>2511</v>
      </c>
    </row>
    <row r="7" spans="1:6">
      <c r="A7" s="2571" t="str">
        <f>'数据-取费表'!AN7</f>
        <v>收益法-车库</v>
      </c>
      <c r="B7" s="2570">
        <f ca="1">IF(F7="是",'数据-取费表'!AO7,0)</f>
        <v>8546</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0" t="s">
        <v>1076</v>
      </c>
      <c r="B1" s="3281"/>
      <c r="C1" s="3282"/>
      <c r="D1" s="3283">
        <f>SUM(I10,I15,I20,I21,I23)</f>
        <v>0</v>
      </c>
      <c r="E1" s="3283"/>
      <c r="F1" s="3283"/>
      <c r="G1" s="3283"/>
      <c r="H1" s="3283"/>
      <c r="I1" s="3284"/>
    </row>
    <row r="2" spans="1:9">
      <c r="A2" s="3285" t="s">
        <v>1077</v>
      </c>
      <c r="B2" s="3286" t="s">
        <v>1078</v>
      </c>
      <c r="C2" s="3286"/>
      <c r="D2" s="1301" t="s">
        <v>1079</v>
      </c>
      <c r="E2" s="1301" t="s">
        <v>1080</v>
      </c>
      <c r="F2" s="1301" t="s">
        <v>1081</v>
      </c>
      <c r="G2" s="1301" t="s">
        <v>1082</v>
      </c>
      <c r="H2" s="1301" t="s">
        <v>1083</v>
      </c>
      <c r="I2" s="1302" t="s">
        <v>1084</v>
      </c>
    </row>
    <row r="3" spans="1:9">
      <c r="A3" s="3285"/>
      <c r="B3" s="3286" t="s">
        <v>1085</v>
      </c>
      <c r="C3" s="3286"/>
      <c r="D3" s="1303"/>
      <c r="E3" s="1301"/>
      <c r="F3" s="1304"/>
      <c r="G3" s="1304"/>
      <c r="H3" s="1305"/>
      <c r="I3" s="1306">
        <f>ROUND(D3*E3*F3*G3*H3/10000,0)</f>
        <v>0</v>
      </c>
    </row>
    <row r="4" spans="1:9">
      <c r="A4" s="3285"/>
      <c r="B4" s="3286" t="s">
        <v>1086</v>
      </c>
      <c r="C4" s="3286"/>
      <c r="D4" s="1303"/>
      <c r="E4" s="1301"/>
      <c r="F4" s="1304"/>
      <c r="G4" s="1304"/>
      <c r="H4" s="1305"/>
      <c r="I4" s="1306">
        <f t="shared" ref="I4:I9" si="0">ROUND(D4*E4*F4*G4*H4/10000,0)</f>
        <v>0</v>
      </c>
    </row>
    <row r="5" spans="1:9">
      <c r="A5" s="3285"/>
      <c r="B5" s="3286" t="s">
        <v>1087</v>
      </c>
      <c r="C5" s="3286"/>
      <c r="D5" s="1303"/>
      <c r="E5" s="1301"/>
      <c r="F5" s="1304"/>
      <c r="G5" s="1304"/>
      <c r="H5" s="1305"/>
      <c r="I5" s="1306">
        <f t="shared" si="0"/>
        <v>0</v>
      </c>
    </row>
    <row r="6" spans="1:9">
      <c r="A6" s="3285"/>
      <c r="B6" s="3286" t="s">
        <v>1088</v>
      </c>
      <c r="C6" s="3286"/>
      <c r="D6" s="1303"/>
      <c r="E6" s="1301"/>
      <c r="F6" s="1304"/>
      <c r="G6" s="1304"/>
      <c r="H6" s="1305"/>
      <c r="I6" s="1306">
        <f t="shared" si="0"/>
        <v>0</v>
      </c>
    </row>
    <row r="7" spans="1:9">
      <c r="A7" s="3285"/>
      <c r="B7" s="3286" t="s">
        <v>1089</v>
      </c>
      <c r="C7" s="3286"/>
      <c r="D7" s="1303"/>
      <c r="E7" s="1301"/>
      <c r="F7" s="1304"/>
      <c r="G7" s="1304"/>
      <c r="H7" s="1305"/>
      <c r="I7" s="1306">
        <f t="shared" si="0"/>
        <v>0</v>
      </c>
    </row>
    <row r="8" spans="1:9">
      <c r="A8" s="3285"/>
      <c r="B8" s="3286" t="s">
        <v>1090</v>
      </c>
      <c r="C8" s="3286"/>
      <c r="D8" s="1303"/>
      <c r="E8" s="1301"/>
      <c r="F8" s="1304"/>
      <c r="G8" s="1304"/>
      <c r="H8" s="1305"/>
      <c r="I8" s="1306">
        <f t="shared" si="0"/>
        <v>0</v>
      </c>
    </row>
    <row r="9" spans="1:9">
      <c r="A9" s="3285"/>
      <c r="B9" s="3286" t="s">
        <v>1091</v>
      </c>
      <c r="C9" s="3286"/>
      <c r="D9" s="1303"/>
      <c r="E9" s="1301"/>
      <c r="F9" s="1304"/>
      <c r="G9" s="1304"/>
      <c r="H9" s="1305"/>
      <c r="I9" s="1306">
        <f t="shared" si="0"/>
        <v>0</v>
      </c>
    </row>
    <row r="10" spans="1:9">
      <c r="A10" s="3285"/>
      <c r="B10" s="3287" t="s">
        <v>1092</v>
      </c>
      <c r="C10" s="3287"/>
      <c r="D10" s="1307"/>
      <c r="E10" s="1307" t="e">
        <f>ROUND(D1*10000/D10/H9,0)</f>
        <v>#DIV/0!</v>
      </c>
      <c r="F10" s="1308"/>
      <c r="G10" s="1308"/>
      <c r="H10" s="1309"/>
      <c r="I10" s="1310">
        <f>SUM(I3:I9)</f>
        <v>0</v>
      </c>
    </row>
    <row r="11" spans="1:9" ht="14.25">
      <c r="A11" s="3285" t="s">
        <v>1093</v>
      </c>
      <c r="B11" s="3286" t="s">
        <v>1094</v>
      </c>
      <c r="C11" s="3286"/>
      <c r="D11" s="1303" t="s">
        <v>1095</v>
      </c>
      <c r="E11" s="1303" t="s">
        <v>1096</v>
      </c>
      <c r="F11" s="1304" t="s">
        <v>1097</v>
      </c>
      <c r="G11" s="1304" t="s">
        <v>1083</v>
      </c>
      <c r="H11" s="1311" t="s">
        <v>1098</v>
      </c>
      <c r="I11" s="1302" t="s">
        <v>1084</v>
      </c>
    </row>
    <row r="12" spans="1:9">
      <c r="A12" s="3285"/>
      <c r="B12" s="3286" t="s">
        <v>1099</v>
      </c>
      <c r="C12" s="3286"/>
      <c r="D12" s="1303"/>
      <c r="E12" s="1303"/>
      <c r="F12" s="1304"/>
      <c r="G12" s="1305"/>
      <c r="H12" s="1312"/>
      <c r="I12" s="1302">
        <f>ROUND(D12*E12*F12*G12/10000,0)</f>
        <v>0</v>
      </c>
    </row>
    <row r="13" spans="1:9">
      <c r="A13" s="3285"/>
      <c r="B13" s="3286" t="s">
        <v>1100</v>
      </c>
      <c r="C13" s="3286"/>
      <c r="D13" s="1303"/>
      <c r="E13" s="1303"/>
      <c r="F13" s="1304"/>
      <c r="G13" s="1305"/>
      <c r="H13" s="1312"/>
      <c r="I13" s="1302">
        <f>ROUND(D13*E13*F13*G13/10000,0)</f>
        <v>0</v>
      </c>
    </row>
    <row r="14" spans="1:9">
      <c r="A14" s="3285"/>
      <c r="B14" s="3286" t="s">
        <v>1101</v>
      </c>
      <c r="C14" s="3286"/>
      <c r="D14" s="1303"/>
      <c r="E14" s="1303"/>
      <c r="F14" s="1304"/>
      <c r="G14" s="1305"/>
      <c r="H14" s="1312"/>
      <c r="I14" s="1302">
        <f>ROUND(D14*E14*F14*G14/10000,0)</f>
        <v>0</v>
      </c>
    </row>
    <row r="15" spans="1:9">
      <c r="A15" s="3285"/>
      <c r="B15" s="3287" t="s">
        <v>1092</v>
      </c>
      <c r="C15" s="3287"/>
      <c r="D15" s="1307"/>
      <c r="E15" s="1307">
        <f>SUM(E12:E14)</f>
        <v>0</v>
      </c>
      <c r="F15" s="1308"/>
      <c r="G15" s="1305"/>
      <c r="H15" s="1312"/>
      <c r="I15" s="1313">
        <f>SUM(I12:I14)</f>
        <v>0</v>
      </c>
    </row>
    <row r="16" spans="1:9" ht="24">
      <c r="A16" s="3285" t="s">
        <v>1102</v>
      </c>
      <c r="B16" s="3286" t="s">
        <v>1103</v>
      </c>
      <c r="C16" s="3286"/>
      <c r="D16" s="1303" t="s">
        <v>1079</v>
      </c>
      <c r="E16" s="1314" t="s">
        <v>1104</v>
      </c>
      <c r="F16" s="1304" t="s">
        <v>1105</v>
      </c>
      <c r="G16" s="1305" t="s">
        <v>1083</v>
      </c>
      <c r="H16" s="1311" t="s">
        <v>1098</v>
      </c>
      <c r="I16" s="1302" t="s">
        <v>1084</v>
      </c>
    </row>
    <row r="17" spans="1:9" ht="14.25">
      <c r="A17" s="3285"/>
      <c r="B17" s="3286" t="s">
        <v>1106</v>
      </c>
      <c r="C17" s="3286"/>
      <c r="D17" s="1303"/>
      <c r="E17" s="1303"/>
      <c r="F17" s="1304"/>
      <c r="G17" s="1305"/>
      <c r="H17" s="1315"/>
      <c r="I17" s="1316">
        <f>ROUND(D17*E17*F17*G17/10000,0)</f>
        <v>0</v>
      </c>
    </row>
    <row r="18" spans="1:9" ht="14.25">
      <c r="A18" s="3285"/>
      <c r="B18" s="3286" t="s">
        <v>1107</v>
      </c>
      <c r="C18" s="3286"/>
      <c r="D18" s="1303"/>
      <c r="E18" s="1303"/>
      <c r="F18" s="1304"/>
      <c r="G18" s="1305"/>
      <c r="H18" s="1315"/>
      <c r="I18" s="1316">
        <f>ROUND(D18*E18*F18*G18/10000,0)</f>
        <v>0</v>
      </c>
    </row>
    <row r="19" spans="1:9" ht="14.25">
      <c r="A19" s="3285"/>
      <c r="B19" s="3286" t="s">
        <v>1108</v>
      </c>
      <c r="C19" s="3286"/>
      <c r="D19" s="1303"/>
      <c r="E19" s="1303"/>
      <c r="F19" s="1304"/>
      <c r="G19" s="1305"/>
      <c r="H19" s="1315"/>
      <c r="I19" s="1316">
        <f>ROUND(D19*E19*F19*G19/10000,0)</f>
        <v>0</v>
      </c>
    </row>
    <row r="20" spans="1:9">
      <c r="A20" s="3285"/>
      <c r="B20" s="3287" t="s">
        <v>1092</v>
      </c>
      <c r="C20" s="3287"/>
      <c r="D20" s="1307">
        <f>SUM(D17:D19)</f>
        <v>0</v>
      </c>
      <c r="E20" s="1307"/>
      <c r="F20" s="1308"/>
      <c r="G20" s="1305"/>
      <c r="H20" s="1312"/>
      <c r="I20" s="1313">
        <f>SUM(I17:I19)</f>
        <v>0</v>
      </c>
    </row>
    <row r="21" spans="1:9">
      <c r="A21" s="3285" t="s">
        <v>1109</v>
      </c>
      <c r="B21" s="3289"/>
      <c r="C21" s="3289"/>
      <c r="D21" s="3289"/>
      <c r="E21" s="3289"/>
      <c r="F21" s="3289"/>
      <c r="G21" s="3289"/>
      <c r="H21" s="1764">
        <v>0.1</v>
      </c>
      <c r="I21" s="1310">
        <f>ROUND(I10*H21,0)</f>
        <v>0</v>
      </c>
    </row>
    <row r="22" spans="1:9" ht="14.25">
      <c r="A22" s="3290" t="s">
        <v>1110</v>
      </c>
      <c r="B22" s="3291"/>
      <c r="C22" s="3292"/>
      <c r="D22" s="1317" t="s">
        <v>1111</v>
      </c>
      <c r="E22" s="1317" t="s">
        <v>1112</v>
      </c>
      <c r="F22" s="1318" t="s">
        <v>1113</v>
      </c>
      <c r="G22" s="1318" t="s">
        <v>1114</v>
      </c>
      <c r="H22" s="1311" t="s">
        <v>1115</v>
      </c>
      <c r="I22" s="1302" t="s">
        <v>1116</v>
      </c>
    </row>
    <row r="23" spans="1:9" ht="14.25" thickBot="1">
      <c r="A23" s="3293"/>
      <c r="B23" s="3294"/>
      <c r="C23" s="3295"/>
      <c r="D23" s="1319"/>
      <c r="E23" s="1319"/>
      <c r="F23" s="1319"/>
      <c r="G23" s="1320"/>
      <c r="H23" s="1321"/>
      <c r="I23" s="1322">
        <f>ROUND(E23*D23*F23*(1-G23)/10000,0)</f>
        <v>0</v>
      </c>
    </row>
    <row r="26" spans="1:9">
      <c r="A26" s="1323" t="s">
        <v>1117</v>
      </c>
      <c r="B26" s="1323"/>
      <c r="C26" s="1323"/>
      <c r="D26" s="1323"/>
      <c r="E26" s="3296">
        <f>C27-C30-C31-C32</f>
        <v>0</v>
      </c>
      <c r="F26" s="3296"/>
      <c r="G26" s="3296"/>
      <c r="H26" s="1736" t="s">
        <v>1340</v>
      </c>
    </row>
    <row r="27" spans="1:9">
      <c r="A27" s="1324">
        <v>1</v>
      </c>
      <c r="B27" s="1325" t="s">
        <v>1118</v>
      </c>
      <c r="C27" s="1325">
        <f>C28+C29</f>
        <v>0</v>
      </c>
      <c r="D27" s="1325"/>
      <c r="E27" s="3297"/>
      <c r="F27" s="3297"/>
      <c r="G27" s="3297"/>
    </row>
    <row r="28" spans="1:9">
      <c r="A28" s="1326" t="s">
        <v>1119</v>
      </c>
      <c r="B28" s="1325" t="s">
        <v>1120</v>
      </c>
      <c r="C28" s="1325"/>
      <c r="D28" s="1325"/>
      <c r="E28" s="3297"/>
      <c r="F28" s="3297"/>
      <c r="G28" s="329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88"/>
      <c r="F32" s="3288"/>
      <c r="G32" s="3288"/>
    </row>
    <row r="33" spans="1:7" hidden="1">
      <c r="A33" s="3298" t="s">
        <v>1129</v>
      </c>
      <c r="B33" s="3299"/>
      <c r="C33" s="3299"/>
      <c r="D33" s="3300"/>
      <c r="E33" s="3296"/>
      <c r="F33" s="3296"/>
      <c r="G33" s="3296"/>
    </row>
    <row r="34" spans="1:7" hidden="1">
      <c r="A34" s="1328">
        <v>1</v>
      </c>
      <c r="B34" s="1325" t="s">
        <v>1130</v>
      </c>
      <c r="C34" s="1325"/>
      <c r="D34" s="1325"/>
      <c r="E34" s="3297"/>
      <c r="F34" s="3297"/>
      <c r="G34" s="3297"/>
    </row>
    <row r="35" spans="1:7" hidden="1">
      <c r="A35" s="1328">
        <v>2</v>
      </c>
      <c r="B35" s="1325" t="s">
        <v>1131</v>
      </c>
      <c r="C35" s="1325"/>
      <c r="D35" s="1325"/>
      <c r="E35" s="3297"/>
      <c r="F35" s="3297"/>
      <c r="G35" s="3297"/>
    </row>
    <row r="36" spans="1:7" hidden="1">
      <c r="A36" s="1328">
        <v>3</v>
      </c>
      <c r="B36" s="1325" t="s">
        <v>1132</v>
      </c>
      <c r="C36" s="1325"/>
      <c r="D36" s="1325"/>
      <c r="E36" s="3297"/>
      <c r="F36" s="3297"/>
      <c r="G36" s="3297"/>
    </row>
    <row r="37" spans="1:7" hidden="1">
      <c r="A37" s="1328">
        <v>4</v>
      </c>
      <c r="B37" s="1325" t="s">
        <v>1133</v>
      </c>
      <c r="C37" s="1325"/>
      <c r="D37" s="1325"/>
      <c r="E37" s="3297"/>
      <c r="F37" s="3297"/>
      <c r="G37" s="3297"/>
    </row>
    <row r="38" spans="1:7" hidden="1">
      <c r="A38" s="3298" t="s">
        <v>1134</v>
      </c>
      <c r="B38" s="3299"/>
      <c r="C38" s="3299"/>
      <c r="D38" s="3300"/>
      <c r="E38" s="3296"/>
      <c r="F38" s="3296"/>
      <c r="G38" s="32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219" t="s">
        <v>2522</v>
      </c>
      <c r="D4" s="3220"/>
      <c r="E4" s="3221" t="s">
        <v>2523</v>
      </c>
      <c r="F4" s="3222"/>
      <c r="G4" s="3219" t="s">
        <v>2524</v>
      </c>
      <c r="H4" s="3220"/>
      <c r="I4" s="3219" t="s">
        <v>2525</v>
      </c>
      <c r="J4" s="3220"/>
      <c r="K4" s="2591" t="s">
        <v>2526</v>
      </c>
      <c r="L4" s="1130"/>
      <c r="M4" s="1131"/>
      <c r="N4" s="1131"/>
      <c r="O4" s="1131"/>
      <c r="P4" s="3223" t="s">
        <v>2527</v>
      </c>
      <c r="Q4" s="3224"/>
      <c r="R4" s="3206" t="s">
        <v>2523</v>
      </c>
      <c r="S4" s="3207"/>
      <c r="T4" s="3206" t="s">
        <v>2524</v>
      </c>
      <c r="U4" s="3207"/>
      <c r="V4" s="3231" t="s">
        <v>2525</v>
      </c>
      <c r="W4" s="3231"/>
      <c r="X4" s="1811"/>
      <c r="Y4" s="3206" t="s">
        <v>2527</v>
      </c>
      <c r="Z4" s="3207"/>
      <c r="AA4" s="3201" t="s">
        <v>2523</v>
      </c>
      <c r="AB4" s="3201" t="s">
        <v>2524</v>
      </c>
      <c r="AC4" s="3201" t="s">
        <v>2525</v>
      </c>
    </row>
    <row r="5" spans="1:29" ht="15">
      <c r="A5" s="404"/>
      <c r="B5" s="405"/>
      <c r="C5" s="3212" t="s">
        <v>2528</v>
      </c>
      <c r="D5" s="3213"/>
      <c r="E5" s="3210" t="s">
        <v>2529</v>
      </c>
      <c r="F5" s="3211"/>
      <c r="G5" s="3212" t="s">
        <v>2530</v>
      </c>
      <c r="H5" s="3213"/>
      <c r="I5" s="3212" t="s">
        <v>2531</v>
      </c>
      <c r="J5" s="3213"/>
      <c r="K5" s="2592"/>
      <c r="L5" s="1130"/>
      <c r="M5" s="1131"/>
      <c r="N5" s="1131"/>
      <c r="O5" s="1131"/>
      <c r="P5" s="3225"/>
      <c r="Q5" s="3226"/>
      <c r="R5" s="3208"/>
      <c r="S5" s="3209"/>
      <c r="T5" s="3208"/>
      <c r="U5" s="3209"/>
      <c r="V5" s="3231"/>
      <c r="W5" s="3231"/>
      <c r="X5" s="1811"/>
      <c r="Y5" s="3208"/>
      <c r="Z5" s="3209"/>
      <c r="AA5" s="3202"/>
      <c r="AB5" s="3202"/>
      <c r="AC5" s="3202"/>
    </row>
    <row r="6" spans="1:29" ht="15.75" thickBot="1">
      <c r="A6" s="406"/>
      <c r="B6" s="407"/>
      <c r="C6" s="3214" t="s">
        <v>2532</v>
      </c>
      <c r="D6" s="3215"/>
      <c r="E6" s="3216" t="s">
        <v>2532</v>
      </c>
      <c r="F6" s="3217"/>
      <c r="G6" s="3214" t="s">
        <v>2532</v>
      </c>
      <c r="H6" s="3215"/>
      <c r="I6" s="3214" t="s">
        <v>2532</v>
      </c>
      <c r="J6" s="3215"/>
      <c r="K6" s="2592" t="s">
        <v>2533</v>
      </c>
      <c r="L6" s="1130"/>
      <c r="M6" s="1131"/>
      <c r="N6" s="1131"/>
      <c r="O6" s="1131"/>
      <c r="P6" s="3227"/>
      <c r="Q6" s="3228"/>
      <c r="R6" s="3208"/>
      <c r="S6" s="3209"/>
      <c r="T6" s="3229"/>
      <c r="U6" s="3230"/>
      <c r="V6" s="3231"/>
      <c r="W6" s="3231"/>
      <c r="X6" s="1811"/>
      <c r="Y6" s="3229"/>
      <c r="Z6" s="3230"/>
      <c r="AA6" s="3203"/>
      <c r="AB6" s="3203"/>
      <c r="AC6" s="3203"/>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04" t="s">
        <v>2535</v>
      </c>
      <c r="Q7" s="3232"/>
      <c r="R7" s="769" t="s">
        <v>23</v>
      </c>
      <c r="S7" s="770">
        <f t="shared" ref="S7:S15" si="0">F7</f>
        <v>0</v>
      </c>
      <c r="T7" s="769" t="s">
        <v>23</v>
      </c>
      <c r="U7" s="770">
        <f t="shared" ref="U7:U15" si="1">H7</f>
        <v>0</v>
      </c>
      <c r="V7" s="769" t="s">
        <v>23</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04" t="s">
        <v>2538</v>
      </c>
      <c r="Q8" s="3205"/>
      <c r="R8" s="769" t="s">
        <v>23</v>
      </c>
      <c r="S8" s="770">
        <f t="shared" si="0"/>
        <v>0</v>
      </c>
      <c r="T8" s="769" t="s">
        <v>23</v>
      </c>
      <c r="U8" s="770">
        <f t="shared" si="1"/>
        <v>0</v>
      </c>
      <c r="V8" s="769" t="s">
        <v>23</v>
      </c>
      <c r="W8" s="770">
        <f t="shared" si="2"/>
        <v>0</v>
      </c>
      <c r="X8" s="771"/>
      <c r="Y8" s="3204" t="s">
        <v>2538</v>
      </c>
      <c r="Z8" s="3205"/>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42" t="s">
        <v>2541</v>
      </c>
      <c r="Q9" s="1793" t="str">
        <f t="shared" ref="Q9:Q15" si="6">B9</f>
        <v>用途</v>
      </c>
      <c r="R9" s="769" t="s">
        <v>17</v>
      </c>
      <c r="S9" s="770">
        <f t="shared" si="0"/>
        <v>100</v>
      </c>
      <c r="T9" s="769" t="s">
        <v>17</v>
      </c>
      <c r="U9" s="770">
        <f t="shared" si="1"/>
        <v>100</v>
      </c>
      <c r="V9" s="769" t="s">
        <v>17</v>
      </c>
      <c r="W9" s="770">
        <f t="shared" si="2"/>
        <v>100</v>
      </c>
      <c r="X9" s="771"/>
      <c r="Y9" s="3078"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2"/>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2"/>
      <c r="Q11" s="1793" t="str">
        <f t="shared" si="6"/>
        <v>容积率</v>
      </c>
      <c r="R11" s="769" t="s">
        <v>21</v>
      </c>
      <c r="S11" s="770" t="e">
        <f t="shared" si="0"/>
        <v>#N/A</v>
      </c>
      <c r="T11" s="769" t="s">
        <v>21</v>
      </c>
      <c r="U11" s="770" t="e">
        <f t="shared" si="1"/>
        <v>#N/A</v>
      </c>
      <c r="V11" s="769" t="s">
        <v>21</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42"/>
      <c r="Q12" s="1793">
        <f t="shared" si="6"/>
        <v>111</v>
      </c>
      <c r="R12" s="769" t="s">
        <v>21</v>
      </c>
      <c r="S12" s="770">
        <f t="shared" si="0"/>
        <v>100</v>
      </c>
      <c r="T12" s="769" t="s">
        <v>21</v>
      </c>
      <c r="U12" s="770">
        <f t="shared" si="1"/>
        <v>100</v>
      </c>
      <c r="V12" s="769" t="s">
        <v>21</v>
      </c>
      <c r="W12" s="770">
        <f t="shared" si="2"/>
        <v>100</v>
      </c>
      <c r="X12" s="771"/>
      <c r="Y12" s="307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42"/>
      <c r="Q13" s="1793">
        <f t="shared" si="6"/>
        <v>111</v>
      </c>
      <c r="R13" s="769" t="s">
        <v>21</v>
      </c>
      <c r="S13" s="770">
        <f t="shared" si="0"/>
        <v>100</v>
      </c>
      <c r="T13" s="769" t="s">
        <v>21</v>
      </c>
      <c r="U13" s="770">
        <f t="shared" si="1"/>
        <v>100</v>
      </c>
      <c r="V13" s="769" t="s">
        <v>21</v>
      </c>
      <c r="W13" s="770">
        <f t="shared" si="2"/>
        <v>100</v>
      </c>
      <c r="X13" s="771"/>
      <c r="Y13" s="3078"/>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42"/>
      <c r="Q14" s="1793">
        <f t="shared" si="6"/>
        <v>111</v>
      </c>
      <c r="R14" s="769" t="s">
        <v>21</v>
      </c>
      <c r="S14" s="770">
        <f t="shared" si="0"/>
        <v>100</v>
      </c>
      <c r="T14" s="769" t="s">
        <v>21</v>
      </c>
      <c r="U14" s="770">
        <f t="shared" si="1"/>
        <v>100</v>
      </c>
      <c r="V14" s="769" t="s">
        <v>21</v>
      </c>
      <c r="W14" s="770">
        <f t="shared" si="2"/>
        <v>100</v>
      </c>
      <c r="X14" s="771"/>
      <c r="Y14" s="3078"/>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6" t="s">
        <v>2546</v>
      </c>
      <c r="Q15" s="1808" t="str">
        <f t="shared" si="6"/>
        <v>居住社区成熟度</v>
      </c>
      <c r="R15" s="773" t="s">
        <v>21</v>
      </c>
      <c r="S15" s="774">
        <f t="shared" si="0"/>
        <v>100</v>
      </c>
      <c r="T15" s="773" t="s">
        <v>21</v>
      </c>
      <c r="U15" s="774">
        <f t="shared" si="1"/>
        <v>100</v>
      </c>
      <c r="V15" s="773" t="s">
        <v>21</v>
      </c>
      <c r="W15" s="774">
        <f t="shared" si="2"/>
        <v>100</v>
      </c>
      <c r="X15" s="1811"/>
      <c r="Y15" s="3233"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67"/>
      <c r="Q16" s="1808"/>
      <c r="R16" s="773"/>
      <c r="S16" s="774"/>
      <c r="T16" s="773"/>
      <c r="U16" s="774"/>
      <c r="V16" s="773"/>
      <c r="W16" s="774"/>
      <c r="X16" s="1811"/>
      <c r="Y16" s="3234"/>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7"/>
      <c r="Q17" s="1808" t="str">
        <f>B17</f>
        <v>交通便捷度</v>
      </c>
      <c r="R17" s="773" t="s">
        <v>21</v>
      </c>
      <c r="S17" s="774">
        <f>F17</f>
        <v>100</v>
      </c>
      <c r="T17" s="773" t="s">
        <v>21</v>
      </c>
      <c r="U17" s="774">
        <f>H17</f>
        <v>100</v>
      </c>
      <c r="V17" s="773" t="s">
        <v>21</v>
      </c>
      <c r="W17" s="774">
        <f>J17</f>
        <v>100</v>
      </c>
      <c r="X17" s="1811"/>
      <c r="Y17" s="3234"/>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67"/>
      <c r="Q18" s="1808"/>
      <c r="R18" s="773"/>
      <c r="S18" s="774"/>
      <c r="T18" s="773"/>
      <c r="U18" s="774"/>
      <c r="V18" s="773"/>
      <c r="W18" s="774"/>
      <c r="X18" s="1811"/>
      <c r="Y18" s="3234"/>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7"/>
      <c r="Q19" s="1808" t="str">
        <f>B19</f>
        <v>公共配套设施</v>
      </c>
      <c r="R19" s="773" t="s">
        <v>21</v>
      </c>
      <c r="S19" s="774">
        <f>F19</f>
        <v>100</v>
      </c>
      <c r="T19" s="773" t="s">
        <v>21</v>
      </c>
      <c r="U19" s="774">
        <f>H19</f>
        <v>100</v>
      </c>
      <c r="V19" s="773" t="s">
        <v>21</v>
      </c>
      <c r="W19" s="774">
        <f>J19</f>
        <v>100</v>
      </c>
      <c r="X19" s="1811"/>
      <c r="Y19" s="3234"/>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67"/>
      <c r="Q20" s="1808"/>
      <c r="R20" s="773"/>
      <c r="S20" s="774"/>
      <c r="T20" s="773"/>
      <c r="U20" s="774"/>
      <c r="V20" s="773"/>
      <c r="W20" s="774"/>
      <c r="X20" s="1811"/>
      <c r="Y20" s="3234"/>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7"/>
      <c r="Q21" s="1808" t="str">
        <f>B21</f>
        <v>基础设施水平</v>
      </c>
      <c r="R21" s="773" t="s">
        <v>17</v>
      </c>
      <c r="S21" s="774">
        <f>F21</f>
        <v>100</v>
      </c>
      <c r="T21" s="773" t="s">
        <v>17</v>
      </c>
      <c r="U21" s="774">
        <f>H21</f>
        <v>100</v>
      </c>
      <c r="V21" s="773" t="s">
        <v>17</v>
      </c>
      <c r="W21" s="774">
        <f>J21</f>
        <v>100</v>
      </c>
      <c r="X21" s="1811"/>
      <c r="Y21" s="3234"/>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67"/>
      <c r="Q22" s="1808"/>
      <c r="R22" s="773"/>
      <c r="S22" s="774"/>
      <c r="T22" s="773"/>
      <c r="U22" s="774"/>
      <c r="V22" s="773"/>
      <c r="W22" s="774"/>
      <c r="X22" s="1811"/>
      <c r="Y22" s="3234"/>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7"/>
      <c r="Q23" s="1808" t="str">
        <f>B23</f>
        <v>自然及人文环境</v>
      </c>
      <c r="R23" s="773" t="s">
        <v>21</v>
      </c>
      <c r="S23" s="774">
        <f>F23</f>
        <v>100</v>
      </c>
      <c r="T23" s="773" t="s">
        <v>21</v>
      </c>
      <c r="U23" s="774">
        <f>H23</f>
        <v>100</v>
      </c>
      <c r="V23" s="773" t="s">
        <v>21</v>
      </c>
      <c r="W23" s="774">
        <f>J23</f>
        <v>100</v>
      </c>
      <c r="X23" s="1811"/>
      <c r="Y23" s="3234"/>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67"/>
      <c r="Q24" s="1808"/>
      <c r="R24" s="773"/>
      <c r="S24" s="774"/>
      <c r="T24" s="773"/>
      <c r="U24" s="774"/>
      <c r="V24" s="773"/>
      <c r="W24" s="774"/>
      <c r="X24" s="1811"/>
      <c r="Y24" s="3234"/>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6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4"/>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67"/>
      <c r="Q26" s="1808" t="str">
        <f t="shared" si="11"/>
        <v>朝向</v>
      </c>
      <c r="R26" s="773" t="s">
        <v>21</v>
      </c>
      <c r="S26" s="774">
        <f t="shared" si="12"/>
        <v>100</v>
      </c>
      <c r="T26" s="773" t="s">
        <v>21</v>
      </c>
      <c r="U26" s="774">
        <f t="shared" si="13"/>
        <v>100</v>
      </c>
      <c r="V26" s="773" t="s">
        <v>21</v>
      </c>
      <c r="W26" s="774">
        <f t="shared" si="14"/>
        <v>100</v>
      </c>
      <c r="X26" s="1811"/>
      <c r="Y26" s="3234"/>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67"/>
      <c r="Q27" s="1793">
        <f t="shared" si="11"/>
        <v>111</v>
      </c>
      <c r="R27" s="769" t="s">
        <v>21</v>
      </c>
      <c r="S27" s="770">
        <f t="shared" si="12"/>
        <v>100</v>
      </c>
      <c r="T27" s="769" t="s">
        <v>21</v>
      </c>
      <c r="U27" s="770">
        <f t="shared" si="13"/>
        <v>100</v>
      </c>
      <c r="V27" s="769" t="s">
        <v>21</v>
      </c>
      <c r="W27" s="770">
        <f t="shared" si="14"/>
        <v>100</v>
      </c>
      <c r="X27" s="771"/>
      <c r="Y27" s="3234"/>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67"/>
      <c r="Q28" s="1808">
        <f t="shared" si="11"/>
        <v>111</v>
      </c>
      <c r="R28" s="773" t="s">
        <v>21</v>
      </c>
      <c r="S28" s="774">
        <f t="shared" si="12"/>
        <v>100</v>
      </c>
      <c r="T28" s="773" t="s">
        <v>21</v>
      </c>
      <c r="U28" s="774">
        <f t="shared" si="13"/>
        <v>100</v>
      </c>
      <c r="V28" s="773" t="s">
        <v>21</v>
      </c>
      <c r="W28" s="774">
        <f t="shared" si="14"/>
        <v>100</v>
      </c>
      <c r="X28" s="1811"/>
      <c r="Y28" s="3234"/>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67"/>
      <c r="Q29" s="1808">
        <f t="shared" si="11"/>
        <v>111</v>
      </c>
      <c r="R29" s="773" t="s">
        <v>21</v>
      </c>
      <c r="S29" s="774">
        <f t="shared" si="12"/>
        <v>100</v>
      </c>
      <c r="T29" s="773" t="s">
        <v>21</v>
      </c>
      <c r="U29" s="774">
        <f t="shared" si="13"/>
        <v>100</v>
      </c>
      <c r="V29" s="773" t="s">
        <v>21</v>
      </c>
      <c r="W29" s="774">
        <f t="shared" si="14"/>
        <v>100</v>
      </c>
      <c r="X29" s="1811"/>
      <c r="Y29" s="3234"/>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67"/>
      <c r="Q30" s="1808">
        <f t="shared" si="11"/>
        <v>111</v>
      </c>
      <c r="R30" s="773" t="s">
        <v>21</v>
      </c>
      <c r="S30" s="774">
        <f t="shared" si="12"/>
        <v>100</v>
      </c>
      <c r="T30" s="773" t="s">
        <v>21</v>
      </c>
      <c r="U30" s="774">
        <f t="shared" si="13"/>
        <v>100</v>
      </c>
      <c r="V30" s="773" t="s">
        <v>21</v>
      </c>
      <c r="W30" s="774">
        <f t="shared" si="14"/>
        <v>100</v>
      </c>
      <c r="X30" s="1811"/>
      <c r="Y30" s="3234"/>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67"/>
      <c r="Q31" s="1808">
        <f t="shared" si="11"/>
        <v>111</v>
      </c>
      <c r="R31" s="773" t="s">
        <v>21</v>
      </c>
      <c r="S31" s="774">
        <f t="shared" si="12"/>
        <v>100</v>
      </c>
      <c r="T31" s="773" t="s">
        <v>21</v>
      </c>
      <c r="U31" s="774">
        <f t="shared" si="13"/>
        <v>100</v>
      </c>
      <c r="V31" s="773" t="s">
        <v>21</v>
      </c>
      <c r="W31" s="774">
        <f t="shared" si="14"/>
        <v>100</v>
      </c>
      <c r="X31" s="1811"/>
      <c r="Y31" s="3234"/>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68" t="s">
        <v>2551</v>
      </c>
      <c r="Q32" s="1808" t="str">
        <f t="shared" si="11"/>
        <v>建筑类型</v>
      </c>
      <c r="R32" s="773" t="s">
        <v>21</v>
      </c>
      <c r="S32" s="774">
        <f t="shared" si="12"/>
        <v>100</v>
      </c>
      <c r="T32" s="773" t="s">
        <v>21</v>
      </c>
      <c r="U32" s="774">
        <f t="shared" si="13"/>
        <v>100</v>
      </c>
      <c r="V32" s="773" t="s">
        <v>21</v>
      </c>
      <c r="W32" s="774">
        <f t="shared" si="14"/>
        <v>100</v>
      </c>
      <c r="X32" s="1811"/>
      <c r="Y32" s="3236"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69"/>
      <c r="Q33" s="775" t="str">
        <f t="shared" si="11"/>
        <v>项目建筑规模</v>
      </c>
      <c r="R33" s="776" t="s">
        <v>21</v>
      </c>
      <c r="S33" s="777" t="e">
        <f t="shared" si="12"/>
        <v>#N/A</v>
      </c>
      <c r="T33" s="776" t="s">
        <v>21</v>
      </c>
      <c r="U33" s="777" t="e">
        <f t="shared" si="13"/>
        <v>#N/A</v>
      </c>
      <c r="V33" s="776" t="s">
        <v>21</v>
      </c>
      <c r="W33" s="777" t="e">
        <f t="shared" si="14"/>
        <v>#N/A</v>
      </c>
      <c r="X33" s="778"/>
      <c r="Y33" s="3236"/>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69"/>
      <c r="Q34" s="1808" t="str">
        <f t="shared" si="11"/>
        <v>建筑结构</v>
      </c>
      <c r="R34" s="773" t="s">
        <v>21</v>
      </c>
      <c r="S34" s="774">
        <f t="shared" si="12"/>
        <v>100</v>
      </c>
      <c r="T34" s="773" t="s">
        <v>21</v>
      </c>
      <c r="U34" s="774">
        <f t="shared" si="13"/>
        <v>100</v>
      </c>
      <c r="V34" s="773" t="s">
        <v>21</v>
      </c>
      <c r="W34" s="774">
        <f t="shared" si="14"/>
        <v>100</v>
      </c>
      <c r="X34" s="1811"/>
      <c r="Y34" s="3236"/>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69"/>
      <c r="Q35" s="1808" t="str">
        <f t="shared" si="11"/>
        <v>建筑品质</v>
      </c>
      <c r="R35" s="773" t="s">
        <v>21</v>
      </c>
      <c r="S35" s="774">
        <f t="shared" si="12"/>
        <v>100</v>
      </c>
      <c r="T35" s="773" t="s">
        <v>21</v>
      </c>
      <c r="U35" s="774">
        <f t="shared" si="13"/>
        <v>100</v>
      </c>
      <c r="V35" s="773" t="s">
        <v>21</v>
      </c>
      <c r="W35" s="774">
        <f t="shared" si="14"/>
        <v>100</v>
      </c>
      <c r="X35" s="1811"/>
      <c r="Y35" s="3236"/>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69"/>
      <c r="Q36" s="1808" t="str">
        <f t="shared" si="11"/>
        <v>公共部分装修</v>
      </c>
      <c r="R36" s="773" t="s">
        <v>21</v>
      </c>
      <c r="S36" s="774">
        <f t="shared" si="12"/>
        <v>100</v>
      </c>
      <c r="T36" s="773" t="s">
        <v>21</v>
      </c>
      <c r="U36" s="774">
        <f t="shared" si="13"/>
        <v>100</v>
      </c>
      <c r="V36" s="773" t="s">
        <v>21</v>
      </c>
      <c r="W36" s="774">
        <f t="shared" si="14"/>
        <v>100</v>
      </c>
      <c r="X36" s="1811"/>
      <c r="Y36" s="3236"/>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9"/>
      <c r="Q37" s="1793" t="str">
        <f t="shared" si="11"/>
        <v>成新度</v>
      </c>
      <c r="R37" s="769" t="s">
        <v>21</v>
      </c>
      <c r="S37" s="770" t="e">
        <f t="shared" si="12"/>
        <v>#N/A</v>
      </c>
      <c r="T37" s="769" t="s">
        <v>21</v>
      </c>
      <c r="U37" s="770" t="e">
        <f t="shared" si="13"/>
        <v>#N/A</v>
      </c>
      <c r="V37" s="769" t="s">
        <v>21</v>
      </c>
      <c r="W37" s="770" t="e">
        <f t="shared" si="14"/>
        <v>#N/A</v>
      </c>
      <c r="X37" s="771"/>
      <c r="Y37" s="3236"/>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69" t="s">
        <v>2551</v>
      </c>
      <c r="Q38" s="1808" t="str">
        <f t="shared" si="11"/>
        <v>物业管理</v>
      </c>
      <c r="R38" s="773" t="s">
        <v>21</v>
      </c>
      <c r="S38" s="774">
        <f t="shared" si="12"/>
        <v>100</v>
      </c>
      <c r="T38" s="773" t="s">
        <v>21</v>
      </c>
      <c r="U38" s="774">
        <f t="shared" si="13"/>
        <v>100</v>
      </c>
      <c r="V38" s="773" t="s">
        <v>21</v>
      </c>
      <c r="W38" s="774">
        <f t="shared" si="14"/>
        <v>100</v>
      </c>
      <c r="X38" s="1811"/>
      <c r="Y38" s="3236"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69"/>
      <c r="Q39" s="1808" t="str">
        <f t="shared" si="11"/>
        <v>市政基础设施</v>
      </c>
      <c r="R39" s="773" t="s">
        <v>21</v>
      </c>
      <c r="S39" s="774">
        <f t="shared" si="12"/>
        <v>100</v>
      </c>
      <c r="T39" s="773" t="s">
        <v>21</v>
      </c>
      <c r="U39" s="774">
        <f t="shared" si="13"/>
        <v>100</v>
      </c>
      <c r="V39" s="773" t="s">
        <v>21</v>
      </c>
      <c r="W39" s="774">
        <f t="shared" si="14"/>
        <v>100</v>
      </c>
      <c r="X39" s="1811"/>
      <c r="Y39" s="3236"/>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69"/>
      <c r="Q40" s="1808" t="str">
        <f t="shared" si="11"/>
        <v>房型</v>
      </c>
      <c r="R40" s="773" t="s">
        <v>21</v>
      </c>
      <c r="S40" s="774">
        <f t="shared" si="12"/>
        <v>100</v>
      </c>
      <c r="T40" s="773" t="s">
        <v>21</v>
      </c>
      <c r="U40" s="774">
        <f t="shared" si="13"/>
        <v>100</v>
      </c>
      <c r="V40" s="773" t="s">
        <v>21</v>
      </c>
      <c r="W40" s="774">
        <f t="shared" si="14"/>
        <v>100</v>
      </c>
      <c r="X40" s="1811"/>
      <c r="Y40" s="3236"/>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69"/>
      <c r="Q41" s="775" t="str">
        <f t="shared" si="11"/>
        <v>单套/主力户型建筑面积</v>
      </c>
      <c r="R41" s="776" t="s">
        <v>21</v>
      </c>
      <c r="S41" s="777">
        <f t="shared" si="12"/>
        <v>100</v>
      </c>
      <c r="T41" s="776" t="s">
        <v>21</v>
      </c>
      <c r="U41" s="777">
        <f t="shared" si="13"/>
        <v>100</v>
      </c>
      <c r="V41" s="776" t="s">
        <v>21</v>
      </c>
      <c r="W41" s="777">
        <f t="shared" si="14"/>
        <v>100</v>
      </c>
      <c r="X41" s="778"/>
      <c r="Y41" s="3236"/>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69"/>
      <c r="Q42" s="1808" t="str">
        <f t="shared" si="11"/>
        <v>内部装修</v>
      </c>
      <c r="R42" s="773" t="s">
        <v>21</v>
      </c>
      <c r="S42" s="774">
        <f t="shared" si="12"/>
        <v>100</v>
      </c>
      <c r="T42" s="773" t="s">
        <v>21</v>
      </c>
      <c r="U42" s="774">
        <f t="shared" si="13"/>
        <v>100</v>
      </c>
      <c r="V42" s="773" t="s">
        <v>21</v>
      </c>
      <c r="W42" s="774">
        <f t="shared" si="14"/>
        <v>100</v>
      </c>
      <c r="X42" s="1811"/>
      <c r="Y42" s="3236"/>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69"/>
      <c r="Q43" s="1808" t="str">
        <f t="shared" si="11"/>
        <v>内部装修维护情况</v>
      </c>
      <c r="R43" s="773" t="s">
        <v>21</v>
      </c>
      <c r="S43" s="774">
        <f t="shared" si="12"/>
        <v>100</v>
      </c>
      <c r="T43" s="773" t="s">
        <v>21</v>
      </c>
      <c r="U43" s="774">
        <f t="shared" si="13"/>
        <v>100</v>
      </c>
      <c r="V43" s="773" t="s">
        <v>21</v>
      </c>
      <c r="W43" s="774">
        <f t="shared" si="14"/>
        <v>100</v>
      </c>
      <c r="X43" s="1811"/>
      <c r="Y43" s="3236"/>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69"/>
      <c r="Q44" s="1793">
        <f t="shared" si="11"/>
        <v>111</v>
      </c>
      <c r="R44" s="769" t="s">
        <v>21</v>
      </c>
      <c r="S44" s="770">
        <f t="shared" si="12"/>
        <v>100</v>
      </c>
      <c r="T44" s="769" t="s">
        <v>21</v>
      </c>
      <c r="U44" s="770">
        <f t="shared" si="13"/>
        <v>100</v>
      </c>
      <c r="V44" s="769" t="s">
        <v>21</v>
      </c>
      <c r="W44" s="770">
        <f t="shared" si="14"/>
        <v>100</v>
      </c>
      <c r="X44" s="771"/>
      <c r="Y44" s="3236"/>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69"/>
      <c r="Q45" s="1808">
        <f t="shared" si="11"/>
        <v>111</v>
      </c>
      <c r="R45" s="773" t="s">
        <v>21</v>
      </c>
      <c r="S45" s="774">
        <f t="shared" si="12"/>
        <v>100</v>
      </c>
      <c r="T45" s="773" t="s">
        <v>21</v>
      </c>
      <c r="U45" s="774">
        <f t="shared" si="13"/>
        <v>100</v>
      </c>
      <c r="V45" s="773" t="s">
        <v>21</v>
      </c>
      <c r="W45" s="774">
        <f t="shared" si="14"/>
        <v>100</v>
      </c>
      <c r="X45" s="1811"/>
      <c r="Y45" s="3236"/>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70"/>
      <c r="Q46" s="1808">
        <f t="shared" si="11"/>
        <v>111</v>
      </c>
      <c r="R46" s="773" t="s">
        <v>20</v>
      </c>
      <c r="S46" s="774">
        <f t="shared" si="12"/>
        <v>100</v>
      </c>
      <c r="T46" s="773" t="s">
        <v>20</v>
      </c>
      <c r="U46" s="774">
        <f t="shared" si="13"/>
        <v>100</v>
      </c>
      <c r="V46" s="773" t="s">
        <v>20</v>
      </c>
      <c r="W46" s="774">
        <f t="shared" si="14"/>
        <v>100</v>
      </c>
      <c r="X46" s="1811"/>
      <c r="Y46" s="3271"/>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218" t="str">
        <f>A47</f>
        <v>成交单价（元/平方米）</v>
      </c>
      <c r="Q47" s="3218"/>
      <c r="R47" s="3272">
        <f>E47</f>
        <v>0</v>
      </c>
      <c r="S47" s="3272"/>
      <c r="T47" s="3272">
        <f>G47</f>
        <v>0</v>
      </c>
      <c r="U47" s="3272"/>
      <c r="V47" s="3272">
        <f>I47</f>
        <v>0</v>
      </c>
      <c r="W47" s="3272"/>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218" t="str">
        <f>A48</f>
        <v>比较价值（元/平方米）</v>
      </c>
      <c r="Q48" s="3218"/>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238" t="str">
        <f>A49</f>
        <v>估价对象XX用房的比较价值（楼面单价，元/平方米）</v>
      </c>
      <c r="Q49" s="3239"/>
      <c r="R49" s="3273" t="e">
        <f>IF(F1="售价",ROUND(AVERAGE(R48:V48),0),ROUND(AVERAGE(R48:V48),1))</f>
        <v>#DIV/0!</v>
      </c>
      <c r="S49" s="3273"/>
      <c r="T49" s="3273"/>
      <c r="U49" s="3273"/>
      <c r="V49" s="3273"/>
      <c r="W49" s="3273"/>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307" t="s">
        <v>2637</v>
      </c>
      <c r="Q4" s="3308"/>
      <c r="R4" s="3302" t="s">
        <v>2633</v>
      </c>
      <c r="S4" s="3303"/>
      <c r="T4" s="3302" t="s">
        <v>2634</v>
      </c>
      <c r="U4" s="3303"/>
      <c r="V4" s="3311" t="s">
        <v>2635</v>
      </c>
      <c r="W4" s="3311"/>
      <c r="X4" s="2665"/>
      <c r="Y4" s="3302" t="s">
        <v>2637</v>
      </c>
      <c r="Z4" s="3303"/>
      <c r="AA4" s="3301" t="s">
        <v>2633</v>
      </c>
      <c r="AB4" s="3301" t="s">
        <v>2634</v>
      </c>
      <c r="AC4" s="3304" t="s">
        <v>2635</v>
      </c>
    </row>
    <row r="5" spans="1:29" ht="15">
      <c r="A5" s="404"/>
      <c r="B5" s="405"/>
      <c r="C5" s="3212" t="s">
        <v>2528</v>
      </c>
      <c r="D5" s="3213"/>
      <c r="E5" s="3210" t="s">
        <v>2529</v>
      </c>
      <c r="F5" s="3211"/>
      <c r="G5" s="3212" t="s">
        <v>2530</v>
      </c>
      <c r="H5" s="3213"/>
      <c r="I5" s="3212" t="s">
        <v>2531</v>
      </c>
      <c r="J5" s="3213"/>
      <c r="K5" s="610"/>
      <c r="L5" s="1130"/>
      <c r="M5" s="1131"/>
      <c r="N5" s="1131"/>
      <c r="O5" s="1131"/>
      <c r="P5" s="3309"/>
      <c r="Q5" s="3226"/>
      <c r="R5" s="3208"/>
      <c r="S5" s="3209"/>
      <c r="T5" s="3208"/>
      <c r="U5" s="3209"/>
      <c r="V5" s="3231"/>
      <c r="W5" s="3231"/>
      <c r="X5" s="1811"/>
      <c r="Y5" s="3208"/>
      <c r="Z5" s="3209"/>
      <c r="AA5" s="3202"/>
      <c r="AB5" s="3202"/>
      <c r="AC5" s="3305"/>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310"/>
      <c r="Q6" s="3228"/>
      <c r="R6" s="3208"/>
      <c r="S6" s="3209"/>
      <c r="T6" s="3229"/>
      <c r="U6" s="3230"/>
      <c r="V6" s="3231"/>
      <c r="W6" s="3231"/>
      <c r="X6" s="1811"/>
      <c r="Y6" s="3229"/>
      <c r="Z6" s="3230"/>
      <c r="AA6" s="3203"/>
      <c r="AB6" s="3203"/>
      <c r="AC6" s="3306"/>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2" t="s">
        <v>2535</v>
      </c>
      <c r="Q7" s="3232"/>
      <c r="R7" s="769" t="s">
        <v>17</v>
      </c>
      <c r="S7" s="770">
        <f t="shared" ref="S7:S15" si="0">F7</f>
        <v>0</v>
      </c>
      <c r="T7" s="769" t="s">
        <v>17</v>
      </c>
      <c r="U7" s="770">
        <f t="shared" ref="U7:U15" si="1">H7</f>
        <v>0</v>
      </c>
      <c r="V7" s="769" t="s">
        <v>17</v>
      </c>
      <c r="W7" s="770">
        <f t="shared" ref="W7:W15" si="2">J7</f>
        <v>0</v>
      </c>
      <c r="X7" s="771"/>
      <c r="Y7" s="3204" t="s">
        <v>2535</v>
      </c>
      <c r="Z7" s="3205"/>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2" t="s">
        <v>2538</v>
      </c>
      <c r="Q8" s="3205"/>
      <c r="R8" s="769" t="s">
        <v>17</v>
      </c>
      <c r="S8" s="770">
        <f t="shared" si="0"/>
        <v>0</v>
      </c>
      <c r="T8" s="769" t="s">
        <v>17</v>
      </c>
      <c r="U8" s="770">
        <f t="shared" si="1"/>
        <v>0</v>
      </c>
      <c r="V8" s="769" t="s">
        <v>17</v>
      </c>
      <c r="W8" s="770">
        <f t="shared" si="2"/>
        <v>0</v>
      </c>
      <c r="X8" s="771"/>
      <c r="Y8" s="3204" t="s">
        <v>2538</v>
      </c>
      <c r="Z8" s="3205"/>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2" t="s">
        <v>2541</v>
      </c>
      <c r="Q9" s="1793" t="str">
        <f t="shared" ref="Q9:Q15" si="6">B9</f>
        <v>用途</v>
      </c>
      <c r="R9" s="769" t="s">
        <v>17</v>
      </c>
      <c r="S9" s="770">
        <f t="shared" si="0"/>
        <v>100</v>
      </c>
      <c r="T9" s="769" t="s">
        <v>17</v>
      </c>
      <c r="U9" s="770">
        <f t="shared" si="1"/>
        <v>100</v>
      </c>
      <c r="V9" s="769" t="s">
        <v>17</v>
      </c>
      <c r="W9" s="770">
        <f t="shared" si="2"/>
        <v>100</v>
      </c>
      <c r="X9" s="771"/>
      <c r="Y9" s="3078"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2"/>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2"/>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42"/>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42"/>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42"/>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6" t="s">
        <v>2546</v>
      </c>
      <c r="Q15" s="1808" t="str">
        <f t="shared" si="6"/>
        <v>办公集聚程度</v>
      </c>
      <c r="R15" s="773" t="s">
        <v>17</v>
      </c>
      <c r="S15" s="774">
        <f t="shared" si="0"/>
        <v>100</v>
      </c>
      <c r="T15" s="773" t="s">
        <v>17</v>
      </c>
      <c r="U15" s="774">
        <f t="shared" si="1"/>
        <v>100</v>
      </c>
      <c r="V15" s="773" t="s">
        <v>17</v>
      </c>
      <c r="W15" s="774">
        <f t="shared" si="2"/>
        <v>100</v>
      </c>
      <c r="X15" s="1811"/>
      <c r="Y15" s="3233"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67"/>
      <c r="Q16" s="1808"/>
      <c r="R16" s="773"/>
      <c r="S16" s="774"/>
      <c r="T16" s="773"/>
      <c r="U16" s="774"/>
      <c r="V16" s="773"/>
      <c r="W16" s="774"/>
      <c r="X16" s="1811"/>
      <c r="Y16" s="3234"/>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7"/>
      <c r="Q17" s="1808" t="str">
        <f>B17</f>
        <v>交通便捷度</v>
      </c>
      <c r="R17" s="773" t="s">
        <v>17</v>
      </c>
      <c r="S17" s="774">
        <f>F17</f>
        <v>100</v>
      </c>
      <c r="T17" s="773" t="s">
        <v>17</v>
      </c>
      <c r="U17" s="774">
        <f>H17</f>
        <v>100</v>
      </c>
      <c r="V17" s="773" t="s">
        <v>17</v>
      </c>
      <c r="W17" s="774">
        <f>J17</f>
        <v>100</v>
      </c>
      <c r="X17" s="1811"/>
      <c r="Y17" s="3234"/>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67"/>
      <c r="Q18" s="1808"/>
      <c r="R18" s="773"/>
      <c r="S18" s="774"/>
      <c r="T18" s="773"/>
      <c r="U18" s="774"/>
      <c r="V18" s="773"/>
      <c r="W18" s="774"/>
      <c r="X18" s="1811"/>
      <c r="Y18" s="3234"/>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7"/>
      <c r="Q19" s="1808" t="str">
        <f>B19</f>
        <v>公共配套设施</v>
      </c>
      <c r="R19" s="773" t="s">
        <v>17</v>
      </c>
      <c r="S19" s="774">
        <f>F19</f>
        <v>100</v>
      </c>
      <c r="T19" s="773" t="s">
        <v>17</v>
      </c>
      <c r="U19" s="774">
        <f>H19</f>
        <v>100</v>
      </c>
      <c r="V19" s="773" t="s">
        <v>17</v>
      </c>
      <c r="W19" s="774">
        <f>J19</f>
        <v>100</v>
      </c>
      <c r="X19" s="1811"/>
      <c r="Y19" s="3234"/>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67"/>
      <c r="Q20" s="1808"/>
      <c r="R20" s="773"/>
      <c r="S20" s="774"/>
      <c r="T20" s="773"/>
      <c r="U20" s="774"/>
      <c r="V20" s="773"/>
      <c r="W20" s="774"/>
      <c r="X20" s="1811"/>
      <c r="Y20" s="3234"/>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7"/>
      <c r="Q21" s="1808" t="str">
        <f>B21</f>
        <v>基础设施水平</v>
      </c>
      <c r="R21" s="773" t="s">
        <v>17</v>
      </c>
      <c r="S21" s="774">
        <f>F21</f>
        <v>100</v>
      </c>
      <c r="T21" s="773" t="s">
        <v>17</v>
      </c>
      <c r="U21" s="774">
        <f>H21</f>
        <v>100</v>
      </c>
      <c r="V21" s="773" t="s">
        <v>17</v>
      </c>
      <c r="W21" s="774">
        <f>J21</f>
        <v>100</v>
      </c>
      <c r="X21" s="1811"/>
      <c r="Y21" s="3234"/>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67"/>
      <c r="Q22" s="1808"/>
      <c r="R22" s="773"/>
      <c r="S22" s="774"/>
      <c r="T22" s="773"/>
      <c r="U22" s="774"/>
      <c r="V22" s="773"/>
      <c r="W22" s="774"/>
      <c r="X22" s="1811"/>
      <c r="Y22" s="3234"/>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7"/>
      <c r="Q23" s="1808" t="str">
        <f>B23</f>
        <v>环境质量</v>
      </c>
      <c r="R23" s="773" t="s">
        <v>17</v>
      </c>
      <c r="S23" s="774">
        <f>F23</f>
        <v>100</v>
      </c>
      <c r="T23" s="773" t="s">
        <v>17</v>
      </c>
      <c r="U23" s="774">
        <f>H23</f>
        <v>100</v>
      </c>
      <c r="V23" s="773" t="s">
        <v>17</v>
      </c>
      <c r="W23" s="774">
        <f>J23</f>
        <v>100</v>
      </c>
      <c r="X23" s="1811"/>
      <c r="Y23" s="3234"/>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67"/>
      <c r="Q24" s="1808"/>
      <c r="R24" s="773"/>
      <c r="S24" s="774"/>
      <c r="T24" s="773"/>
      <c r="U24" s="774"/>
      <c r="V24" s="773"/>
      <c r="W24" s="774"/>
      <c r="X24" s="1811"/>
      <c r="Y24" s="3234"/>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67"/>
      <c r="Q25" s="1808" t="str">
        <f>B25</f>
        <v>毗邻道路的类型与等级</v>
      </c>
      <c r="R25" s="773" t="s">
        <v>17</v>
      </c>
      <c r="S25" s="774">
        <f>F25</f>
        <v>100</v>
      </c>
      <c r="T25" s="773" t="s">
        <v>17</v>
      </c>
      <c r="U25" s="774">
        <f>H25</f>
        <v>100</v>
      </c>
      <c r="V25" s="773" t="s">
        <v>17</v>
      </c>
      <c r="W25" s="774">
        <f>J25</f>
        <v>100</v>
      </c>
      <c r="X25" s="1811"/>
      <c r="Y25" s="3234"/>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67"/>
      <c r="Q26" s="1808"/>
      <c r="R26" s="773"/>
      <c r="S26" s="774"/>
      <c r="T26" s="773"/>
      <c r="U26" s="774"/>
      <c r="V26" s="773"/>
      <c r="W26" s="774"/>
      <c r="X26" s="1811"/>
      <c r="Y26" s="3234"/>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7"/>
      <c r="Q27" s="1808" t="str">
        <f t="shared" ref="Q27:Q47" si="11">B27</f>
        <v>楼层</v>
      </c>
      <c r="R27" s="773" t="s">
        <v>17</v>
      </c>
      <c r="S27" s="774">
        <f>F27</f>
        <v>100</v>
      </c>
      <c r="T27" s="773" t="s">
        <v>17</v>
      </c>
      <c r="U27" s="774">
        <f>H27</f>
        <v>100</v>
      </c>
      <c r="V27" s="773" t="s">
        <v>17</v>
      </c>
      <c r="W27" s="774">
        <f>J27</f>
        <v>100</v>
      </c>
      <c r="X27" s="1811"/>
      <c r="Y27" s="3234"/>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67"/>
      <c r="Q28" s="1793" t="str">
        <f t="shared" si="11"/>
        <v>朝向</v>
      </c>
      <c r="R28" s="769" t="s">
        <v>17</v>
      </c>
      <c r="S28" s="770">
        <f>F28</f>
        <v>100</v>
      </c>
      <c r="T28" s="769" t="s">
        <v>17</v>
      </c>
      <c r="U28" s="770">
        <f>H28</f>
        <v>100</v>
      </c>
      <c r="V28" s="769" t="s">
        <v>17</v>
      </c>
      <c r="W28" s="770">
        <f>J28</f>
        <v>100</v>
      </c>
      <c r="X28" s="771"/>
      <c r="Y28" s="3234"/>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67"/>
      <c r="Q29" s="1808">
        <f t="shared" si="11"/>
        <v>111</v>
      </c>
      <c r="R29" s="773" t="s">
        <v>17</v>
      </c>
      <c r="S29" s="774">
        <f t="shared" ref="S29:S47" si="12">F29</f>
        <v>100</v>
      </c>
      <c r="T29" s="773" t="s">
        <v>17</v>
      </c>
      <c r="U29" s="774">
        <f t="shared" ref="U29:U47" si="13">H29</f>
        <v>100</v>
      </c>
      <c r="V29" s="773" t="s">
        <v>17</v>
      </c>
      <c r="W29" s="774">
        <f t="shared" ref="W29:W47" si="14">J29</f>
        <v>100</v>
      </c>
      <c r="X29" s="1811"/>
      <c r="Y29" s="3234"/>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67"/>
      <c r="Q30" s="1808">
        <f t="shared" si="11"/>
        <v>111</v>
      </c>
      <c r="R30" s="773" t="s">
        <v>17</v>
      </c>
      <c r="S30" s="774">
        <f t="shared" si="12"/>
        <v>100</v>
      </c>
      <c r="T30" s="773" t="s">
        <v>17</v>
      </c>
      <c r="U30" s="774">
        <f t="shared" si="13"/>
        <v>100</v>
      </c>
      <c r="V30" s="773" t="s">
        <v>17</v>
      </c>
      <c r="W30" s="774">
        <f t="shared" si="14"/>
        <v>100</v>
      </c>
      <c r="X30" s="1811"/>
      <c r="Y30" s="3234"/>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67"/>
      <c r="Q31" s="1808">
        <f t="shared" si="11"/>
        <v>111</v>
      </c>
      <c r="R31" s="773" t="s">
        <v>17</v>
      </c>
      <c r="S31" s="774">
        <f t="shared" si="12"/>
        <v>100</v>
      </c>
      <c r="T31" s="773" t="s">
        <v>17</v>
      </c>
      <c r="U31" s="774">
        <f t="shared" si="13"/>
        <v>100</v>
      </c>
      <c r="V31" s="773" t="s">
        <v>17</v>
      </c>
      <c r="W31" s="774">
        <f t="shared" si="14"/>
        <v>100</v>
      </c>
      <c r="X31" s="1811"/>
      <c r="Y31" s="3234"/>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67"/>
      <c r="Q32" s="1808">
        <f t="shared" si="11"/>
        <v>111</v>
      </c>
      <c r="R32" s="773" t="s">
        <v>17</v>
      </c>
      <c r="S32" s="774">
        <f t="shared" si="12"/>
        <v>100</v>
      </c>
      <c r="T32" s="773" t="s">
        <v>17</v>
      </c>
      <c r="U32" s="774">
        <f t="shared" si="13"/>
        <v>100</v>
      </c>
      <c r="V32" s="773" t="s">
        <v>17</v>
      </c>
      <c r="W32" s="774">
        <f t="shared" si="14"/>
        <v>100</v>
      </c>
      <c r="X32" s="1811"/>
      <c r="Y32" s="3234"/>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68" t="s">
        <v>2551</v>
      </c>
      <c r="Q33" s="1808" t="str">
        <f t="shared" si="11"/>
        <v>建筑类型</v>
      </c>
      <c r="R33" s="773" t="s">
        <v>17</v>
      </c>
      <c r="S33" s="774">
        <f t="shared" si="12"/>
        <v>100</v>
      </c>
      <c r="T33" s="773" t="s">
        <v>17</v>
      </c>
      <c r="U33" s="774">
        <f t="shared" si="13"/>
        <v>100</v>
      </c>
      <c r="V33" s="773" t="s">
        <v>17</v>
      </c>
      <c r="W33" s="774">
        <f t="shared" si="14"/>
        <v>100</v>
      </c>
      <c r="X33" s="1811"/>
      <c r="Y33" s="3236"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9"/>
      <c r="Q34" s="775" t="str">
        <f t="shared" si="11"/>
        <v>项目建筑规模</v>
      </c>
      <c r="R34" s="776" t="s">
        <v>17</v>
      </c>
      <c r="S34" s="777" t="e">
        <f t="shared" si="12"/>
        <v>#N/A</v>
      </c>
      <c r="T34" s="776" t="s">
        <v>17</v>
      </c>
      <c r="U34" s="777" t="e">
        <f t="shared" si="13"/>
        <v>#N/A</v>
      </c>
      <c r="V34" s="776" t="s">
        <v>17</v>
      </c>
      <c r="W34" s="777" t="e">
        <f t="shared" si="14"/>
        <v>#N/A</v>
      </c>
      <c r="X34" s="778"/>
      <c r="Y34" s="3236"/>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9"/>
      <c r="Q35" s="1808" t="str">
        <f t="shared" si="11"/>
        <v>建筑结构</v>
      </c>
      <c r="R35" s="773" t="s">
        <v>17</v>
      </c>
      <c r="S35" s="774">
        <f t="shared" si="12"/>
        <v>100</v>
      </c>
      <c r="T35" s="773" t="s">
        <v>17</v>
      </c>
      <c r="U35" s="774">
        <f t="shared" si="13"/>
        <v>100</v>
      </c>
      <c r="V35" s="773" t="s">
        <v>17</v>
      </c>
      <c r="W35" s="774">
        <f t="shared" si="14"/>
        <v>100</v>
      </c>
      <c r="X35" s="1811"/>
      <c r="Y35" s="3236"/>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9"/>
      <c r="Q36" s="1808" t="str">
        <f t="shared" si="11"/>
        <v>公共部分装修</v>
      </c>
      <c r="R36" s="773" t="s">
        <v>17</v>
      </c>
      <c r="S36" s="774">
        <f t="shared" si="12"/>
        <v>100</v>
      </c>
      <c r="T36" s="773" t="s">
        <v>17</v>
      </c>
      <c r="U36" s="774">
        <f t="shared" si="13"/>
        <v>100</v>
      </c>
      <c r="V36" s="773" t="s">
        <v>17</v>
      </c>
      <c r="W36" s="774">
        <f t="shared" si="14"/>
        <v>100</v>
      </c>
      <c r="X36" s="1811"/>
      <c r="Y36" s="3236"/>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9"/>
      <c r="Q37" s="1808" t="str">
        <f t="shared" si="11"/>
        <v>成新度</v>
      </c>
      <c r="R37" s="773" t="s">
        <v>17</v>
      </c>
      <c r="S37" s="774" t="e">
        <f t="shared" si="12"/>
        <v>#N/A</v>
      </c>
      <c r="T37" s="773" t="s">
        <v>17</v>
      </c>
      <c r="U37" s="774" t="e">
        <f t="shared" si="13"/>
        <v>#N/A</v>
      </c>
      <c r="V37" s="773" t="s">
        <v>17</v>
      </c>
      <c r="W37" s="774" t="e">
        <f t="shared" si="14"/>
        <v>#N/A</v>
      </c>
      <c r="X37" s="1811"/>
      <c r="Y37" s="3236"/>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9"/>
      <c r="Q38" s="1793" t="str">
        <f t="shared" si="11"/>
        <v>写字楼等级</v>
      </c>
      <c r="R38" s="769" t="s">
        <v>17</v>
      </c>
      <c r="S38" s="770">
        <f t="shared" si="12"/>
        <v>100</v>
      </c>
      <c r="T38" s="769" t="s">
        <v>17</v>
      </c>
      <c r="U38" s="770">
        <f t="shared" si="13"/>
        <v>100</v>
      </c>
      <c r="V38" s="769" t="s">
        <v>17</v>
      </c>
      <c r="W38" s="770">
        <f t="shared" si="14"/>
        <v>100</v>
      </c>
      <c r="X38" s="771"/>
      <c r="Y38" s="3236"/>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9" t="s">
        <v>2551</v>
      </c>
      <c r="Q39" s="1808" t="str">
        <f t="shared" si="11"/>
        <v>物业管理</v>
      </c>
      <c r="R39" s="773" t="s">
        <v>17</v>
      </c>
      <c r="S39" s="774">
        <f t="shared" si="12"/>
        <v>100</v>
      </c>
      <c r="T39" s="773" t="s">
        <v>17</v>
      </c>
      <c r="U39" s="774">
        <f t="shared" si="13"/>
        <v>100</v>
      </c>
      <c r="V39" s="773" t="s">
        <v>17</v>
      </c>
      <c r="W39" s="774">
        <f t="shared" si="14"/>
        <v>100</v>
      </c>
      <c r="X39" s="1811"/>
      <c r="Y39" s="3236"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9"/>
      <c r="Q40" s="1808" t="str">
        <f t="shared" si="11"/>
        <v>市政基础设施</v>
      </c>
      <c r="R40" s="773" t="s">
        <v>17</v>
      </c>
      <c r="S40" s="774">
        <f t="shared" si="12"/>
        <v>100</v>
      </c>
      <c r="T40" s="773" t="s">
        <v>17</v>
      </c>
      <c r="U40" s="774">
        <f t="shared" si="13"/>
        <v>100</v>
      </c>
      <c r="V40" s="773" t="s">
        <v>17</v>
      </c>
      <c r="W40" s="774">
        <f t="shared" si="14"/>
        <v>100</v>
      </c>
      <c r="X40" s="1811"/>
      <c r="Y40" s="3236"/>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9"/>
      <c r="Q41" s="1808" t="str">
        <f t="shared" si="11"/>
        <v>层高</v>
      </c>
      <c r="R41" s="773" t="s">
        <v>17</v>
      </c>
      <c r="S41" s="774">
        <f t="shared" si="12"/>
        <v>100</v>
      </c>
      <c r="T41" s="773" t="s">
        <v>17</v>
      </c>
      <c r="U41" s="774">
        <f t="shared" si="13"/>
        <v>100</v>
      </c>
      <c r="V41" s="773" t="s">
        <v>17</v>
      </c>
      <c r="W41" s="774">
        <f t="shared" si="14"/>
        <v>100</v>
      </c>
      <c r="X41" s="1811"/>
      <c r="Y41" s="3236"/>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9"/>
      <c r="Q42" s="775" t="str">
        <f t="shared" si="11"/>
        <v>单套建筑面积</v>
      </c>
      <c r="R42" s="776" t="s">
        <v>17</v>
      </c>
      <c r="S42" s="777">
        <f t="shared" si="12"/>
        <v>100</v>
      </c>
      <c r="T42" s="776" t="s">
        <v>17</v>
      </c>
      <c r="U42" s="777">
        <f t="shared" si="13"/>
        <v>100</v>
      </c>
      <c r="V42" s="776" t="s">
        <v>17</v>
      </c>
      <c r="W42" s="777">
        <f t="shared" si="14"/>
        <v>100</v>
      </c>
      <c r="X42" s="778"/>
      <c r="Y42" s="3236"/>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9"/>
      <c r="Q43" s="1808" t="str">
        <f t="shared" si="11"/>
        <v>内部装修</v>
      </c>
      <c r="R43" s="773" t="s">
        <v>17</v>
      </c>
      <c r="S43" s="774">
        <f t="shared" si="12"/>
        <v>100</v>
      </c>
      <c r="T43" s="773" t="s">
        <v>17</v>
      </c>
      <c r="U43" s="774">
        <f t="shared" si="13"/>
        <v>100</v>
      </c>
      <c r="V43" s="773" t="s">
        <v>17</v>
      </c>
      <c r="W43" s="774">
        <f t="shared" si="14"/>
        <v>100</v>
      </c>
      <c r="X43" s="1811"/>
      <c r="Y43" s="3236"/>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69"/>
      <c r="Q44" s="1808" t="str">
        <f t="shared" si="11"/>
        <v>内部装修维护情况</v>
      </c>
      <c r="R44" s="773" t="s">
        <v>17</v>
      </c>
      <c r="S44" s="774">
        <f t="shared" si="12"/>
        <v>100</v>
      </c>
      <c r="T44" s="773" t="s">
        <v>17</v>
      </c>
      <c r="U44" s="774">
        <f t="shared" si="13"/>
        <v>100</v>
      </c>
      <c r="V44" s="773" t="s">
        <v>17</v>
      </c>
      <c r="W44" s="774">
        <f t="shared" si="14"/>
        <v>100</v>
      </c>
      <c r="X44" s="1811"/>
      <c r="Y44" s="3236"/>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9"/>
      <c r="Q45" s="1793">
        <f t="shared" si="11"/>
        <v>111</v>
      </c>
      <c r="R45" s="769" t="s">
        <v>17</v>
      </c>
      <c r="S45" s="770">
        <f t="shared" si="12"/>
        <v>100</v>
      </c>
      <c r="T45" s="769" t="s">
        <v>17</v>
      </c>
      <c r="U45" s="770">
        <f t="shared" si="13"/>
        <v>100</v>
      </c>
      <c r="V45" s="769" t="s">
        <v>17</v>
      </c>
      <c r="W45" s="770">
        <f t="shared" si="14"/>
        <v>100</v>
      </c>
      <c r="X45" s="771"/>
      <c r="Y45" s="3236"/>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9"/>
      <c r="Q46" s="1808">
        <f t="shared" si="11"/>
        <v>111</v>
      </c>
      <c r="R46" s="773" t="s">
        <v>17</v>
      </c>
      <c r="S46" s="774">
        <f t="shared" si="12"/>
        <v>100</v>
      </c>
      <c r="T46" s="773" t="s">
        <v>17</v>
      </c>
      <c r="U46" s="774">
        <f t="shared" si="13"/>
        <v>100</v>
      </c>
      <c r="V46" s="773" t="s">
        <v>17</v>
      </c>
      <c r="W46" s="774">
        <f t="shared" si="14"/>
        <v>100</v>
      </c>
      <c r="X46" s="1811"/>
      <c r="Y46" s="3236"/>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0"/>
      <c r="Q47" s="1808">
        <f t="shared" si="11"/>
        <v>111</v>
      </c>
      <c r="R47" s="773" t="s">
        <v>17</v>
      </c>
      <c r="S47" s="774">
        <f t="shared" si="12"/>
        <v>100</v>
      </c>
      <c r="T47" s="773" t="s">
        <v>17</v>
      </c>
      <c r="U47" s="774">
        <f t="shared" si="13"/>
        <v>100</v>
      </c>
      <c r="V47" s="773" t="s">
        <v>17</v>
      </c>
      <c r="W47" s="774">
        <f t="shared" si="14"/>
        <v>100</v>
      </c>
      <c r="X47" s="1811"/>
      <c r="Y47" s="3271"/>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242" t="str">
        <f>A48</f>
        <v>成交单价（元/平方米）</v>
      </c>
      <c r="Q48" s="3218"/>
      <c r="R48" s="3272">
        <f>E48</f>
        <v>0</v>
      </c>
      <c r="S48" s="3272"/>
      <c r="T48" s="3272">
        <f>G48</f>
        <v>0</v>
      </c>
      <c r="U48" s="3272"/>
      <c r="V48" s="3272">
        <f>I48</f>
        <v>0</v>
      </c>
      <c r="W48" s="3272"/>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242" t="str">
        <f>A49</f>
        <v>比较价值（元/平方米）</v>
      </c>
      <c r="Q49" s="3218"/>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313" t="str">
        <f>A50</f>
        <v>估价对象XX用房的比较价值（楼面单价，元/平方米）</v>
      </c>
      <c r="Q50" s="3314"/>
      <c r="R50" s="3315" t="e">
        <f>IF(F1="售价",ROUND(AVERAGE(R49:V49),0),ROUND(AVERAGE(R49:V49),1))</f>
        <v>#DIV/0!</v>
      </c>
      <c r="S50" s="3315"/>
      <c r="T50" s="3315"/>
      <c r="U50" s="3315"/>
      <c r="V50" s="3315"/>
      <c r="W50" s="3315"/>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191，估价对象（分摊）出让国有建设用地使用权面积为14638.63平方米。根据《房屋面积测算技术报告书》，估价对象建筑面积为49833.96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14638.63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1"/>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1"/>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1"/>
      <c r="Y6" s="3229"/>
      <c r="Z6" s="3230"/>
      <c r="AA6" s="3203"/>
      <c r="AB6" s="3203"/>
      <c r="AC6" s="3203"/>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2535</v>
      </c>
      <c r="Q7" s="3232"/>
      <c r="R7" s="769" t="s">
        <v>17</v>
      </c>
      <c r="S7" s="770">
        <f t="shared" ref="S7:S15" si="0">F7</f>
        <v>0</v>
      </c>
      <c r="T7" s="769" t="s">
        <v>17</v>
      </c>
      <c r="U7" s="770">
        <f t="shared" ref="U7:U15" si="1">H7</f>
        <v>0</v>
      </c>
      <c r="V7" s="769" t="s">
        <v>17</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2538</v>
      </c>
      <c r="Q8" s="3205"/>
      <c r="R8" s="769" t="s">
        <v>17</v>
      </c>
      <c r="S8" s="770">
        <f t="shared" si="0"/>
        <v>0</v>
      </c>
      <c r="T8" s="769" t="s">
        <v>17</v>
      </c>
      <c r="U8" s="770">
        <f t="shared" si="1"/>
        <v>0</v>
      </c>
      <c r="V8" s="769" t="s">
        <v>17</v>
      </c>
      <c r="W8" s="770">
        <f t="shared" si="2"/>
        <v>0</v>
      </c>
      <c r="X8" s="771"/>
      <c r="Y8" s="3204" t="s">
        <v>2538</v>
      </c>
      <c r="Z8" s="3205"/>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8" t="s">
        <v>2541</v>
      </c>
      <c r="Q9" s="1793" t="str">
        <f t="shared" ref="Q9:Q15" si="6">B9</f>
        <v>用途</v>
      </c>
      <c r="R9" s="769" t="s">
        <v>17</v>
      </c>
      <c r="S9" s="770">
        <f t="shared" si="0"/>
        <v>100</v>
      </c>
      <c r="T9" s="769" t="s">
        <v>17</v>
      </c>
      <c r="U9" s="770">
        <f t="shared" si="1"/>
        <v>100</v>
      </c>
      <c r="V9" s="769" t="s">
        <v>17</v>
      </c>
      <c r="W9" s="770">
        <f t="shared" si="2"/>
        <v>100</v>
      </c>
      <c r="X9" s="771"/>
      <c r="Y9" s="3078"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8"/>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8"/>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18"/>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18"/>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18"/>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3" t="s">
        <v>2546</v>
      </c>
      <c r="Q15" s="1808" t="str">
        <f t="shared" si="6"/>
        <v>产业集聚程度</v>
      </c>
      <c r="R15" s="773" t="s">
        <v>17</v>
      </c>
      <c r="S15" s="774">
        <f t="shared" si="0"/>
        <v>100</v>
      </c>
      <c r="T15" s="773" t="s">
        <v>17</v>
      </c>
      <c r="U15" s="774">
        <f t="shared" si="1"/>
        <v>100</v>
      </c>
      <c r="V15" s="773" t="s">
        <v>17</v>
      </c>
      <c r="W15" s="774">
        <f t="shared" si="2"/>
        <v>100</v>
      </c>
      <c r="X15" s="1811"/>
      <c r="Y15" s="3233"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34"/>
      <c r="Q16" s="1808"/>
      <c r="R16" s="773"/>
      <c r="S16" s="774"/>
      <c r="T16" s="773"/>
      <c r="U16" s="774"/>
      <c r="V16" s="773"/>
      <c r="W16" s="774"/>
      <c r="X16" s="1811"/>
      <c r="Y16" s="3234"/>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4"/>
      <c r="Q17" s="1808" t="str">
        <f>B17</f>
        <v>交通便捷度</v>
      </c>
      <c r="R17" s="773" t="s">
        <v>17</v>
      </c>
      <c r="S17" s="774">
        <f>F17</f>
        <v>100</v>
      </c>
      <c r="T17" s="773" t="s">
        <v>17</v>
      </c>
      <c r="U17" s="774">
        <f>H17</f>
        <v>100</v>
      </c>
      <c r="V17" s="773" t="s">
        <v>17</v>
      </c>
      <c r="W17" s="774">
        <f>J17</f>
        <v>100</v>
      </c>
      <c r="X17" s="1811"/>
      <c r="Y17" s="3234"/>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34"/>
      <c r="Q18" s="1808"/>
      <c r="R18" s="773"/>
      <c r="S18" s="774"/>
      <c r="T18" s="773"/>
      <c r="U18" s="774"/>
      <c r="V18" s="773"/>
      <c r="W18" s="774"/>
      <c r="X18" s="1811"/>
      <c r="Y18" s="3234"/>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4"/>
      <c r="Q19" s="1808" t="str">
        <f>B19</f>
        <v>公共配套设施</v>
      </c>
      <c r="R19" s="773" t="s">
        <v>17</v>
      </c>
      <c r="S19" s="774">
        <f>F19</f>
        <v>100</v>
      </c>
      <c r="T19" s="773" t="s">
        <v>17</v>
      </c>
      <c r="U19" s="774">
        <f>H19</f>
        <v>100</v>
      </c>
      <c r="V19" s="773" t="s">
        <v>17</v>
      </c>
      <c r="W19" s="774">
        <f>J19</f>
        <v>100</v>
      </c>
      <c r="X19" s="1811"/>
      <c r="Y19" s="3234"/>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34"/>
      <c r="Q20" s="1808"/>
      <c r="R20" s="773"/>
      <c r="S20" s="774"/>
      <c r="T20" s="773"/>
      <c r="U20" s="774"/>
      <c r="V20" s="773"/>
      <c r="W20" s="774"/>
      <c r="X20" s="1811"/>
      <c r="Y20" s="3234"/>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4"/>
      <c r="Q21" s="1808" t="str">
        <f>B21</f>
        <v>基础设施水平</v>
      </c>
      <c r="R21" s="773" t="s">
        <v>17</v>
      </c>
      <c r="S21" s="774">
        <f>F21</f>
        <v>100</v>
      </c>
      <c r="T21" s="773" t="s">
        <v>17</v>
      </c>
      <c r="U21" s="774">
        <f>H21</f>
        <v>100</v>
      </c>
      <c r="V21" s="773" t="s">
        <v>17</v>
      </c>
      <c r="W21" s="774">
        <f>J21</f>
        <v>100</v>
      </c>
      <c r="X21" s="1811"/>
      <c r="Y21" s="3234"/>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34"/>
      <c r="Q22" s="1808"/>
      <c r="R22" s="773"/>
      <c r="S22" s="774"/>
      <c r="T22" s="773"/>
      <c r="U22" s="774"/>
      <c r="V22" s="773"/>
      <c r="W22" s="774"/>
      <c r="X22" s="1811"/>
      <c r="Y22" s="3234"/>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4"/>
      <c r="Q23" s="1808" t="str">
        <f>B23</f>
        <v>环境质量</v>
      </c>
      <c r="R23" s="773" t="s">
        <v>17</v>
      </c>
      <c r="S23" s="774">
        <f>F23</f>
        <v>100</v>
      </c>
      <c r="T23" s="773" t="s">
        <v>17</v>
      </c>
      <c r="U23" s="774">
        <f>H23</f>
        <v>100</v>
      </c>
      <c r="V23" s="773" t="s">
        <v>17</v>
      </c>
      <c r="W23" s="774">
        <f>J23</f>
        <v>100</v>
      </c>
      <c r="X23" s="1811"/>
      <c r="Y23" s="3234"/>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34"/>
      <c r="Q24" s="1808"/>
      <c r="R24" s="773"/>
      <c r="S24" s="774"/>
      <c r="T24" s="773"/>
      <c r="U24" s="774"/>
      <c r="V24" s="773"/>
      <c r="W24" s="774"/>
      <c r="X24" s="1811"/>
      <c r="Y24" s="3234"/>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4"/>
      <c r="Q25" s="1808">
        <f>B25</f>
        <v>111</v>
      </c>
      <c r="R25" s="773" t="s">
        <v>17</v>
      </c>
      <c r="S25" s="774">
        <f>F25</f>
        <v>100</v>
      </c>
      <c r="T25" s="773" t="s">
        <v>17</v>
      </c>
      <c r="U25" s="774">
        <f>H25</f>
        <v>100</v>
      </c>
      <c r="V25" s="773" t="s">
        <v>17</v>
      </c>
      <c r="W25" s="774">
        <f>J25</f>
        <v>100</v>
      </c>
      <c r="X25" s="1811"/>
      <c r="Y25" s="3234"/>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4"/>
      <c r="Q26" s="1808">
        <f t="shared" ref="Q26:Q40" si="11">B26</f>
        <v>111</v>
      </c>
      <c r="R26" s="773" t="s">
        <v>17</v>
      </c>
      <c r="S26" s="774">
        <f>F26</f>
        <v>100</v>
      </c>
      <c r="T26" s="773" t="s">
        <v>17</v>
      </c>
      <c r="U26" s="774">
        <f>H26</f>
        <v>100</v>
      </c>
      <c r="V26" s="773" t="s">
        <v>17</v>
      </c>
      <c r="W26" s="774">
        <f>J26</f>
        <v>100</v>
      </c>
      <c r="X26" s="1811"/>
      <c r="Y26" s="3234"/>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4"/>
      <c r="Q27" s="1793">
        <f t="shared" si="11"/>
        <v>111</v>
      </c>
      <c r="R27" s="769" t="s">
        <v>17</v>
      </c>
      <c r="S27" s="770">
        <f>F27</f>
        <v>100</v>
      </c>
      <c r="T27" s="769" t="s">
        <v>17</v>
      </c>
      <c r="U27" s="770">
        <f>H27</f>
        <v>100</v>
      </c>
      <c r="V27" s="769" t="s">
        <v>17</v>
      </c>
      <c r="W27" s="770">
        <f>J27</f>
        <v>100</v>
      </c>
      <c r="X27" s="771"/>
      <c r="Y27" s="3234"/>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4"/>
      <c r="Q28" s="1808">
        <f t="shared" si="11"/>
        <v>111</v>
      </c>
      <c r="R28" s="773" t="s">
        <v>17</v>
      </c>
      <c r="S28" s="774">
        <f t="shared" ref="S28:S40" si="12">F28</f>
        <v>100</v>
      </c>
      <c r="T28" s="773" t="s">
        <v>17</v>
      </c>
      <c r="U28" s="774">
        <f t="shared" ref="U28:U40" si="13">H28</f>
        <v>100</v>
      </c>
      <c r="V28" s="773" t="s">
        <v>17</v>
      </c>
      <c r="W28" s="774">
        <f t="shared" ref="W28:W40" si="14">J28</f>
        <v>100</v>
      </c>
      <c r="X28" s="1811"/>
      <c r="Y28" s="3234"/>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35" t="s">
        <v>2551</v>
      </c>
      <c r="Q29" s="1808" t="str">
        <f t="shared" si="11"/>
        <v>建筑类型</v>
      </c>
      <c r="R29" s="773" t="s">
        <v>17</v>
      </c>
      <c r="S29" s="774">
        <f t="shared" si="12"/>
        <v>100</v>
      </c>
      <c r="T29" s="773" t="s">
        <v>17</v>
      </c>
      <c r="U29" s="774">
        <f t="shared" si="13"/>
        <v>100</v>
      </c>
      <c r="V29" s="773" t="s">
        <v>17</v>
      </c>
      <c r="W29" s="774">
        <f t="shared" si="14"/>
        <v>100</v>
      </c>
      <c r="X29" s="1811"/>
      <c r="Y29" s="3236"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5" t="str">
        <f t="shared" si="11"/>
        <v>项目建筑规模</v>
      </c>
      <c r="R30" s="776" t="s">
        <v>17</v>
      </c>
      <c r="S30" s="777" t="e">
        <f t="shared" si="12"/>
        <v>#N/A</v>
      </c>
      <c r="T30" s="776" t="s">
        <v>17</v>
      </c>
      <c r="U30" s="777" t="e">
        <f t="shared" si="13"/>
        <v>#N/A</v>
      </c>
      <c r="V30" s="776" t="s">
        <v>17</v>
      </c>
      <c r="W30" s="777" t="e">
        <f t="shared" si="14"/>
        <v>#N/A</v>
      </c>
      <c r="X30" s="778"/>
      <c r="Y30" s="3236"/>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08" t="str">
        <f t="shared" si="11"/>
        <v>建筑结构</v>
      </c>
      <c r="R31" s="773" t="s">
        <v>17</v>
      </c>
      <c r="S31" s="774">
        <f t="shared" si="12"/>
        <v>100</v>
      </c>
      <c r="T31" s="773" t="s">
        <v>17</v>
      </c>
      <c r="U31" s="774">
        <f t="shared" si="13"/>
        <v>100</v>
      </c>
      <c r="V31" s="773" t="s">
        <v>17</v>
      </c>
      <c r="W31" s="774">
        <f t="shared" si="14"/>
        <v>100</v>
      </c>
      <c r="X31" s="1811"/>
      <c r="Y31" s="3236"/>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08" t="str">
        <f t="shared" si="11"/>
        <v>公共部分装修</v>
      </c>
      <c r="R32" s="773" t="s">
        <v>17</v>
      </c>
      <c r="S32" s="774">
        <f t="shared" si="12"/>
        <v>100</v>
      </c>
      <c r="T32" s="773" t="s">
        <v>17</v>
      </c>
      <c r="U32" s="774">
        <f t="shared" si="13"/>
        <v>100</v>
      </c>
      <c r="V32" s="773" t="s">
        <v>17</v>
      </c>
      <c r="W32" s="774">
        <f t="shared" si="14"/>
        <v>100</v>
      </c>
      <c r="X32" s="1811"/>
      <c r="Y32" s="3236"/>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08" t="str">
        <f t="shared" si="11"/>
        <v>成新度</v>
      </c>
      <c r="R33" s="773" t="s">
        <v>17</v>
      </c>
      <c r="S33" s="774" t="e">
        <f t="shared" si="12"/>
        <v>#N/A</v>
      </c>
      <c r="T33" s="773" t="s">
        <v>17</v>
      </c>
      <c r="U33" s="774" t="e">
        <f t="shared" si="13"/>
        <v>#N/A</v>
      </c>
      <c r="V33" s="773" t="s">
        <v>17</v>
      </c>
      <c r="W33" s="774" t="e">
        <f t="shared" si="14"/>
        <v>#N/A</v>
      </c>
      <c r="X33" s="1811"/>
      <c r="Y33" s="3236"/>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93" t="str">
        <f t="shared" si="11"/>
        <v>物业管理</v>
      </c>
      <c r="R34" s="769" t="s">
        <v>17</v>
      </c>
      <c r="S34" s="770">
        <f t="shared" si="12"/>
        <v>100</v>
      </c>
      <c r="T34" s="769" t="s">
        <v>17</v>
      </c>
      <c r="U34" s="770">
        <f t="shared" si="13"/>
        <v>100</v>
      </c>
      <c r="V34" s="769" t="s">
        <v>17</v>
      </c>
      <c r="W34" s="770">
        <f t="shared" si="14"/>
        <v>100</v>
      </c>
      <c r="X34" s="771"/>
      <c r="Y34" s="3236"/>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2551</v>
      </c>
      <c r="Q35" s="1808" t="str">
        <f t="shared" si="11"/>
        <v>市政基础设施</v>
      </c>
      <c r="R35" s="773" t="s">
        <v>17</v>
      </c>
      <c r="S35" s="774">
        <f t="shared" si="12"/>
        <v>100</v>
      </c>
      <c r="T35" s="773" t="s">
        <v>17</v>
      </c>
      <c r="U35" s="774">
        <f t="shared" si="13"/>
        <v>100</v>
      </c>
      <c r="V35" s="773" t="s">
        <v>17</v>
      </c>
      <c r="W35" s="774">
        <f t="shared" si="14"/>
        <v>100</v>
      </c>
      <c r="X35" s="1811"/>
      <c r="Y35" s="3236"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08" t="str">
        <f t="shared" si="11"/>
        <v>内部装修</v>
      </c>
      <c r="R36" s="773" t="s">
        <v>17</v>
      </c>
      <c r="S36" s="774">
        <f t="shared" si="12"/>
        <v>100</v>
      </c>
      <c r="T36" s="773" t="s">
        <v>17</v>
      </c>
      <c r="U36" s="774">
        <f t="shared" si="13"/>
        <v>100</v>
      </c>
      <c r="V36" s="773" t="s">
        <v>17</v>
      </c>
      <c r="W36" s="774">
        <f t="shared" si="14"/>
        <v>100</v>
      </c>
      <c r="X36" s="1811"/>
      <c r="Y36" s="3236"/>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08" t="str">
        <f t="shared" si="11"/>
        <v>内部装修状况</v>
      </c>
      <c r="R37" s="773" t="s">
        <v>17</v>
      </c>
      <c r="S37" s="774">
        <f t="shared" si="12"/>
        <v>100</v>
      </c>
      <c r="T37" s="773" t="s">
        <v>17</v>
      </c>
      <c r="U37" s="774">
        <f t="shared" si="13"/>
        <v>100</v>
      </c>
      <c r="V37" s="773" t="s">
        <v>17</v>
      </c>
      <c r="W37" s="774">
        <f t="shared" si="14"/>
        <v>100</v>
      </c>
      <c r="X37" s="1811"/>
      <c r="Y37" s="3236"/>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5">
        <f t="shared" si="11"/>
        <v>111</v>
      </c>
      <c r="R38" s="776" t="s">
        <v>17</v>
      </c>
      <c r="S38" s="777">
        <f t="shared" si="12"/>
        <v>100</v>
      </c>
      <c r="T38" s="776" t="s">
        <v>17</v>
      </c>
      <c r="U38" s="777">
        <f t="shared" si="13"/>
        <v>100</v>
      </c>
      <c r="V38" s="776" t="s">
        <v>17</v>
      </c>
      <c r="W38" s="777">
        <f t="shared" si="14"/>
        <v>100</v>
      </c>
      <c r="X38" s="778"/>
      <c r="Y38" s="3236"/>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08">
        <f t="shared" si="11"/>
        <v>111</v>
      </c>
      <c r="R39" s="773" t="s">
        <v>17</v>
      </c>
      <c r="S39" s="774">
        <f t="shared" si="12"/>
        <v>100</v>
      </c>
      <c r="T39" s="773" t="s">
        <v>17</v>
      </c>
      <c r="U39" s="774">
        <f t="shared" si="13"/>
        <v>100</v>
      </c>
      <c r="V39" s="773" t="s">
        <v>17</v>
      </c>
      <c r="W39" s="774">
        <f t="shared" si="14"/>
        <v>100</v>
      </c>
      <c r="X39" s="1811"/>
      <c r="Y39" s="3236"/>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1"/>
      <c r="Q40" s="1808">
        <f t="shared" si="11"/>
        <v>111</v>
      </c>
      <c r="R40" s="773" t="s">
        <v>17</v>
      </c>
      <c r="S40" s="774">
        <f t="shared" si="12"/>
        <v>100</v>
      </c>
      <c r="T40" s="773" t="s">
        <v>17</v>
      </c>
      <c r="U40" s="774">
        <f t="shared" si="13"/>
        <v>100</v>
      </c>
      <c r="V40" s="773" t="s">
        <v>17</v>
      </c>
      <c r="W40" s="774">
        <f t="shared" si="14"/>
        <v>100</v>
      </c>
      <c r="X40" s="1811"/>
      <c r="Y40" s="3271"/>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218" t="str">
        <f>A41</f>
        <v>成交单价（元/平方米）</v>
      </c>
      <c r="Q41" s="3218"/>
      <c r="R41" s="3272">
        <f>E41</f>
        <v>0</v>
      </c>
      <c r="S41" s="3272"/>
      <c r="T41" s="3272">
        <f>G41</f>
        <v>0</v>
      </c>
      <c r="U41" s="3272"/>
      <c r="V41" s="3272">
        <f>I41</f>
        <v>0</v>
      </c>
      <c r="W41" s="3272"/>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218" t="str">
        <f>A42</f>
        <v>比较价值（元/平方米）</v>
      </c>
      <c r="Q42" s="3218"/>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238" t="str">
        <f>A43</f>
        <v>估价对象XX用房的比较价值（楼面单价，元/平方米）</v>
      </c>
      <c r="Q43" s="3239"/>
      <c r="R43" s="3273" t="e">
        <f>IF(F1="售价",ROUND(AVERAGE(R42:V42),0),ROUND(AVERAGE(R42:V42),1))</f>
        <v>#DIV/0!</v>
      </c>
      <c r="S43" s="3273"/>
      <c r="T43" s="3273"/>
      <c r="U43" s="3273"/>
      <c r="V43" s="3273"/>
      <c r="W43" s="3273"/>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L20" sqref="L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1"/>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1"/>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1"/>
      <c r="Y6" s="3229"/>
      <c r="Z6" s="3230"/>
      <c r="AA6" s="3203"/>
      <c r="AB6" s="3203"/>
      <c r="AC6" s="3203"/>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2535</v>
      </c>
      <c r="Q7" s="3232"/>
      <c r="R7" s="769" t="s">
        <v>17</v>
      </c>
      <c r="S7" s="770">
        <f t="shared" ref="S7:S14" si="0">F7</f>
        <v>0</v>
      </c>
      <c r="T7" s="769" t="s">
        <v>17</v>
      </c>
      <c r="U7" s="770">
        <f t="shared" ref="U7:U14" si="1">H7</f>
        <v>0</v>
      </c>
      <c r="V7" s="769" t="s">
        <v>17</v>
      </c>
      <c r="W7" s="770">
        <f t="shared" ref="W7:W14" si="2">J7</f>
        <v>0</v>
      </c>
      <c r="X7" s="771"/>
      <c r="Y7" s="3204" t="s">
        <v>2535</v>
      </c>
      <c r="Z7" s="3205"/>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2538</v>
      </c>
      <c r="Q8" s="3205"/>
      <c r="R8" s="769" t="s">
        <v>17</v>
      </c>
      <c r="S8" s="770">
        <f t="shared" si="0"/>
        <v>0</v>
      </c>
      <c r="T8" s="769" t="s">
        <v>17</v>
      </c>
      <c r="U8" s="770">
        <f t="shared" si="1"/>
        <v>0</v>
      </c>
      <c r="V8" s="769" t="s">
        <v>17</v>
      </c>
      <c r="W8" s="770">
        <f t="shared" si="2"/>
        <v>0</v>
      </c>
      <c r="X8" s="771"/>
      <c r="Y8" s="3204" t="s">
        <v>2538</v>
      </c>
      <c r="Z8" s="3205"/>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8" t="s">
        <v>2541</v>
      </c>
      <c r="Q9" s="1793" t="str">
        <f t="shared" ref="Q9:Q14" si="6">B9</f>
        <v>用途</v>
      </c>
      <c r="R9" s="769" t="s">
        <v>17</v>
      </c>
      <c r="S9" s="770">
        <f t="shared" si="0"/>
        <v>100</v>
      </c>
      <c r="T9" s="769" t="s">
        <v>17</v>
      </c>
      <c r="U9" s="770">
        <f t="shared" si="1"/>
        <v>100</v>
      </c>
      <c r="V9" s="769" t="s">
        <v>17</v>
      </c>
      <c r="W9" s="770">
        <f t="shared" si="2"/>
        <v>100</v>
      </c>
      <c r="X9" s="771"/>
      <c r="Y9" s="3078"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8"/>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8"/>
      <c r="Q11" s="1793">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8"/>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8"/>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3" t="s">
        <v>2546</v>
      </c>
      <c r="Q14" s="1808" t="str">
        <f t="shared" si="6"/>
        <v>交通便捷度</v>
      </c>
      <c r="R14" s="773" t="s">
        <v>17</v>
      </c>
      <c r="S14" s="774">
        <f t="shared" si="0"/>
        <v>100</v>
      </c>
      <c r="T14" s="773" t="s">
        <v>17</v>
      </c>
      <c r="U14" s="774">
        <f t="shared" si="1"/>
        <v>100</v>
      </c>
      <c r="V14" s="773" t="s">
        <v>17</v>
      </c>
      <c r="W14" s="774">
        <f t="shared" si="2"/>
        <v>100</v>
      </c>
      <c r="X14" s="1811"/>
      <c r="Y14" s="3233"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34"/>
      <c r="Q15" s="1808"/>
      <c r="R15" s="773"/>
      <c r="S15" s="774"/>
      <c r="T15" s="773"/>
      <c r="U15" s="774"/>
      <c r="V15" s="773"/>
      <c r="W15" s="774"/>
      <c r="X15" s="1811"/>
      <c r="Y15" s="3234"/>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4"/>
      <c r="Q16" s="1808" t="str">
        <f>B16</f>
        <v>公共配套设施</v>
      </c>
      <c r="R16" s="773" t="s">
        <v>17</v>
      </c>
      <c r="S16" s="774">
        <f>F16</f>
        <v>100</v>
      </c>
      <c r="T16" s="773" t="s">
        <v>17</v>
      </c>
      <c r="U16" s="774">
        <f>H16</f>
        <v>100</v>
      </c>
      <c r="V16" s="773" t="s">
        <v>17</v>
      </c>
      <c r="W16" s="774">
        <f>J16</f>
        <v>100</v>
      </c>
      <c r="X16" s="1811"/>
      <c r="Y16" s="3234"/>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34"/>
      <c r="Q17" s="1808"/>
      <c r="R17" s="773"/>
      <c r="S17" s="774"/>
      <c r="T17" s="773"/>
      <c r="U17" s="774"/>
      <c r="V17" s="773"/>
      <c r="W17" s="774"/>
      <c r="X17" s="1811"/>
      <c r="Y17" s="3234"/>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4"/>
      <c r="Q18" s="1808" t="str">
        <f>B18</f>
        <v>基础设施水平</v>
      </c>
      <c r="R18" s="773" t="s">
        <v>17</v>
      </c>
      <c r="S18" s="774">
        <f>F18</f>
        <v>100</v>
      </c>
      <c r="T18" s="773" t="s">
        <v>17</v>
      </c>
      <c r="U18" s="774">
        <f>H18</f>
        <v>100</v>
      </c>
      <c r="V18" s="773" t="s">
        <v>17</v>
      </c>
      <c r="W18" s="774">
        <f>J18</f>
        <v>100</v>
      </c>
      <c r="X18" s="1811"/>
      <c r="Y18" s="3234"/>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34"/>
      <c r="Q19" s="1808"/>
      <c r="R19" s="773"/>
      <c r="S19" s="774"/>
      <c r="T19" s="773"/>
      <c r="U19" s="774"/>
      <c r="V19" s="773"/>
      <c r="W19" s="774"/>
      <c r="X19" s="1811"/>
      <c r="Y19" s="3234"/>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4"/>
      <c r="Q20" s="1808" t="str">
        <f>B20</f>
        <v>自然及人文环境</v>
      </c>
      <c r="R20" s="773" t="s">
        <v>17</v>
      </c>
      <c r="S20" s="774">
        <f>F20</f>
        <v>100</v>
      </c>
      <c r="T20" s="773" t="s">
        <v>17</v>
      </c>
      <c r="U20" s="774">
        <f>H20</f>
        <v>100</v>
      </c>
      <c r="V20" s="773" t="s">
        <v>17</v>
      </c>
      <c r="W20" s="774">
        <f>J20</f>
        <v>100</v>
      </c>
      <c r="X20" s="1811"/>
      <c r="Y20" s="323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34"/>
      <c r="Q21" s="1808"/>
      <c r="R21" s="773"/>
      <c r="S21" s="774"/>
      <c r="T21" s="773"/>
      <c r="U21" s="774"/>
      <c r="V21" s="773"/>
      <c r="W21" s="774"/>
      <c r="X21" s="1811"/>
      <c r="Y21" s="3234"/>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4"/>
      <c r="Q22" s="1808" t="str">
        <f>B22</f>
        <v>楼层</v>
      </c>
      <c r="R22" s="773" t="s">
        <v>17</v>
      </c>
      <c r="S22" s="774">
        <f>F22</f>
        <v>100</v>
      </c>
      <c r="T22" s="773" t="s">
        <v>17</v>
      </c>
      <c r="U22" s="774">
        <f>H22</f>
        <v>100</v>
      </c>
      <c r="V22" s="773" t="s">
        <v>17</v>
      </c>
      <c r="W22" s="774">
        <f>J22</f>
        <v>100</v>
      </c>
      <c r="X22" s="1811"/>
      <c r="Y22" s="323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4"/>
      <c r="Q23" s="1808">
        <f>B23</f>
        <v>111</v>
      </c>
      <c r="R23" s="773" t="s">
        <v>17</v>
      </c>
      <c r="S23" s="774">
        <f>F23</f>
        <v>100</v>
      </c>
      <c r="T23" s="773" t="s">
        <v>17</v>
      </c>
      <c r="U23" s="774">
        <f>H23</f>
        <v>100</v>
      </c>
      <c r="V23" s="773" t="s">
        <v>17</v>
      </c>
      <c r="W23" s="774">
        <f>J23</f>
        <v>100</v>
      </c>
      <c r="X23" s="1811"/>
      <c r="Y23" s="323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4"/>
      <c r="Q24" s="1808">
        <f t="shared" ref="Q24:Q36" si="11">B24</f>
        <v>111</v>
      </c>
      <c r="R24" s="773" t="s">
        <v>17</v>
      </c>
      <c r="S24" s="774">
        <f>F24</f>
        <v>100</v>
      </c>
      <c r="T24" s="773" t="s">
        <v>17</v>
      </c>
      <c r="U24" s="774">
        <f>H24</f>
        <v>100</v>
      </c>
      <c r="V24" s="773" t="s">
        <v>17</v>
      </c>
      <c r="W24" s="774">
        <f>J24</f>
        <v>100</v>
      </c>
      <c r="X24" s="1811"/>
      <c r="Y24" s="323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4"/>
      <c r="Q25" s="1793">
        <f t="shared" si="11"/>
        <v>111</v>
      </c>
      <c r="R25" s="769" t="s">
        <v>17</v>
      </c>
      <c r="S25" s="770">
        <f>F25</f>
        <v>100</v>
      </c>
      <c r="T25" s="769" t="s">
        <v>17</v>
      </c>
      <c r="U25" s="770">
        <f>H25</f>
        <v>100</v>
      </c>
      <c r="V25" s="769" t="s">
        <v>17</v>
      </c>
      <c r="W25" s="770">
        <f>J25</f>
        <v>100</v>
      </c>
      <c r="X25" s="771"/>
      <c r="Y25" s="3234"/>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6"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08" t="str">
        <f t="shared" si="11"/>
        <v>公共部分装修</v>
      </c>
      <c r="R28" s="773" t="s">
        <v>17</v>
      </c>
      <c r="S28" s="774">
        <f t="shared" si="12"/>
        <v>100</v>
      </c>
      <c r="T28" s="773" t="s">
        <v>17</v>
      </c>
      <c r="U28" s="774">
        <f t="shared" si="13"/>
        <v>100</v>
      </c>
      <c r="V28" s="773" t="s">
        <v>17</v>
      </c>
      <c r="W28" s="774">
        <f t="shared" si="14"/>
        <v>100</v>
      </c>
      <c r="X28" s="1811"/>
      <c r="Y28" s="3236"/>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08" t="str">
        <f t="shared" si="11"/>
        <v>成新率</v>
      </c>
      <c r="R29" s="773" t="s">
        <v>17</v>
      </c>
      <c r="S29" s="774" t="e">
        <f t="shared" si="12"/>
        <v>#N/A</v>
      </c>
      <c r="T29" s="773" t="s">
        <v>17</v>
      </c>
      <c r="U29" s="774" t="e">
        <f t="shared" si="13"/>
        <v>#N/A</v>
      </c>
      <c r="V29" s="773" t="s">
        <v>17</v>
      </c>
      <c r="W29" s="774" t="e">
        <f t="shared" si="14"/>
        <v>#N/A</v>
      </c>
      <c r="X29" s="1811"/>
      <c r="Y29" s="3236"/>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08" t="str">
        <f t="shared" si="11"/>
        <v>物业等级</v>
      </c>
      <c r="R30" s="773" t="s">
        <v>17</v>
      </c>
      <c r="S30" s="774">
        <f t="shared" si="12"/>
        <v>100</v>
      </c>
      <c r="T30" s="773" t="s">
        <v>17</v>
      </c>
      <c r="U30" s="774">
        <f t="shared" si="13"/>
        <v>100</v>
      </c>
      <c r="V30" s="773" t="s">
        <v>17</v>
      </c>
      <c r="W30" s="774">
        <f t="shared" si="14"/>
        <v>100</v>
      </c>
      <c r="X30" s="1811"/>
      <c r="Y30" s="3236"/>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93" t="str">
        <f t="shared" si="11"/>
        <v>停车位面积</v>
      </c>
      <c r="R31" s="769" t="s">
        <v>17</v>
      </c>
      <c r="S31" s="770" t="e">
        <f t="shared" si="12"/>
        <v>#N/A</v>
      </c>
      <c r="T31" s="769" t="s">
        <v>17</v>
      </c>
      <c r="U31" s="770" t="e">
        <f t="shared" si="13"/>
        <v>#N/A</v>
      </c>
      <c r="V31" s="769" t="s">
        <v>17</v>
      </c>
      <c r="W31" s="770" t="e">
        <f t="shared" si="14"/>
        <v>#N/A</v>
      </c>
      <c r="X31" s="771"/>
      <c r="Y31" s="3236"/>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2551</v>
      </c>
      <c r="Q32" s="1808" t="str">
        <f t="shared" si="11"/>
        <v>车位类型</v>
      </c>
      <c r="R32" s="773" t="s">
        <v>17</v>
      </c>
      <c r="S32" s="774">
        <f t="shared" si="12"/>
        <v>100</v>
      </c>
      <c r="T32" s="773" t="s">
        <v>17</v>
      </c>
      <c r="U32" s="774">
        <f t="shared" si="13"/>
        <v>100</v>
      </c>
      <c r="V32" s="773" t="s">
        <v>17</v>
      </c>
      <c r="W32" s="774">
        <f t="shared" si="14"/>
        <v>100</v>
      </c>
      <c r="X32" s="1811"/>
      <c r="Y32" s="3236"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08" t="str">
        <f t="shared" si="11"/>
        <v>是否直接入户</v>
      </c>
      <c r="R33" s="773" t="s">
        <v>17</v>
      </c>
      <c r="S33" s="774">
        <f t="shared" si="12"/>
        <v>100</v>
      </c>
      <c r="T33" s="773" t="s">
        <v>17</v>
      </c>
      <c r="U33" s="774">
        <f t="shared" si="13"/>
        <v>100</v>
      </c>
      <c r="V33" s="773" t="s">
        <v>17</v>
      </c>
      <c r="W33" s="774">
        <f t="shared" si="14"/>
        <v>100</v>
      </c>
      <c r="X33" s="1811"/>
      <c r="Y33" s="323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08">
        <f t="shared" si="11"/>
        <v>111</v>
      </c>
      <c r="R34" s="773" t="s">
        <v>17</v>
      </c>
      <c r="S34" s="774">
        <f t="shared" si="12"/>
        <v>100</v>
      </c>
      <c r="T34" s="773" t="s">
        <v>17</v>
      </c>
      <c r="U34" s="774">
        <f t="shared" si="13"/>
        <v>100</v>
      </c>
      <c r="V34" s="773" t="s">
        <v>17</v>
      </c>
      <c r="W34" s="774">
        <f t="shared" si="14"/>
        <v>100</v>
      </c>
      <c r="X34" s="1811"/>
      <c r="Y34" s="323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08">
        <f t="shared" si="11"/>
        <v>111</v>
      </c>
      <c r="R36" s="773" t="s">
        <v>17</v>
      </c>
      <c r="S36" s="774">
        <f t="shared" si="12"/>
        <v>100</v>
      </c>
      <c r="T36" s="773" t="s">
        <v>17</v>
      </c>
      <c r="U36" s="774">
        <f t="shared" si="13"/>
        <v>100</v>
      </c>
      <c r="V36" s="773" t="s">
        <v>17</v>
      </c>
      <c r="W36" s="774">
        <f t="shared" si="14"/>
        <v>100</v>
      </c>
      <c r="X36" s="1811"/>
      <c r="Y36" s="3236"/>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18" t="str">
        <f>A37</f>
        <v>成交单价</v>
      </c>
      <c r="Q37" s="3218"/>
      <c r="R37" s="3272">
        <f>E37</f>
        <v>0</v>
      </c>
      <c r="S37" s="3272"/>
      <c r="T37" s="3272">
        <f>G37</f>
        <v>0</v>
      </c>
      <c r="U37" s="3272"/>
      <c r="V37" s="3272">
        <f>I37</f>
        <v>0</v>
      </c>
      <c r="W37" s="3272"/>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8" t="str">
        <f>A38</f>
        <v>比较价值（元/平方米）</v>
      </c>
      <c r="Q38" s="3218"/>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238" t="str">
        <f>A39</f>
        <v>估价对象XX用房的比较价值（楼面单价，元/平方米）</v>
      </c>
      <c r="Q39" s="3239"/>
      <c r="R39" s="3273" t="e">
        <f>IF(F1="售价",ROUND(AVERAGE(R38:V38),0),ROUND(AVERAGE(R38:V38),1))</f>
        <v>#DIV/0!</v>
      </c>
      <c r="S39" s="3273"/>
      <c r="T39" s="3273"/>
      <c r="U39" s="3273"/>
      <c r="V39" s="3273"/>
      <c r="W39" s="3273"/>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1"/>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1"/>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1"/>
      <c r="Y6" s="3229"/>
      <c r="Z6" s="3230"/>
      <c r="AA6" s="3203"/>
      <c r="AB6" s="3203"/>
      <c r="AC6" s="3203"/>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04" t="s">
        <v>2535</v>
      </c>
      <c r="Q7" s="3232"/>
      <c r="R7" s="769" t="s">
        <v>17</v>
      </c>
      <c r="S7" s="770">
        <f t="shared" ref="S7:S14" si="0">F7</f>
        <v>0</v>
      </c>
      <c r="T7" s="769" t="s">
        <v>17</v>
      </c>
      <c r="U7" s="770">
        <f t="shared" ref="U7:U14" si="1">H7</f>
        <v>0</v>
      </c>
      <c r="V7" s="769" t="s">
        <v>17</v>
      </c>
      <c r="W7" s="770">
        <f t="shared" ref="W7:W14" si="2">J7</f>
        <v>0</v>
      </c>
      <c r="X7" s="771"/>
      <c r="Y7" s="3204" t="s">
        <v>2535</v>
      </c>
      <c r="Z7" s="3205"/>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2538</v>
      </c>
      <c r="Q8" s="3205"/>
      <c r="R8" s="769" t="s">
        <v>17</v>
      </c>
      <c r="S8" s="770">
        <f t="shared" si="0"/>
        <v>0</v>
      </c>
      <c r="T8" s="769" t="s">
        <v>17</v>
      </c>
      <c r="U8" s="770">
        <f t="shared" si="1"/>
        <v>0</v>
      </c>
      <c r="V8" s="769" t="s">
        <v>17</v>
      </c>
      <c r="W8" s="770">
        <f t="shared" si="2"/>
        <v>0</v>
      </c>
      <c r="X8" s="771"/>
      <c r="Y8" s="3204" t="s">
        <v>2538</v>
      </c>
      <c r="Z8" s="3205"/>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8" t="s">
        <v>2541</v>
      </c>
      <c r="Q9" s="1793" t="str">
        <f t="shared" ref="Q9:Q14" si="6">B9</f>
        <v>用途</v>
      </c>
      <c r="R9" s="769" t="s">
        <v>17</v>
      </c>
      <c r="S9" s="770">
        <f t="shared" si="0"/>
        <v>100</v>
      </c>
      <c r="T9" s="769" t="s">
        <v>17</v>
      </c>
      <c r="U9" s="770">
        <f t="shared" si="1"/>
        <v>100</v>
      </c>
      <c r="V9" s="769" t="s">
        <v>17</v>
      </c>
      <c r="W9" s="770">
        <f t="shared" si="2"/>
        <v>100</v>
      </c>
      <c r="X9" s="771"/>
      <c r="Y9" s="3078"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8"/>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8"/>
      <c r="Q11" s="1793">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8"/>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18"/>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3" t="s">
        <v>2546</v>
      </c>
      <c r="Q14" s="1808" t="str">
        <f t="shared" si="6"/>
        <v>交通便捷度</v>
      </c>
      <c r="R14" s="773" t="s">
        <v>17</v>
      </c>
      <c r="S14" s="774">
        <f t="shared" si="0"/>
        <v>100</v>
      </c>
      <c r="T14" s="773" t="s">
        <v>17</v>
      </c>
      <c r="U14" s="774">
        <f t="shared" si="1"/>
        <v>100</v>
      </c>
      <c r="V14" s="773" t="s">
        <v>17</v>
      </c>
      <c r="W14" s="774">
        <f t="shared" si="2"/>
        <v>100</v>
      </c>
      <c r="X14" s="1811"/>
      <c r="Y14" s="3233"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34"/>
      <c r="Q15" s="1808"/>
      <c r="R15" s="773"/>
      <c r="S15" s="774"/>
      <c r="T15" s="773"/>
      <c r="U15" s="774"/>
      <c r="V15" s="773"/>
      <c r="W15" s="774"/>
      <c r="X15" s="1811"/>
      <c r="Y15" s="3234"/>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4"/>
      <c r="Q16" s="1808" t="str">
        <f>B16</f>
        <v>公共配套设施</v>
      </c>
      <c r="R16" s="773" t="s">
        <v>17</v>
      </c>
      <c r="S16" s="774">
        <f>F16</f>
        <v>100</v>
      </c>
      <c r="T16" s="773" t="s">
        <v>17</v>
      </c>
      <c r="U16" s="774">
        <f>H16</f>
        <v>100</v>
      </c>
      <c r="V16" s="773" t="s">
        <v>17</v>
      </c>
      <c r="W16" s="774">
        <f>J16</f>
        <v>100</v>
      </c>
      <c r="X16" s="1811"/>
      <c r="Y16" s="3234"/>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34"/>
      <c r="Q17" s="1808"/>
      <c r="R17" s="773"/>
      <c r="S17" s="774"/>
      <c r="T17" s="773"/>
      <c r="U17" s="774"/>
      <c r="V17" s="773"/>
      <c r="W17" s="774"/>
      <c r="X17" s="1811"/>
      <c r="Y17" s="3234"/>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4"/>
      <c r="Q18" s="1808" t="str">
        <f>B18</f>
        <v>基础设施水平</v>
      </c>
      <c r="R18" s="773" t="s">
        <v>17</v>
      </c>
      <c r="S18" s="774">
        <f>F18</f>
        <v>100</v>
      </c>
      <c r="T18" s="773" t="s">
        <v>17</v>
      </c>
      <c r="U18" s="774">
        <f>H18</f>
        <v>100</v>
      </c>
      <c r="V18" s="773" t="s">
        <v>17</v>
      </c>
      <c r="W18" s="774">
        <f>J18</f>
        <v>100</v>
      </c>
      <c r="X18" s="1811"/>
      <c r="Y18" s="3234"/>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34"/>
      <c r="Q19" s="1808"/>
      <c r="R19" s="773"/>
      <c r="S19" s="774"/>
      <c r="T19" s="773"/>
      <c r="U19" s="774"/>
      <c r="V19" s="773"/>
      <c r="W19" s="774"/>
      <c r="X19" s="1811"/>
      <c r="Y19" s="3234"/>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4"/>
      <c r="Q20" s="1808" t="str">
        <f>B20</f>
        <v>自然及人文环境</v>
      </c>
      <c r="R20" s="773" t="s">
        <v>17</v>
      </c>
      <c r="S20" s="774">
        <f>F20</f>
        <v>100</v>
      </c>
      <c r="T20" s="773" t="s">
        <v>17</v>
      </c>
      <c r="U20" s="774">
        <f>H20</f>
        <v>100</v>
      </c>
      <c r="V20" s="773" t="s">
        <v>17</v>
      </c>
      <c r="W20" s="774">
        <f>J20</f>
        <v>100</v>
      </c>
      <c r="X20" s="1811"/>
      <c r="Y20" s="323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34"/>
      <c r="Q21" s="1808"/>
      <c r="R21" s="773"/>
      <c r="S21" s="774"/>
      <c r="T21" s="773"/>
      <c r="U21" s="774"/>
      <c r="V21" s="773"/>
      <c r="W21" s="774"/>
      <c r="X21" s="1811"/>
      <c r="Y21" s="3234"/>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4"/>
      <c r="Q22" s="1808" t="str">
        <f>B22</f>
        <v>楼层</v>
      </c>
      <c r="R22" s="773" t="s">
        <v>17</v>
      </c>
      <c r="S22" s="774">
        <f>F22</f>
        <v>100</v>
      </c>
      <c r="T22" s="773" t="s">
        <v>17</v>
      </c>
      <c r="U22" s="774">
        <f>H22</f>
        <v>100</v>
      </c>
      <c r="V22" s="773" t="s">
        <v>17</v>
      </c>
      <c r="W22" s="774">
        <f>J22</f>
        <v>100</v>
      </c>
      <c r="X22" s="1811"/>
      <c r="Y22" s="3234"/>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4"/>
      <c r="Q23" s="1808">
        <f>B23</f>
        <v>111</v>
      </c>
      <c r="R23" s="773" t="s">
        <v>17</v>
      </c>
      <c r="S23" s="774">
        <f>F23</f>
        <v>100</v>
      </c>
      <c r="T23" s="773" t="s">
        <v>17</v>
      </c>
      <c r="U23" s="774">
        <f>H23</f>
        <v>100</v>
      </c>
      <c r="V23" s="773" t="s">
        <v>17</v>
      </c>
      <c r="W23" s="774">
        <f>J23</f>
        <v>100</v>
      </c>
      <c r="X23" s="1811"/>
      <c r="Y23" s="3234"/>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4"/>
      <c r="Q24" s="1808">
        <f t="shared" ref="Q24:Q34" si="11">B24</f>
        <v>111</v>
      </c>
      <c r="R24" s="773" t="s">
        <v>17</v>
      </c>
      <c r="S24" s="774">
        <f>F24</f>
        <v>100</v>
      </c>
      <c r="T24" s="773" t="s">
        <v>17</v>
      </c>
      <c r="U24" s="774">
        <f>H24</f>
        <v>100</v>
      </c>
      <c r="V24" s="773" t="s">
        <v>17</v>
      </c>
      <c r="W24" s="774">
        <f>J24</f>
        <v>100</v>
      </c>
      <c r="X24" s="1811"/>
      <c r="Y24" s="3234"/>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34"/>
      <c r="Q25" s="1793">
        <f t="shared" si="11"/>
        <v>111</v>
      </c>
      <c r="R25" s="769" t="s">
        <v>17</v>
      </c>
      <c r="S25" s="770">
        <f>F25</f>
        <v>100</v>
      </c>
      <c r="T25" s="769" t="s">
        <v>17</v>
      </c>
      <c r="U25" s="770">
        <f>H25</f>
        <v>100</v>
      </c>
      <c r="V25" s="769" t="s">
        <v>17</v>
      </c>
      <c r="W25" s="770">
        <f>J25</f>
        <v>100</v>
      </c>
      <c r="X25" s="771"/>
      <c r="Y25" s="3234"/>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35"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6"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5" t="str">
        <f t="shared" si="11"/>
        <v>成新率</v>
      </c>
      <c r="R27" s="776" t="s">
        <v>17</v>
      </c>
      <c r="S27" s="777" t="e">
        <f t="shared" si="12"/>
        <v>#N/A</v>
      </c>
      <c r="T27" s="776" t="s">
        <v>17</v>
      </c>
      <c r="U27" s="777" t="e">
        <f t="shared" si="13"/>
        <v>#N/A</v>
      </c>
      <c r="V27" s="776" t="s">
        <v>17</v>
      </c>
      <c r="W27" s="777" t="e">
        <f t="shared" si="14"/>
        <v>#N/A</v>
      </c>
      <c r="X27" s="778"/>
      <c r="Y27" s="3236"/>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08" t="str">
        <f t="shared" si="11"/>
        <v>物业等级</v>
      </c>
      <c r="R28" s="773" t="s">
        <v>17</v>
      </c>
      <c r="S28" s="774">
        <f t="shared" si="12"/>
        <v>100</v>
      </c>
      <c r="T28" s="773" t="s">
        <v>17</v>
      </c>
      <c r="U28" s="774">
        <f t="shared" si="13"/>
        <v>100</v>
      </c>
      <c r="V28" s="773" t="s">
        <v>17</v>
      </c>
      <c r="W28" s="774">
        <f t="shared" si="14"/>
        <v>100</v>
      </c>
      <c r="X28" s="1811"/>
      <c r="Y28" s="3236"/>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08" t="str">
        <f t="shared" si="11"/>
        <v>有无电梯</v>
      </c>
      <c r="R29" s="773" t="s">
        <v>17</v>
      </c>
      <c r="S29" s="774">
        <f t="shared" si="12"/>
        <v>100</v>
      </c>
      <c r="T29" s="773" t="s">
        <v>17</v>
      </c>
      <c r="U29" s="774">
        <f t="shared" si="13"/>
        <v>100</v>
      </c>
      <c r="V29" s="773" t="s">
        <v>17</v>
      </c>
      <c r="W29" s="774">
        <f t="shared" si="14"/>
        <v>100</v>
      </c>
      <c r="X29" s="1811"/>
      <c r="Y29" s="3236"/>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08" t="str">
        <f t="shared" si="11"/>
        <v>建筑面积</v>
      </c>
      <c r="R30" s="773" t="s">
        <v>17</v>
      </c>
      <c r="S30" s="774" t="e">
        <f t="shared" si="12"/>
        <v>#N/A</v>
      </c>
      <c r="T30" s="773" t="s">
        <v>17</v>
      </c>
      <c r="U30" s="774" t="e">
        <f t="shared" si="13"/>
        <v>#N/A</v>
      </c>
      <c r="V30" s="773" t="s">
        <v>17</v>
      </c>
      <c r="W30" s="774" t="e">
        <f t="shared" si="14"/>
        <v>#N/A</v>
      </c>
      <c r="X30" s="1811"/>
      <c r="Y30" s="3236"/>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93" t="str">
        <f t="shared" si="11"/>
        <v>是否封闭</v>
      </c>
      <c r="R31" s="769" t="s">
        <v>17</v>
      </c>
      <c r="S31" s="770">
        <f t="shared" si="12"/>
        <v>100</v>
      </c>
      <c r="T31" s="769" t="s">
        <v>17</v>
      </c>
      <c r="U31" s="770">
        <f t="shared" si="13"/>
        <v>100</v>
      </c>
      <c r="V31" s="769" t="s">
        <v>17</v>
      </c>
      <c r="W31" s="770">
        <f t="shared" si="14"/>
        <v>100</v>
      </c>
      <c r="X31" s="771"/>
      <c r="Y31" s="3236"/>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2551</v>
      </c>
      <c r="Q32" s="1808">
        <f t="shared" si="11"/>
        <v>111</v>
      </c>
      <c r="R32" s="773" t="s">
        <v>17</v>
      </c>
      <c r="S32" s="774">
        <f t="shared" si="12"/>
        <v>100</v>
      </c>
      <c r="T32" s="773" t="s">
        <v>17</v>
      </c>
      <c r="U32" s="774">
        <f t="shared" si="13"/>
        <v>100</v>
      </c>
      <c r="V32" s="773" t="s">
        <v>17</v>
      </c>
      <c r="W32" s="774">
        <f t="shared" si="14"/>
        <v>100</v>
      </c>
      <c r="X32" s="1811"/>
      <c r="Y32" s="3236"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08">
        <f t="shared" si="11"/>
        <v>111</v>
      </c>
      <c r="R33" s="773" t="s">
        <v>17</v>
      </c>
      <c r="S33" s="774">
        <f t="shared" si="12"/>
        <v>100</v>
      </c>
      <c r="T33" s="773" t="s">
        <v>17</v>
      </c>
      <c r="U33" s="774">
        <f t="shared" si="13"/>
        <v>100</v>
      </c>
      <c r="V33" s="773" t="s">
        <v>17</v>
      </c>
      <c r="W33" s="774">
        <f t="shared" si="14"/>
        <v>100</v>
      </c>
      <c r="X33" s="1811"/>
      <c r="Y33" s="3236"/>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36"/>
      <c r="Q34" s="1808">
        <f t="shared" si="11"/>
        <v>111</v>
      </c>
      <c r="R34" s="773" t="s">
        <v>17</v>
      </c>
      <c r="S34" s="774">
        <f t="shared" si="12"/>
        <v>100</v>
      </c>
      <c r="T34" s="773" t="s">
        <v>17</v>
      </c>
      <c r="U34" s="774">
        <f t="shared" si="13"/>
        <v>100</v>
      </c>
      <c r="V34" s="773" t="s">
        <v>17</v>
      </c>
      <c r="W34" s="774">
        <f t="shared" si="14"/>
        <v>100</v>
      </c>
      <c r="X34" s="1811"/>
      <c r="Y34" s="3236"/>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218" t="str">
        <f>A35</f>
        <v>成交单价（元/平方米）</v>
      </c>
      <c r="Q35" s="3218"/>
      <c r="R35" s="3272">
        <f>E35</f>
        <v>0</v>
      </c>
      <c r="S35" s="3272"/>
      <c r="T35" s="3272">
        <f>G35</f>
        <v>0</v>
      </c>
      <c r="U35" s="3272"/>
      <c r="V35" s="3272">
        <f>I35</f>
        <v>0</v>
      </c>
      <c r="W35" s="3272"/>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218" t="str">
        <f>A36</f>
        <v>比较价值（元/平方米）</v>
      </c>
      <c r="Q36" s="3218"/>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238" t="str">
        <f>A37</f>
        <v>估价对象XX用房的比较价值（楼面单价，元/平方米）</v>
      </c>
      <c r="Q37" s="3239"/>
      <c r="R37" s="3273" t="e">
        <f>IF(F1="售价",ROUND(AVERAGE(R36:V36),0),ROUND(AVERAGE(R36:V36),1))</f>
        <v>#DIV/0!</v>
      </c>
      <c r="S37" s="3273"/>
      <c r="T37" s="3273"/>
      <c r="U37" s="3273"/>
      <c r="V37" s="3273"/>
      <c r="W37" s="3273"/>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1"/>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1"/>
      <c r="Y5" s="3208"/>
      <c r="Z5" s="3209"/>
      <c r="AA5" s="3202"/>
      <c r="AB5" s="3202"/>
      <c r="AC5" s="3202"/>
    </row>
    <row r="6" spans="1:29" ht="15.75" thickBot="1">
      <c r="A6" s="406"/>
      <c r="B6" s="407"/>
      <c r="C6" s="3316" t="s">
        <v>2783</v>
      </c>
      <c r="D6" s="3317"/>
      <c r="E6" s="3318" t="s">
        <v>2783</v>
      </c>
      <c r="F6" s="3319"/>
      <c r="G6" s="3316" t="s">
        <v>2783</v>
      </c>
      <c r="H6" s="3317"/>
      <c r="I6" s="3316" t="s">
        <v>2783</v>
      </c>
      <c r="J6" s="3317"/>
      <c r="K6" s="610" t="s">
        <v>2533</v>
      </c>
      <c r="L6" s="1130"/>
      <c r="M6" s="1131"/>
      <c r="N6" s="1131"/>
      <c r="O6" s="1131"/>
      <c r="P6" s="3227"/>
      <c r="Q6" s="3228"/>
      <c r="R6" s="3208"/>
      <c r="S6" s="3209"/>
      <c r="T6" s="3229"/>
      <c r="U6" s="3230"/>
      <c r="V6" s="3231"/>
      <c r="W6" s="3231"/>
      <c r="X6" s="1811"/>
      <c r="Y6" s="3229"/>
      <c r="Z6" s="3230"/>
      <c r="AA6" s="3203"/>
      <c r="AB6" s="3203"/>
      <c r="AC6" s="3203"/>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04" t="s">
        <v>2535</v>
      </c>
      <c r="Q7" s="3232"/>
      <c r="R7" s="769" t="s">
        <v>17</v>
      </c>
      <c r="S7" s="770">
        <f t="shared" ref="S7:S15" si="0">F7</f>
        <v>0</v>
      </c>
      <c r="T7" s="769" t="s">
        <v>17</v>
      </c>
      <c r="U7" s="770">
        <f t="shared" ref="U7:U15" si="1">H7</f>
        <v>0</v>
      </c>
      <c r="V7" s="769" t="s">
        <v>17</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2538</v>
      </c>
      <c r="Q8" s="3205"/>
      <c r="R8" s="769" t="s">
        <v>17</v>
      </c>
      <c r="S8" s="770">
        <f t="shared" si="0"/>
        <v>0</v>
      </c>
      <c r="T8" s="769" t="s">
        <v>17</v>
      </c>
      <c r="U8" s="770">
        <f t="shared" si="1"/>
        <v>0</v>
      </c>
      <c r="V8" s="769" t="s">
        <v>17</v>
      </c>
      <c r="W8" s="770">
        <f t="shared" si="2"/>
        <v>0</v>
      </c>
      <c r="X8" s="771"/>
      <c r="Y8" s="3204" t="s">
        <v>2538</v>
      </c>
      <c r="Z8" s="3205"/>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18" t="s">
        <v>2541</v>
      </c>
      <c r="Q9" s="1793" t="str">
        <f t="shared" ref="Q9:Q15" si="6">B9</f>
        <v>用途</v>
      </c>
      <c r="R9" s="769" t="s">
        <v>17</v>
      </c>
      <c r="S9" s="770">
        <f t="shared" si="0"/>
        <v>100</v>
      </c>
      <c r="T9" s="769" t="s">
        <v>17</v>
      </c>
      <c r="U9" s="770">
        <f t="shared" si="1"/>
        <v>100</v>
      </c>
      <c r="V9" s="769" t="s">
        <v>17</v>
      </c>
      <c r="W9" s="770">
        <f t="shared" si="2"/>
        <v>100</v>
      </c>
      <c r="X9" s="771"/>
      <c r="Y9" s="3078"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8"/>
      <c r="Q10" s="1793" t="str">
        <f t="shared" si="6"/>
        <v>土地使用年限（年）</v>
      </c>
      <c r="R10" s="769" t="s">
        <v>17</v>
      </c>
      <c r="S10" s="770">
        <f t="shared" si="0"/>
        <v>112</v>
      </c>
      <c r="T10" s="769" t="s">
        <v>17</v>
      </c>
      <c r="U10" s="770">
        <f t="shared" si="1"/>
        <v>112</v>
      </c>
      <c r="V10" s="769" t="s">
        <v>17</v>
      </c>
      <c r="W10" s="770">
        <f t="shared" si="2"/>
        <v>112</v>
      </c>
      <c r="X10" s="771"/>
      <c r="Y10" s="3078"/>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8"/>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8"/>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8"/>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8"/>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3" t="s">
        <v>2546</v>
      </c>
      <c r="Q15" s="1808" t="str">
        <f t="shared" si="6"/>
        <v>产业集聚程度</v>
      </c>
      <c r="R15" s="773" t="s">
        <v>17</v>
      </c>
      <c r="S15" s="774">
        <f t="shared" si="0"/>
        <v>100</v>
      </c>
      <c r="T15" s="773" t="s">
        <v>17</v>
      </c>
      <c r="U15" s="774">
        <f t="shared" si="1"/>
        <v>100</v>
      </c>
      <c r="V15" s="773" t="s">
        <v>17</v>
      </c>
      <c r="W15" s="774">
        <f t="shared" si="2"/>
        <v>100</v>
      </c>
      <c r="X15" s="1811"/>
      <c r="Y15" s="3233"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34"/>
      <c r="Q16" s="1808"/>
      <c r="R16" s="773"/>
      <c r="S16" s="774"/>
      <c r="T16" s="773"/>
      <c r="U16" s="774"/>
      <c r="V16" s="773"/>
      <c r="W16" s="774"/>
      <c r="X16" s="1811"/>
      <c r="Y16" s="3234"/>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4"/>
      <c r="Q17" s="1808" t="str">
        <f>B17</f>
        <v>交通便捷度</v>
      </c>
      <c r="R17" s="773" t="s">
        <v>17</v>
      </c>
      <c r="S17" s="774">
        <f>F17</f>
        <v>100</v>
      </c>
      <c r="T17" s="773" t="s">
        <v>17</v>
      </c>
      <c r="U17" s="774">
        <f>H17</f>
        <v>100</v>
      </c>
      <c r="V17" s="773" t="s">
        <v>17</v>
      </c>
      <c r="W17" s="774">
        <f>J17</f>
        <v>100</v>
      </c>
      <c r="X17" s="1811"/>
      <c r="Y17" s="3234"/>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34"/>
      <c r="Q18" s="1808"/>
      <c r="R18" s="773"/>
      <c r="S18" s="774"/>
      <c r="T18" s="773"/>
      <c r="U18" s="774"/>
      <c r="V18" s="773"/>
      <c r="W18" s="774"/>
      <c r="X18" s="1811"/>
      <c r="Y18" s="3234"/>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4"/>
      <c r="Q19" s="1808" t="str">
        <f t="shared" ref="Q19:Q33" si="8">B19</f>
        <v>区域土地利用方向</v>
      </c>
      <c r="R19" s="773" t="s">
        <v>17</v>
      </c>
      <c r="S19" s="774">
        <f>F19</f>
        <v>100</v>
      </c>
      <c r="T19" s="773" t="s">
        <v>17</v>
      </c>
      <c r="U19" s="774">
        <f>H19</f>
        <v>100</v>
      </c>
      <c r="V19" s="773" t="s">
        <v>17</v>
      </c>
      <c r="W19" s="774">
        <f>J19</f>
        <v>100</v>
      </c>
      <c r="X19" s="1811"/>
      <c r="Y19" s="3234"/>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34"/>
      <c r="Q20" s="1808"/>
      <c r="R20" s="773"/>
      <c r="S20" s="774"/>
      <c r="T20" s="773"/>
      <c r="U20" s="774"/>
      <c r="V20" s="773"/>
      <c r="W20" s="774"/>
      <c r="X20" s="1811"/>
      <c r="Y20" s="3234"/>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4"/>
      <c r="Q21" s="1808" t="str">
        <f t="shared" si="8"/>
        <v>环境状况</v>
      </c>
      <c r="R21" s="773" t="s">
        <v>17</v>
      </c>
      <c r="S21" s="774">
        <f>F21</f>
        <v>100</v>
      </c>
      <c r="T21" s="773" t="s">
        <v>17</v>
      </c>
      <c r="U21" s="774">
        <f>H21</f>
        <v>100</v>
      </c>
      <c r="V21" s="773" t="s">
        <v>17</v>
      </c>
      <c r="W21" s="774">
        <f>J21</f>
        <v>100</v>
      </c>
      <c r="X21" s="1811"/>
      <c r="Y21" s="3234"/>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34"/>
      <c r="Q22" s="1808"/>
      <c r="R22" s="773"/>
      <c r="S22" s="774"/>
      <c r="T22" s="773"/>
      <c r="U22" s="774"/>
      <c r="V22" s="773"/>
      <c r="W22" s="774"/>
      <c r="X22" s="1811"/>
      <c r="Y22" s="3234"/>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4"/>
      <c r="Q23" s="1793" t="str">
        <f t="shared" si="8"/>
        <v>公共配套设施</v>
      </c>
      <c r="R23" s="769" t="s">
        <v>17</v>
      </c>
      <c r="S23" s="770">
        <f>F23</f>
        <v>100</v>
      </c>
      <c r="T23" s="769" t="s">
        <v>17</v>
      </c>
      <c r="U23" s="770">
        <f>H23</f>
        <v>100</v>
      </c>
      <c r="V23" s="769" t="s">
        <v>17</v>
      </c>
      <c r="W23" s="770">
        <f>J23</f>
        <v>100</v>
      </c>
      <c r="X23" s="771"/>
      <c r="Y23" s="3234"/>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34"/>
      <c r="Q24" s="1793"/>
      <c r="R24" s="769"/>
      <c r="S24" s="770"/>
      <c r="T24" s="769"/>
      <c r="U24" s="770"/>
      <c r="V24" s="769"/>
      <c r="W24" s="770"/>
      <c r="X24" s="771"/>
      <c r="Y24" s="3234"/>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4"/>
      <c r="Q25" s="1793" t="str">
        <f t="shared" ref="Q25" si="9">B25</f>
        <v>基础设施水平</v>
      </c>
      <c r="R25" s="769" t="s">
        <v>17</v>
      </c>
      <c r="S25" s="770">
        <f>F25</f>
        <v>100</v>
      </c>
      <c r="T25" s="769" t="s">
        <v>17</v>
      </c>
      <c r="U25" s="770">
        <f>H25</f>
        <v>100</v>
      </c>
      <c r="V25" s="769" t="s">
        <v>17</v>
      </c>
      <c r="W25" s="770">
        <f>J25</f>
        <v>100</v>
      </c>
      <c r="X25" s="771"/>
      <c r="Y25" s="3234"/>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34"/>
      <c r="Q26" s="1793"/>
      <c r="R26" s="769"/>
      <c r="S26" s="770"/>
      <c r="T26" s="769"/>
      <c r="U26" s="770"/>
      <c r="V26" s="769"/>
      <c r="W26" s="770"/>
      <c r="X26" s="771"/>
      <c r="Y26" s="3234"/>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4"/>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4"/>
      <c r="Q28" s="1808" t="str">
        <f t="shared" si="8"/>
        <v>毗邻道路的类型与等级</v>
      </c>
      <c r="R28" s="773" t="s">
        <v>17</v>
      </c>
      <c r="S28" s="774">
        <f t="shared" si="10"/>
        <v>100</v>
      </c>
      <c r="T28" s="773" t="s">
        <v>17</v>
      </c>
      <c r="U28" s="774">
        <f t="shared" si="11"/>
        <v>100</v>
      </c>
      <c r="V28" s="773" t="s">
        <v>17</v>
      </c>
      <c r="W28" s="774">
        <f t="shared" si="12"/>
        <v>100</v>
      </c>
      <c r="X28" s="1811"/>
      <c r="Y28" s="3234"/>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34"/>
      <c r="Q29" s="1808"/>
      <c r="R29" s="773"/>
      <c r="S29" s="774"/>
      <c r="T29" s="773"/>
      <c r="U29" s="774"/>
      <c r="V29" s="773"/>
      <c r="W29" s="774"/>
      <c r="X29" s="1811"/>
      <c r="Y29" s="3234"/>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4"/>
      <c r="Q30" s="1808" t="str">
        <f t="shared" si="8"/>
        <v>土地级别</v>
      </c>
      <c r="R30" s="773" t="s">
        <v>17</v>
      </c>
      <c r="S30" s="774">
        <f t="shared" si="10"/>
        <v>100</v>
      </c>
      <c r="T30" s="773" t="s">
        <v>17</v>
      </c>
      <c r="U30" s="774">
        <f t="shared" si="11"/>
        <v>100</v>
      </c>
      <c r="V30" s="773" t="s">
        <v>17</v>
      </c>
      <c r="W30" s="774">
        <f t="shared" si="12"/>
        <v>100</v>
      </c>
      <c r="X30" s="1811"/>
      <c r="Y30" s="3234"/>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4"/>
      <c r="Q31" s="1808">
        <f t="shared" si="8"/>
        <v>111</v>
      </c>
      <c r="R31" s="773" t="s">
        <v>17</v>
      </c>
      <c r="S31" s="774">
        <f t="shared" si="10"/>
        <v>100</v>
      </c>
      <c r="T31" s="773" t="s">
        <v>17</v>
      </c>
      <c r="U31" s="774">
        <f t="shared" si="11"/>
        <v>100</v>
      </c>
      <c r="V31" s="773" t="s">
        <v>17</v>
      </c>
      <c r="W31" s="774">
        <f t="shared" si="12"/>
        <v>100</v>
      </c>
      <c r="X31" s="1811"/>
      <c r="Y31" s="3234"/>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2551</v>
      </c>
      <c r="Q32" s="1808">
        <f t="shared" si="8"/>
        <v>111</v>
      </c>
      <c r="R32" s="773" t="s">
        <v>17</v>
      </c>
      <c r="S32" s="774">
        <f t="shared" si="10"/>
        <v>100</v>
      </c>
      <c r="T32" s="773" t="s">
        <v>17</v>
      </c>
      <c r="U32" s="774">
        <f t="shared" si="11"/>
        <v>100</v>
      </c>
      <c r="V32" s="773" t="s">
        <v>17</v>
      </c>
      <c r="W32" s="774">
        <f t="shared" si="12"/>
        <v>100</v>
      </c>
      <c r="X32" s="1811"/>
      <c r="Y32" s="3236"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08">
        <f t="shared" si="8"/>
        <v>111</v>
      </c>
      <c r="R33" s="776" t="s">
        <v>17</v>
      </c>
      <c r="S33" s="777">
        <f t="shared" si="10"/>
        <v>100</v>
      </c>
      <c r="T33" s="776" t="s">
        <v>17</v>
      </c>
      <c r="U33" s="777">
        <f t="shared" si="11"/>
        <v>100</v>
      </c>
      <c r="V33" s="776" t="s">
        <v>17</v>
      </c>
      <c r="W33" s="777">
        <f t="shared" si="12"/>
        <v>100</v>
      </c>
      <c r="X33" s="778"/>
      <c r="Y33" s="3236"/>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08" t="str">
        <f>B34</f>
        <v>宗地面积</v>
      </c>
      <c r="R34" s="773" t="s">
        <v>17</v>
      </c>
      <c r="S34" s="774" t="e">
        <f t="shared" si="10"/>
        <v>#N/A</v>
      </c>
      <c r="T34" s="773" t="s">
        <v>17</v>
      </c>
      <c r="U34" s="774" t="e">
        <f t="shared" si="11"/>
        <v>#N/A</v>
      </c>
      <c r="V34" s="773" t="s">
        <v>17</v>
      </c>
      <c r="W34" s="774" t="e">
        <f t="shared" si="12"/>
        <v>#N/A</v>
      </c>
      <c r="X34" s="1811"/>
      <c r="Y34" s="3236"/>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36"/>
      <c r="Q35" s="1808" t="str">
        <f t="shared" ref="Q35:Q40" si="14">B35</f>
        <v>宗地形状</v>
      </c>
      <c r="R35" s="773" t="s">
        <v>17</v>
      </c>
      <c r="S35" s="774">
        <f t="shared" si="10"/>
        <v>100</v>
      </c>
      <c r="T35" s="773" t="s">
        <v>17</v>
      </c>
      <c r="U35" s="774">
        <f t="shared" si="11"/>
        <v>100</v>
      </c>
      <c r="V35" s="773" t="s">
        <v>17</v>
      </c>
      <c r="W35" s="774">
        <f t="shared" si="12"/>
        <v>100</v>
      </c>
      <c r="X35" s="1811"/>
      <c r="Y35" s="3236"/>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36"/>
      <c r="Q36" s="1808" t="str">
        <f t="shared" si="14"/>
        <v>宗地开发程度</v>
      </c>
      <c r="R36" s="769" t="s">
        <v>17</v>
      </c>
      <c r="S36" s="770">
        <f t="shared" si="10"/>
        <v>100</v>
      </c>
      <c r="T36" s="769" t="s">
        <v>17</v>
      </c>
      <c r="U36" s="770">
        <f t="shared" si="11"/>
        <v>100</v>
      </c>
      <c r="V36" s="769" t="s">
        <v>17</v>
      </c>
      <c r="W36" s="770">
        <f t="shared" si="12"/>
        <v>100</v>
      </c>
      <c r="X36" s="771"/>
      <c r="Y36" s="3236"/>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36" t="s">
        <v>2551</v>
      </c>
      <c r="Q37" s="1808" t="str">
        <f t="shared" si="14"/>
        <v>工程地质条件</v>
      </c>
      <c r="R37" s="773" t="s">
        <v>17</v>
      </c>
      <c r="S37" s="774">
        <f t="shared" si="10"/>
        <v>100</v>
      </c>
      <c r="T37" s="773" t="s">
        <v>17</v>
      </c>
      <c r="U37" s="774">
        <f t="shared" si="11"/>
        <v>100</v>
      </c>
      <c r="V37" s="773" t="s">
        <v>17</v>
      </c>
      <c r="W37" s="774">
        <f t="shared" si="12"/>
        <v>100</v>
      </c>
      <c r="X37" s="1811"/>
      <c r="Y37" s="3236"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08">
        <f t="shared" si="14"/>
        <v>111</v>
      </c>
      <c r="R38" s="773" t="s">
        <v>17</v>
      </c>
      <c r="S38" s="774">
        <f t="shared" si="10"/>
        <v>100</v>
      </c>
      <c r="T38" s="773" t="s">
        <v>17</v>
      </c>
      <c r="U38" s="774">
        <f t="shared" si="11"/>
        <v>100</v>
      </c>
      <c r="V38" s="773" t="s">
        <v>17</v>
      </c>
      <c r="W38" s="774">
        <f t="shared" si="12"/>
        <v>100</v>
      </c>
      <c r="X38" s="1811"/>
      <c r="Y38" s="3236"/>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08">
        <f t="shared" si="14"/>
        <v>111</v>
      </c>
      <c r="R39" s="773" t="s">
        <v>17</v>
      </c>
      <c r="S39" s="774">
        <f t="shared" si="10"/>
        <v>100</v>
      </c>
      <c r="T39" s="773" t="s">
        <v>17</v>
      </c>
      <c r="U39" s="774">
        <f t="shared" si="11"/>
        <v>100</v>
      </c>
      <c r="V39" s="773" t="s">
        <v>17</v>
      </c>
      <c r="W39" s="774">
        <f t="shared" si="12"/>
        <v>100</v>
      </c>
      <c r="X39" s="1811"/>
      <c r="Y39" s="3236"/>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08">
        <f t="shared" si="14"/>
        <v>111</v>
      </c>
      <c r="R40" s="776" t="s">
        <v>17</v>
      </c>
      <c r="S40" s="777">
        <f t="shared" si="10"/>
        <v>100</v>
      </c>
      <c r="T40" s="776" t="s">
        <v>17</v>
      </c>
      <c r="U40" s="777">
        <f t="shared" si="11"/>
        <v>100</v>
      </c>
      <c r="V40" s="776" t="s">
        <v>17</v>
      </c>
      <c r="W40" s="777">
        <f t="shared" si="12"/>
        <v>100</v>
      </c>
      <c r="X40" s="778"/>
      <c r="Y40" s="3236"/>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218" t="str">
        <f>A41</f>
        <v>成交单价</v>
      </c>
      <c r="Q41" s="3218"/>
      <c r="R41" s="3231">
        <f>E41</f>
        <v>0</v>
      </c>
      <c r="S41" s="3231"/>
      <c r="T41" s="3231">
        <f>G41</f>
        <v>0</v>
      </c>
      <c r="U41" s="3231"/>
      <c r="V41" s="3231">
        <f>I41</f>
        <v>0</v>
      </c>
      <c r="W41" s="3231"/>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218" t="str">
        <f>A42</f>
        <v>比较价值（元/平方米）</v>
      </c>
      <c r="Q42" s="3218"/>
      <c r="R42" s="3237" t="e">
        <f>ROUND(PRODUCT(R41,AA7:AA40),0)</f>
        <v>#DIV/0!</v>
      </c>
      <c r="S42" s="3237"/>
      <c r="T42" s="3237" t="e">
        <f>ROUND(PRODUCT(T41,AB7:AB40),0)</f>
        <v>#DIV/0!</v>
      </c>
      <c r="U42" s="3237"/>
      <c r="V42" s="3237" t="e">
        <f>ROUND(PRODUCT(V41,AC7:AC40),0)</f>
        <v>#DIV/0!</v>
      </c>
      <c r="W42" s="3237"/>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238" t="str">
        <f>A43</f>
        <v>估价对象XX用房的比较价值（楼面单价，元/平方米）</v>
      </c>
      <c r="Q43" s="3239"/>
      <c r="R43" s="3240" t="e">
        <f>ROUND(AVERAGE(R42:V42),0)</f>
        <v>#DIV/0!</v>
      </c>
      <c r="S43" s="3240"/>
      <c r="T43" s="3240"/>
      <c r="U43" s="3240"/>
      <c r="V43" s="3240"/>
      <c r="W43" s="3240"/>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219" t="s">
        <v>2750</v>
      </c>
      <c r="H50" s="3241"/>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242"/>
      <c r="H51" s="3218"/>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43"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43"/>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43"/>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43"/>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8190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14638.63</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6" t="s">
        <v>1150</v>
      </c>
      <c r="C1" s="3326"/>
      <c r="D1" s="3326"/>
      <c r="E1" s="3326"/>
      <c r="F1" s="3326"/>
      <c r="G1" s="3322" t="s">
        <v>1151</v>
      </c>
      <c r="H1" s="3322"/>
      <c r="I1" s="3322"/>
      <c r="J1" s="3322"/>
      <c r="K1" s="3322"/>
      <c r="L1" s="3322"/>
      <c r="N1" s="3322" t="s">
        <v>1152</v>
      </c>
      <c r="O1" s="3322"/>
      <c r="P1" s="3322"/>
      <c r="Q1" s="3322"/>
      <c r="R1" s="1446"/>
      <c r="S1" s="3322" t="s">
        <v>1153</v>
      </c>
      <c r="T1" s="3322"/>
      <c r="U1" s="3322"/>
      <c r="V1" s="3322"/>
      <c r="X1" s="3321" t="s">
        <v>1154</v>
      </c>
      <c r="Y1" s="3322"/>
      <c r="Z1" s="3322"/>
      <c r="AA1" s="3322"/>
      <c r="AB1" s="3322"/>
      <c r="AD1" s="3321" t="s">
        <v>1155</v>
      </c>
      <c r="AE1" s="3322"/>
      <c r="AF1" s="3322"/>
      <c r="AG1" s="3322"/>
      <c r="AH1" s="332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27">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24"/>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24"/>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25"/>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23">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24"/>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24"/>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25"/>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23">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24"/>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24"/>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25"/>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28">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29"/>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29"/>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30"/>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23">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24"/>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24"/>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25"/>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23">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24">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24">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25">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23">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24">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24">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25">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23">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24">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24">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25">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23">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24">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24">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25">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23">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24">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24">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25">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23">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24">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24">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25">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23">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24">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24">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25">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23">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24">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24">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25">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23">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24">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24">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25">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23">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24">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24">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25">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3244</v>
      </c>
      <c r="E1" s="1819" t="s">
        <v>1387</v>
      </c>
      <c r="F1" s="1283">
        <f ca="1">J53</f>
        <v>30.07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102781</v>
      </c>
      <c r="C2" s="1843" t="s">
        <v>1517</v>
      </c>
      <c r="D2" s="1843"/>
      <c r="E2" s="1844"/>
      <c r="F2" s="1845"/>
      <c r="G2" s="1846"/>
      <c r="H2" s="1838"/>
      <c r="I2" s="1838"/>
      <c r="J2" s="1838"/>
      <c r="K2" s="1839"/>
      <c r="L2" s="1838"/>
      <c r="M2" s="1838"/>
    </row>
    <row r="3" spans="1:37" ht="18" customHeight="1" thickBot="1">
      <c r="A3" s="1847" t="s">
        <v>1518</v>
      </c>
      <c r="B3" s="1848">
        <f ca="1">IF(ISERROR(B2*10000/F43),0,ROUND(B2*10000/F43,0))</f>
        <v>29644</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5703</v>
      </c>
      <c r="D5" s="1820" t="s">
        <v>1402</v>
      </c>
      <c r="E5" s="1293"/>
      <c r="F5" s="1294"/>
      <c r="G5" s="1849"/>
      <c r="H5" s="344">
        <v>1</v>
      </c>
      <c r="I5" s="345" t="s">
        <v>1401</v>
      </c>
      <c r="J5" s="1292">
        <f ca="1">J6+J10+J12</f>
        <v>0</v>
      </c>
      <c r="K5" s="1820" t="s">
        <v>1402</v>
      </c>
      <c r="L5" s="1293"/>
      <c r="M5" s="1294"/>
    </row>
    <row r="6" spans="1:37" ht="18" customHeight="1">
      <c r="A6" s="1291" t="s">
        <v>1035</v>
      </c>
      <c r="B6" s="3274" t="s">
        <v>1403</v>
      </c>
      <c r="C6" s="1296">
        <f ca="1">ROUND(F6*F8*F7*(1-F9)/10000,0)</f>
        <v>5695</v>
      </c>
      <c r="D6" s="164" t="s">
        <v>3013</v>
      </c>
      <c r="E6" s="347" t="s">
        <v>1405</v>
      </c>
      <c r="F6" s="348">
        <f ca="1">INDIRECT("'数据-取费表'!u"&amp;$G$1)</f>
        <v>5</v>
      </c>
      <c r="G6" s="1849"/>
      <c r="H6" s="1291" t="s">
        <v>1035</v>
      </c>
      <c r="I6" s="3274" t="s">
        <v>1403</v>
      </c>
      <c r="J6" s="346">
        <f ca="1">ROUND(M6*M8*M7*(1-M9)/10000,0)</f>
        <v>0</v>
      </c>
      <c r="K6" s="164" t="s">
        <v>3012</v>
      </c>
      <c r="L6" s="347" t="s">
        <v>1405</v>
      </c>
      <c r="M6" s="348">
        <f ca="1">INDIRECT("'数据-取费表'!z"&amp;$G$1)</f>
        <v>0</v>
      </c>
    </row>
    <row r="7" spans="1:37" ht="18" customHeight="1">
      <c r="A7" s="1295"/>
      <c r="B7" s="3275"/>
      <c r="C7" s="1297"/>
      <c r="D7" s="352"/>
      <c r="E7" s="1298" t="s">
        <v>1406</v>
      </c>
      <c r="F7" s="348">
        <f ca="1">IF(INDIRECT("'数据-取费表'!ah"&amp;$G$1)="",INDIRECT("'数据-取费表'!k"&amp;$G$1),INDIRECT("'数据-取费表'!ah"&amp;$G$1))</f>
        <v>34671.619999999995</v>
      </c>
      <c r="G7" s="1849"/>
      <c r="H7" s="349"/>
      <c r="I7" s="3275"/>
      <c r="J7" s="351"/>
      <c r="K7" s="352"/>
      <c r="L7" s="347" t="s">
        <v>1406</v>
      </c>
      <c r="M7" s="348">
        <f ca="1">F7</f>
        <v>34671.619999999995</v>
      </c>
    </row>
    <row r="8" spans="1:37" ht="18" customHeight="1">
      <c r="A8" s="349"/>
      <c r="B8" s="3275"/>
      <c r="C8" s="351"/>
      <c r="D8" s="352"/>
      <c r="E8" s="347" t="s">
        <v>1407</v>
      </c>
      <c r="F8" s="348">
        <f ca="1">INDIRECT("'数据-取费表'!ai"&amp;$G$1)</f>
        <v>365</v>
      </c>
      <c r="G8" s="1849"/>
      <c r="H8" s="349"/>
      <c r="I8" s="3275"/>
      <c r="J8" s="351"/>
      <c r="K8" s="352"/>
      <c r="L8" s="347" t="s">
        <v>1407</v>
      </c>
      <c r="M8" s="348">
        <f ca="1">INDIRECT("'数据-取费表'!ai"&amp;$G$1)</f>
        <v>365</v>
      </c>
    </row>
    <row r="9" spans="1:37" ht="18" customHeight="1">
      <c r="A9" s="349"/>
      <c r="B9" s="3276"/>
      <c r="C9" s="351"/>
      <c r="D9" s="352"/>
      <c r="E9" s="347" t="s">
        <v>1408</v>
      </c>
      <c r="F9" s="357">
        <f ca="1">INDIRECT("'数据-取费表'!w"&amp;$G$1)</f>
        <v>0.1</v>
      </c>
      <c r="G9" s="1849"/>
      <c r="H9" s="349"/>
      <c r="I9" s="3276"/>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8</v>
      </c>
      <c r="D10" s="1822" t="s">
        <v>3014</v>
      </c>
      <c r="E10" s="358" t="s">
        <v>1411</v>
      </c>
      <c r="F10" s="1366" t="s">
        <v>3098</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13537</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8668</v>
      </c>
      <c r="D14" s="1798" t="s">
        <v>1419</v>
      </c>
      <c r="E14" s="1792"/>
      <c r="F14" s="364"/>
      <c r="G14" s="1849"/>
      <c r="H14" s="1201" t="s">
        <v>1035</v>
      </c>
      <c r="I14" s="347" t="s">
        <v>1420</v>
      </c>
      <c r="J14" s="24">
        <f ca="1">C29</f>
        <v>13537</v>
      </c>
      <c r="K14" s="15"/>
      <c r="L14" s="981"/>
      <c r="M14" s="982"/>
    </row>
    <row r="15" spans="1:37" s="1856" customFormat="1" ht="18" customHeight="1" thickBot="1">
      <c r="A15" s="1201" t="s">
        <v>1036</v>
      </c>
      <c r="B15" s="347" t="s">
        <v>1421</v>
      </c>
      <c r="C15" s="24">
        <f ca="1">ROUND(C14*F15,0)</f>
        <v>433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320</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117.3</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130</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10037</v>
      </c>
      <c r="D19" s="140" t="s">
        <v>1437</v>
      </c>
      <c r="E19" s="1816"/>
      <c r="F19" s="26"/>
      <c r="G19" s="1849"/>
      <c r="H19" s="1201" t="s">
        <v>1036</v>
      </c>
      <c r="I19" s="347" t="s">
        <v>1438</v>
      </c>
      <c r="J19" s="24">
        <f ca="1">IF(K19="按租金收入计税",ROUND(J5*M19,2),ROUND(C29*M19*0.7,2))</f>
        <v>113.71</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100</v>
      </c>
      <c r="D20" s="369" t="s">
        <v>1441</v>
      </c>
      <c r="E20" s="347" t="s">
        <v>1423</v>
      </c>
      <c r="F20" s="367">
        <f>'数据-取费表'!B37</f>
        <v>0.01</v>
      </c>
      <c r="G20" s="1852"/>
      <c r="H20" s="1201" t="s">
        <v>1389</v>
      </c>
      <c r="I20" s="164" t="s">
        <v>1442</v>
      </c>
      <c r="J20" s="25">
        <f ca="1">ROUND(M20*M21/10000,2)</f>
        <v>3.55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203.1</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482</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-320</v>
      </c>
      <c r="K25" s="1345" t="s">
        <v>1465</v>
      </c>
      <c r="L25" s="1346"/>
      <c r="M25" s="1347"/>
    </row>
    <row r="26" spans="1:37">
      <c r="A26" s="1201" t="s">
        <v>1034</v>
      </c>
      <c r="B26" s="347" t="s">
        <v>1466</v>
      </c>
      <c r="C26" s="24">
        <f ca="1">ROUND((C19+C20)*F26,0)</f>
        <v>2027</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13537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702</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421.4</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304.16000000000003</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113.71</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3.55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ROUND(C29*F36,1)</f>
        <v>203.1</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20.3</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57</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5001</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102781</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29644</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-107742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102781</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13537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60</v>
      </c>
      <c r="K51" s="1898" t="s">
        <v>1542</v>
      </c>
      <c r="L51" s="1899">
        <f ca="1">ROUND(-PV(INDIRECT("'数据-取费表'!h"&amp;$G$1),L48,(C39-C13*C76),0),0)</f>
        <v>62888</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30.07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30.07</v>
      </c>
      <c r="K53" s="3277" t="s">
        <v>1549</v>
      </c>
      <c r="L53" s="3278"/>
      <c r="O53" s="1882" t="s">
        <v>1046</v>
      </c>
      <c r="P53" s="1883" t="s">
        <v>1550</v>
      </c>
      <c r="Q53" s="1884">
        <f ca="1">Q47+Q48</f>
        <v>102781</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13537</v>
      </c>
      <c r="D56" s="1912"/>
      <c r="E56" s="1913"/>
      <c r="F56" s="1905"/>
      <c r="I56" s="1914" t="s">
        <v>1555</v>
      </c>
      <c r="J56" s="1915" t="s">
        <v>3032</v>
      </c>
      <c r="K56" s="1885" t="s">
        <v>1556</v>
      </c>
      <c r="L56" s="1888" t="str">
        <f ca="1">IF(L48&lt;J51,"——",L48-J53)</f>
        <v>——</v>
      </c>
      <c r="O56" s="1882" t="s">
        <v>1040</v>
      </c>
      <c r="P56" s="1883" t="s">
        <v>1529</v>
      </c>
      <c r="Q56" s="1884">
        <f ca="1">C40+J29</f>
        <v>102781</v>
      </c>
      <c r="R56" s="1884" t="s">
        <v>1530</v>
      </c>
    </row>
    <row r="57" spans="1:18" s="1840" customFormat="1" ht="24.75" thickBot="1">
      <c r="A57" s="1916"/>
      <c r="B57" s="1169" t="s">
        <v>1479</v>
      </c>
      <c r="C57" s="282">
        <f ca="1">C29</f>
        <v>13537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341</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117.3</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113.71</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3.55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102781</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203.1</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20.3</v>
      </c>
      <c r="D65" s="1183" t="s">
        <v>1455</v>
      </c>
      <c r="E65" s="1169" t="s">
        <v>1456</v>
      </c>
      <c r="F65" s="376">
        <f t="shared" ca="1" si="0"/>
        <v>1.5E-3</v>
      </c>
      <c r="I65" s="1927" t="s">
        <v>1580</v>
      </c>
      <c r="J65" s="1928">
        <v>40</v>
      </c>
      <c r="K65" s="1928">
        <v>30</v>
      </c>
      <c r="L65" s="1928">
        <v>50</v>
      </c>
      <c r="M65" s="1930">
        <v>0.02</v>
      </c>
      <c r="O65" s="1882" t="s">
        <v>1040</v>
      </c>
      <c r="P65" s="1883" t="s">
        <v>1581</v>
      </c>
      <c r="Q65" s="1884">
        <f ca="1">C40+J29</f>
        <v>102781</v>
      </c>
      <c r="R65" s="1884" t="s">
        <v>1530</v>
      </c>
    </row>
    <row r="66" spans="1:18" s="1840" customFormat="1" ht="16.5" thickBot="1">
      <c r="A66" s="1201" t="s">
        <v>1505</v>
      </c>
      <c r="B66" s="1169" t="s">
        <v>1440</v>
      </c>
      <c r="C66" s="24">
        <f ca="1">ROUND(C48*F66,1)</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-341</v>
      </c>
      <c r="D67" s="1182" t="s">
        <v>1465</v>
      </c>
      <c r="E67" s="1187"/>
      <c r="F67" s="1188"/>
      <c r="O67" s="1892" t="s">
        <v>1042</v>
      </c>
      <c r="P67" s="1883" t="s">
        <v>1563</v>
      </c>
      <c r="Q67" s="1931">
        <f ca="1">L51</f>
        <v>62888</v>
      </c>
      <c r="R67" s="1884" t="s">
        <v>1583</v>
      </c>
    </row>
    <row r="68" spans="1:18" s="1840" customFormat="1" ht="16.5" thickBot="1">
      <c r="A68" s="1166" t="s">
        <v>1032</v>
      </c>
      <c r="B68" s="1167" t="s">
        <v>1486</v>
      </c>
      <c r="C68" s="346">
        <f ca="1">ROUND(C67*(1-((1+F70)/(1+F68))^F69)/(F68-F70),0)</f>
        <v>-4961</v>
      </c>
      <c r="D68" s="1184" t="s">
        <v>1470</v>
      </c>
      <c r="E68" s="1169" t="s">
        <v>1471</v>
      </c>
      <c r="F68" s="357">
        <f ca="1">F40</f>
        <v>5.5E-2</v>
      </c>
      <c r="O68" s="1892" t="s">
        <v>1043</v>
      </c>
      <c r="P68" s="1932" t="s">
        <v>1584</v>
      </c>
      <c r="Q68" s="1884">
        <f ca="1">ROUND(Q69-Q70*Q71,0)</f>
        <v>3850</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5001</v>
      </c>
      <c r="R69" s="1884" t="s">
        <v>1530</v>
      </c>
    </row>
    <row r="70" spans="1:18" s="1840" customFormat="1" ht="13.5" thickBot="1">
      <c r="A70" s="1173"/>
      <c r="B70" s="1174"/>
      <c r="C70" s="355"/>
      <c r="D70" s="1185"/>
      <c r="E70" s="1169" t="s">
        <v>1478</v>
      </c>
      <c r="F70" s="1275"/>
      <c r="O70" s="1892" t="s">
        <v>1049</v>
      </c>
      <c r="P70" s="1932" t="s">
        <v>1586</v>
      </c>
      <c r="Q70" s="1884">
        <f ca="1">C13</f>
        <v>13537</v>
      </c>
      <c r="R70" s="1884" t="s">
        <v>1530</v>
      </c>
    </row>
    <row r="71" spans="1:18" s="1840" customFormat="1" ht="13.5" thickBot="1">
      <c r="A71" s="1190" t="s">
        <v>1033</v>
      </c>
      <c r="B71" s="1191" t="s">
        <v>1488</v>
      </c>
      <c r="C71" s="382">
        <f ca="1">ROUND(C68*10000/F71,0)</f>
        <v>-1431</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1151</v>
      </c>
      <c r="D75" s="1840"/>
      <c r="E75" s="1840"/>
      <c r="F75" s="1840"/>
      <c r="K75" s="1866"/>
      <c r="L75" s="1840"/>
      <c r="O75" s="1882" t="s">
        <v>1046</v>
      </c>
      <c r="P75" s="1883" t="s">
        <v>1550</v>
      </c>
      <c r="Q75" s="1884">
        <f ca="1">Q65+Q66</f>
        <v>102781</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0.77</v>
      </c>
    </row>
    <row r="80" spans="1:18">
      <c r="B80" s="386" t="s">
        <v>1512</v>
      </c>
      <c r="C80" s="318">
        <f ca="1">ROUND(C75/C39,3)</f>
        <v>0.23</v>
      </c>
    </row>
    <row r="81" spans="2:3">
      <c r="B81" s="314" t="s">
        <v>1513</v>
      </c>
      <c r="C81" s="282"/>
    </row>
    <row r="82" spans="2:3">
      <c r="B82" s="317" t="s">
        <v>1514</v>
      </c>
      <c r="C82" s="319">
        <f ca="1">1-C83</f>
        <v>0.86799999999999999</v>
      </c>
    </row>
    <row r="83" spans="2:3">
      <c r="B83" s="317" t="s">
        <v>1515</v>
      </c>
      <c r="C83" s="318">
        <f ca="1">ROUND(C13/C40,3)</f>
        <v>0.13200000000000001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3244</v>
      </c>
      <c r="E1" s="1819" t="s">
        <v>1387</v>
      </c>
      <c r="F1" s="1283">
        <f ca="1">J53</f>
        <v>40.08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8546</v>
      </c>
      <c r="C2" s="1843" t="s">
        <v>1517</v>
      </c>
      <c r="D2" s="1843"/>
      <c r="E2" s="1844"/>
      <c r="F2" s="1845"/>
      <c r="G2" s="1846"/>
      <c r="H2" s="1838"/>
      <c r="I2" s="1838"/>
      <c r="J2" s="1838"/>
      <c r="K2" s="1839"/>
      <c r="L2" s="1838"/>
      <c r="M2" s="1838"/>
    </row>
    <row r="3" spans="1:37" ht="18" customHeight="1" thickBot="1">
      <c r="A3" s="1847" t="s">
        <v>1518</v>
      </c>
      <c r="B3" s="1848">
        <f ca="1">IF(ISERROR(B2*10000/F43),0,ROUND(B2*10000/F43,0))</f>
        <v>10435</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418</v>
      </c>
      <c r="D5" s="1820" t="s">
        <v>1402</v>
      </c>
      <c r="E5" s="1293"/>
      <c r="F5" s="1294"/>
      <c r="G5" s="1849"/>
      <c r="H5" s="344">
        <v>1</v>
      </c>
      <c r="I5" s="345" t="s">
        <v>1401</v>
      </c>
      <c r="J5" s="1292">
        <f ca="1">J6+J10+J12</f>
        <v>0</v>
      </c>
      <c r="K5" s="1820" t="s">
        <v>1402</v>
      </c>
      <c r="L5" s="1293"/>
      <c r="M5" s="1294"/>
    </row>
    <row r="6" spans="1:37" ht="18" customHeight="1">
      <c r="A6" s="1291" t="s">
        <v>1035</v>
      </c>
      <c r="B6" s="3274" t="s">
        <v>1403</v>
      </c>
      <c r="C6" s="1296">
        <f ca="1">ROUND(F6*F8*F7*(1-F9)/10000,0)</f>
        <v>417</v>
      </c>
      <c r="D6" s="164" t="s">
        <v>3013</v>
      </c>
      <c r="E6" s="347" t="s">
        <v>1405</v>
      </c>
      <c r="F6" s="348">
        <f ca="1">INDIRECT("'数据-取费表'!u"&amp;$G$1)</f>
        <v>1650</v>
      </c>
      <c r="G6" s="1849"/>
      <c r="H6" s="1291" t="s">
        <v>1035</v>
      </c>
      <c r="I6" s="3274" t="s">
        <v>1403</v>
      </c>
      <c r="J6" s="346">
        <f ca="1">ROUND(M6*M8*M7*(1-M9)/10000,0)</f>
        <v>0</v>
      </c>
      <c r="K6" s="164" t="s">
        <v>3012</v>
      </c>
      <c r="L6" s="347" t="s">
        <v>1405</v>
      </c>
      <c r="M6" s="348">
        <f ca="1">INDIRECT("'数据-取费表'!z"&amp;$G$1)</f>
        <v>0</v>
      </c>
    </row>
    <row r="7" spans="1:37" ht="18" customHeight="1">
      <c r="A7" s="1295"/>
      <c r="B7" s="3275"/>
      <c r="C7" s="1297"/>
      <c r="D7" s="352"/>
      <c r="E7" s="2982" t="s">
        <v>1406</v>
      </c>
      <c r="F7" s="348">
        <f ca="1">IF(INDIRECT("'数据-取费表'!ah"&amp;$G$1)="",INDIRECT("'数据-取费表'!k"&amp;$G$1),INDIRECT("'数据-取费表'!ah"&amp;$G$1))</f>
        <v>234</v>
      </c>
      <c r="G7" s="1849"/>
      <c r="H7" s="349"/>
      <c r="I7" s="3275"/>
      <c r="J7" s="351"/>
      <c r="K7" s="352"/>
      <c r="L7" s="347" t="s">
        <v>1406</v>
      </c>
      <c r="M7" s="348">
        <f ca="1">F7</f>
        <v>234</v>
      </c>
    </row>
    <row r="8" spans="1:37" ht="18" customHeight="1">
      <c r="A8" s="349"/>
      <c r="B8" s="3275"/>
      <c r="C8" s="351"/>
      <c r="D8" s="352"/>
      <c r="E8" s="347" t="s">
        <v>1407</v>
      </c>
      <c r="F8" s="348">
        <f ca="1">INDIRECT("'数据-取费表'!ai"&amp;$G$1)</f>
        <v>12</v>
      </c>
      <c r="G8" s="1849"/>
      <c r="H8" s="349"/>
      <c r="I8" s="3275"/>
      <c r="J8" s="351"/>
      <c r="K8" s="352"/>
      <c r="L8" s="347" t="s">
        <v>1407</v>
      </c>
      <c r="M8" s="348">
        <f ca="1">INDIRECT("'数据-取费表'!ai"&amp;$G$1)</f>
        <v>12</v>
      </c>
    </row>
    <row r="9" spans="1:37" ht="18" customHeight="1">
      <c r="A9" s="349"/>
      <c r="B9" s="3276"/>
      <c r="C9" s="351"/>
      <c r="D9" s="352"/>
      <c r="E9" s="347" t="s">
        <v>1408</v>
      </c>
      <c r="F9" s="357">
        <f ca="1">INDIRECT("'数据-取费表'!w"&amp;$G$1)</f>
        <v>0.1</v>
      </c>
      <c r="G9" s="1849"/>
      <c r="H9" s="349"/>
      <c r="I9" s="3276"/>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1</v>
      </c>
      <c r="D10" s="1822" t="s">
        <v>3009</v>
      </c>
      <c r="E10" s="358" t="s">
        <v>1411</v>
      </c>
      <c r="F10" s="1366" t="s">
        <v>3098</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1856</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1229</v>
      </c>
      <c r="D14" s="2986" t="s">
        <v>1419</v>
      </c>
      <c r="E14" s="2985"/>
      <c r="F14" s="364"/>
      <c r="G14" s="1849"/>
      <c r="H14" s="1201" t="s">
        <v>1035</v>
      </c>
      <c r="I14" s="347" t="s">
        <v>1420</v>
      </c>
      <c r="J14" s="24">
        <f ca="1">C29</f>
        <v>1856</v>
      </c>
      <c r="K14" s="2981"/>
      <c r="L14" s="981"/>
      <c r="M14" s="982"/>
    </row>
    <row r="15" spans="1:37" s="1856" customFormat="1" ht="18" customHeight="1" thickBot="1">
      <c r="A15" s="1201" t="s">
        <v>1036</v>
      </c>
      <c r="B15" s="347" t="s">
        <v>1421</v>
      </c>
      <c r="C15" s="24">
        <f ca="1">ROUND(C14*F15,0)</f>
        <v>61</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44</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16.399999999999999</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1498</v>
      </c>
      <c r="D19" s="140" t="s">
        <v>1437</v>
      </c>
      <c r="E19" s="2980"/>
      <c r="F19" s="26"/>
      <c r="G19" s="1849"/>
      <c r="H19" s="1201" t="s">
        <v>1036</v>
      </c>
      <c r="I19" s="347" t="s">
        <v>1438</v>
      </c>
      <c r="J19" s="24">
        <f ca="1">IF(K19="按租金收入计税",ROUND(J5*M19,2),ROUND(C29*M19*0.7,2))</f>
        <v>15.59</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15</v>
      </c>
      <c r="D20" s="369" t="s">
        <v>1441</v>
      </c>
      <c r="E20" s="347" t="s">
        <v>1423</v>
      </c>
      <c r="F20" s="367">
        <f>'数据-取费表'!B37</f>
        <v>0.01</v>
      </c>
      <c r="G20" s="1852"/>
      <c r="H20" s="1201" t="s">
        <v>1389</v>
      </c>
      <c r="I20" s="164" t="s">
        <v>1442</v>
      </c>
      <c r="J20" s="25">
        <f ca="1">ROUND(M20*M21/10000,2)</f>
        <v>0.84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2797.15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27.8</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-44</v>
      </c>
      <c r="K25" s="1345" t="s">
        <v>1465</v>
      </c>
      <c r="L25" s="1346"/>
      <c r="M25" s="1347"/>
    </row>
    <row r="26" spans="1:37">
      <c r="A26" s="1201" t="s">
        <v>1034</v>
      </c>
      <c r="B26" s="347" t="s">
        <v>1466</v>
      </c>
      <c r="C26" s="24">
        <f ca="1">ROUND((C19+C20)*F26,0)</f>
        <v>151</v>
      </c>
      <c r="D26" s="369" t="s">
        <v>1467</v>
      </c>
      <c r="E26" s="358" t="s">
        <v>1468</v>
      </c>
      <c r="F26" s="357">
        <f ca="1">INDIRECT("'数据-取费表'!q"&amp;$G$1)</f>
        <v>0.1</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1E-3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1856</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74</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38.700000000000003</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22.29</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15.59</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0.84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2797.15</v>
      </c>
      <c r="G35" s="1849"/>
      <c r="H35" s="744"/>
      <c r="I35" s="1858"/>
      <c r="J35" s="1859"/>
      <c r="K35" s="1860"/>
      <c r="L35" s="1857"/>
      <c r="M35" s="1857"/>
    </row>
    <row r="36" spans="1:18" ht="18" customHeight="1">
      <c r="A36" s="1352" t="s">
        <v>1039</v>
      </c>
      <c r="B36" s="347" t="s">
        <v>1450</v>
      </c>
      <c r="C36" s="24">
        <f ca="1">ROUND(C29*F36,1)</f>
        <v>27.8</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4.2</v>
      </c>
      <c r="D38" s="1342" t="s">
        <v>1460</v>
      </c>
      <c r="E38" s="1340" t="s">
        <v>1423</v>
      </c>
      <c r="F38" s="1336">
        <f ca="1">INDIRECT("'数据-取费表'!Am"&amp;$G$1)</f>
        <v>0.01</v>
      </c>
      <c r="G38" s="1849"/>
      <c r="H38" s="1857"/>
      <c r="I38" s="1858"/>
      <c r="J38" s="1859"/>
      <c r="K38" s="1863"/>
      <c r="L38" s="1857"/>
      <c r="M38" s="1857"/>
    </row>
    <row r="39" spans="1:18" ht="24.6" customHeight="1" thickTop="1">
      <c r="A39" s="1329" t="s">
        <v>1031</v>
      </c>
      <c r="B39" s="1344" t="s">
        <v>1464</v>
      </c>
      <c r="C39" s="355">
        <f ca="1">C5-C30</f>
        <v>344</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8546</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40.08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10435</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-9412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50</v>
      </c>
      <c r="M47" s="1836" t="str">
        <f>IF(ISNUMBER(FIND("住宅",C1)),"住宅","非住宅")</f>
        <v>非住宅</v>
      </c>
      <c r="O47" s="1882" t="s">
        <v>1040</v>
      </c>
      <c r="P47" s="1883" t="s">
        <v>1529</v>
      </c>
      <c r="Q47" s="1884">
        <f ca="1">C40+J29</f>
        <v>8546</v>
      </c>
      <c r="R47" s="1884" t="s">
        <v>1530</v>
      </c>
    </row>
    <row r="48" spans="1:18" s="1840" customFormat="1" ht="28.5" thickBot="1">
      <c r="A48" s="1360" t="s">
        <v>1135</v>
      </c>
      <c r="B48" s="345" t="s">
        <v>1401</v>
      </c>
      <c r="C48" s="2979">
        <f ca="1">C49+C53+C55</f>
        <v>0</v>
      </c>
      <c r="D48" s="1362"/>
      <c r="E48" s="1363"/>
      <c r="F48" s="1181"/>
      <c r="G48" s="791"/>
      <c r="H48" s="792"/>
      <c r="I48" s="1885" t="s">
        <v>1531</v>
      </c>
      <c r="J48" s="1886" t="s">
        <v>3099</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1856</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3693</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40.08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40.08</v>
      </c>
      <c r="K53" s="3277" t="s">
        <v>1549</v>
      </c>
      <c r="L53" s="3278"/>
      <c r="O53" s="1882" t="s">
        <v>1046</v>
      </c>
      <c r="P53" s="1883" t="s">
        <v>1550</v>
      </c>
      <c r="Q53" s="1884">
        <f ca="1">Q47+Q48</f>
        <v>8546</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1856</v>
      </c>
      <c r="D56" s="1912"/>
      <c r="E56" s="1913"/>
      <c r="F56" s="1905"/>
      <c r="I56" s="1914" t="s">
        <v>1555</v>
      </c>
      <c r="J56" s="1915" t="s">
        <v>3032</v>
      </c>
      <c r="K56" s="1885" t="s">
        <v>1556</v>
      </c>
      <c r="L56" s="1888" t="str">
        <f ca="1">IF(L48&lt;J51,"——",L48-J53)</f>
        <v>——</v>
      </c>
      <c r="O56" s="1882" t="s">
        <v>1040</v>
      </c>
      <c r="P56" s="1883" t="s">
        <v>1529</v>
      </c>
      <c r="Q56" s="1884">
        <f ca="1">C40+J29</f>
        <v>8546</v>
      </c>
      <c r="R56" s="1884" t="s">
        <v>1530</v>
      </c>
    </row>
    <row r="57" spans="1:18" s="1840" customFormat="1" ht="24.75" thickBot="1">
      <c r="A57" s="1916"/>
      <c r="B57" s="1169" t="s">
        <v>1479</v>
      </c>
      <c r="C57" s="282">
        <f ca="1">C29</f>
        <v>1856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16.399999999999999</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15.59</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0.84</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8546</v>
      </c>
      <c r="R62" s="1884" t="s">
        <v>1047</v>
      </c>
    </row>
    <row r="63" spans="1:18" s="1840" customFormat="1" ht="13.5" thickBot="1">
      <c r="A63" s="372"/>
      <c r="B63" s="1175"/>
      <c r="C63" s="29"/>
      <c r="D63" s="1185"/>
      <c r="E63" s="1169" t="s">
        <v>1448</v>
      </c>
      <c r="F63" s="348">
        <f t="shared" ca="1" si="0"/>
        <v>2797.15</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27.8</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2.8</v>
      </c>
      <c r="D65" s="1183" t="s">
        <v>1455</v>
      </c>
      <c r="E65" s="1169" t="s">
        <v>1423</v>
      </c>
      <c r="F65" s="376">
        <f t="shared" ca="1" si="0"/>
        <v>1.5E-3</v>
      </c>
      <c r="I65" s="1927" t="s">
        <v>1580</v>
      </c>
      <c r="J65" s="1928">
        <v>40</v>
      </c>
      <c r="K65" s="1928">
        <v>30</v>
      </c>
      <c r="L65" s="1928">
        <v>50</v>
      </c>
      <c r="M65" s="1930">
        <v>0.02</v>
      </c>
      <c r="O65" s="1882" t="s">
        <v>1040</v>
      </c>
      <c r="P65" s="1883" t="s">
        <v>1529</v>
      </c>
      <c r="Q65" s="1884">
        <f ca="1">C40+J29</f>
        <v>8546</v>
      </c>
      <c r="R65" s="1884" t="s">
        <v>1530</v>
      </c>
    </row>
    <row r="66" spans="1:18" s="1840" customFormat="1" ht="16.5" thickBot="1">
      <c r="A66" s="1201" t="s">
        <v>1505</v>
      </c>
      <c r="B66" s="1169" t="s">
        <v>1440</v>
      </c>
      <c r="C66" s="24">
        <f ca="1">ROUND(C48*F66,1)</f>
        <v>0</v>
      </c>
      <c r="D66" s="1183" t="s">
        <v>1460</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-47</v>
      </c>
      <c r="D67" s="1182" t="s">
        <v>1465</v>
      </c>
      <c r="E67" s="1187"/>
      <c r="F67" s="1188"/>
      <c r="O67" s="1892" t="s">
        <v>1042</v>
      </c>
      <c r="P67" s="1883" t="s">
        <v>1563</v>
      </c>
      <c r="Q67" s="1931">
        <f ca="1">L51</f>
        <v>3693</v>
      </c>
      <c r="R67" s="1884" t="s">
        <v>1583</v>
      </c>
    </row>
    <row r="68" spans="1:18" s="1840" customFormat="1" ht="16.5" thickBot="1">
      <c r="A68" s="1166" t="s">
        <v>1032</v>
      </c>
      <c r="B68" s="1167" t="s">
        <v>1486</v>
      </c>
      <c r="C68" s="346">
        <f ca="1">ROUND(C67*(1-((1+F70)/(1+F68))^F69)/(F68-F70),0)</f>
        <v>-866</v>
      </c>
      <c r="D68" s="1184" t="s">
        <v>1470</v>
      </c>
      <c r="E68" s="1169" t="s">
        <v>1471</v>
      </c>
      <c r="F68" s="357">
        <f ca="1">F40</f>
        <v>4.4999999999999998E-2</v>
      </c>
      <c r="O68" s="1892" t="s">
        <v>1043</v>
      </c>
      <c r="P68" s="1932" t="s">
        <v>1584</v>
      </c>
      <c r="Q68" s="1884">
        <f ca="1">ROUND(Q69-Q70*Q71,0)</f>
        <v>186</v>
      </c>
      <c r="R68" s="1884" t="s">
        <v>1051</v>
      </c>
    </row>
    <row r="69" spans="1:18" s="1840" customFormat="1" ht="13.5" thickBot="1">
      <c r="A69" s="1170"/>
      <c r="B69" s="1171"/>
      <c r="C69" s="351"/>
      <c r="D69" s="1189" t="s">
        <v>1474</v>
      </c>
      <c r="E69" s="1169" t="s">
        <v>1475</v>
      </c>
      <c r="F69" s="379">
        <f ca="1">F41</f>
        <v>40.08</v>
      </c>
      <c r="O69" s="1892" t="s">
        <v>1048</v>
      </c>
      <c r="P69" s="1932" t="s">
        <v>1585</v>
      </c>
      <c r="Q69" s="1884">
        <f ca="1">C39</f>
        <v>344</v>
      </c>
      <c r="R69" s="1884" t="s">
        <v>1530</v>
      </c>
    </row>
    <row r="70" spans="1:18" s="1840" customFormat="1" ht="13.5" thickBot="1">
      <c r="A70" s="1173"/>
      <c r="B70" s="1174"/>
      <c r="C70" s="355"/>
      <c r="D70" s="1185"/>
      <c r="E70" s="1169" t="s">
        <v>1478</v>
      </c>
      <c r="F70" s="1275"/>
      <c r="O70" s="1892" t="s">
        <v>1049</v>
      </c>
      <c r="P70" s="1932" t="s">
        <v>1586</v>
      </c>
      <c r="Q70" s="1884">
        <f ca="1">C13</f>
        <v>1856</v>
      </c>
      <c r="R70" s="1884" t="s">
        <v>1530</v>
      </c>
    </row>
    <row r="71" spans="1:18" s="1840" customFormat="1" ht="13.5" thickBot="1">
      <c r="A71" s="1190" t="s">
        <v>1033</v>
      </c>
      <c r="B71" s="1191" t="s">
        <v>1488</v>
      </c>
      <c r="C71" s="382">
        <f ca="1">ROUND(C68*10000/F71,0)</f>
        <v>-1057</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158</v>
      </c>
      <c r="D75" s="1840"/>
      <c r="E75" s="1840"/>
      <c r="F75" s="1840"/>
      <c r="K75" s="1866"/>
      <c r="L75" s="1840"/>
      <c r="O75" s="1882" t="s">
        <v>1046</v>
      </c>
      <c r="P75" s="1883" t="s">
        <v>1550</v>
      </c>
      <c r="Q75" s="1884">
        <f ca="1">Q65+Q66</f>
        <v>8546</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0.54099999999999993</v>
      </c>
    </row>
    <row r="80" spans="1:18">
      <c r="B80" s="386" t="s">
        <v>1512</v>
      </c>
      <c r="C80" s="318">
        <f ca="1">ROUND(C75/C39,3)</f>
        <v>0.45900000000000002</v>
      </c>
    </row>
    <row r="81" spans="2:3">
      <c r="B81" s="314" t="s">
        <v>1513</v>
      </c>
      <c r="C81" s="282"/>
    </row>
    <row r="82" spans="2:3">
      <c r="B82" s="317" t="s">
        <v>1514</v>
      </c>
      <c r="C82" s="319">
        <f ca="1">1-C83</f>
        <v>0.78300000000000003</v>
      </c>
    </row>
    <row r="83" spans="2:3">
      <c r="B83" s="317" t="s">
        <v>1515</v>
      </c>
      <c r="C83" s="318">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8">
      <c r="A3" s="3018" t="str">
        <f>IF(项目基本情况!B9="房地产市场价值","估价结果一览表（市场价值不需“结果表-1”）","估价结果一览表")</f>
        <v>估价结果一览表</v>
      </c>
      <c r="B3" s="3018"/>
      <c r="C3" s="3018"/>
      <c r="D3" s="3018"/>
      <c r="E3" s="3018"/>
    </row>
    <row r="4" spans="1:5" ht="19.5" thickBot="1">
      <c r="A4" s="1959"/>
      <c r="B4" s="3016" t="s">
        <v>1631</v>
      </c>
      <c r="C4" s="3016"/>
      <c r="D4" s="3016"/>
      <c r="E4" s="1959"/>
    </row>
    <row r="5" spans="1:5" ht="16.5" thickTop="1">
      <c r="A5" s="1957"/>
      <c r="B5" s="3014" t="s">
        <v>1623</v>
      </c>
      <c r="C5" s="1960" t="s">
        <v>1624</v>
      </c>
      <c r="D5" s="1041">
        <f ca="1">结果表!H101</f>
        <v>137511</v>
      </c>
      <c r="E5" s="1957"/>
    </row>
    <row r="6" spans="1:5" ht="15.75">
      <c r="A6" s="1957"/>
      <c r="B6" s="3014"/>
      <c r="C6" s="1960" t="s">
        <v>1625</v>
      </c>
      <c r="D6" s="1041" t="str">
        <f ca="1">NUMBERSTRING(INT(D5*10000),2)&amp;"元整"</f>
        <v>壹拾叁亿柒仟伍佰壹拾壹万元整</v>
      </c>
      <c r="E6" s="1957"/>
    </row>
    <row r="7" spans="1:5" ht="15.75">
      <c r="A7" s="1957"/>
      <c r="B7" s="3019"/>
      <c r="C7" s="1961" t="s">
        <v>1626</v>
      </c>
      <c r="D7" s="1042">
        <f ca="1">结果表!H102</f>
        <v>27594</v>
      </c>
      <c r="E7" s="1957"/>
    </row>
    <row r="8" spans="1:5" ht="15.75">
      <c r="A8" s="1957"/>
      <c r="B8" s="3020" t="str">
        <f>结果表!E103</f>
        <v>2.估价师知悉的法定优先受偿款</v>
      </c>
      <c r="C8" s="1962" t="s">
        <v>1627</v>
      </c>
      <c r="D8" s="1042">
        <f>结果表!H103</f>
        <v>0</v>
      </c>
      <c r="E8" s="1957"/>
    </row>
    <row r="9" spans="1:5" ht="15.75">
      <c r="A9" s="1957"/>
      <c r="B9" s="3022"/>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13" t="str">
        <f>结果表!E107</f>
        <v>3.房地产抵押价值</v>
      </c>
      <c r="C13" s="1965" t="s">
        <v>1624</v>
      </c>
      <c r="D13" s="1044">
        <f ca="1">结果表!H107</f>
        <v>137511</v>
      </c>
      <c r="E13" s="1957"/>
    </row>
    <row r="14" spans="1:5" ht="15.75">
      <c r="A14" s="1957"/>
      <c r="B14" s="3014"/>
      <c r="C14" s="1960" t="s">
        <v>1625</v>
      </c>
      <c r="D14" s="1041" t="str">
        <f ca="1">NUMBERSTRING(INT(D13*10000),2)&amp;"元整"</f>
        <v>壹拾叁亿柒仟伍佰壹拾壹万元整</v>
      </c>
      <c r="E14" s="1957"/>
    </row>
    <row r="15" spans="1:5" ht="15">
      <c r="A15" s="1957"/>
      <c r="B15" s="3019"/>
      <c r="C15" s="1961" t="s">
        <v>1635</v>
      </c>
      <c r="D15" s="1053">
        <f ca="1">结果表!H108</f>
        <v>27594</v>
      </c>
      <c r="E15" s="1957"/>
    </row>
    <row r="16" spans="1:5" ht="15">
      <c r="A16" s="1957"/>
      <c r="B16" s="3020" t="str">
        <f>结果表!E109</f>
        <v>——</v>
      </c>
      <c r="C16" s="1965" t="s">
        <v>1636</v>
      </c>
      <c r="D16" s="1966" t="str">
        <f>结果表!H109</f>
        <v>——</v>
      </c>
      <c r="E16" s="1957"/>
    </row>
    <row r="17" spans="1:5" ht="15.75">
      <c r="A17" s="1957"/>
      <c r="B17" s="3021"/>
      <c r="C17" s="1960" t="s">
        <v>1637</v>
      </c>
      <c r="D17" s="1041" t="e">
        <f>NUMBERSTRING(INT(D16*10000),2)&amp;"元整"</f>
        <v>#VALUE!</v>
      </c>
      <c r="E17" s="1957"/>
    </row>
    <row r="18" spans="1:5" ht="15">
      <c r="A18" s="1957"/>
      <c r="B18" s="3022"/>
      <c r="C18" s="1961" t="s">
        <v>1626</v>
      </c>
      <c r="D18" s="1053" t="str">
        <f>结果表!H110</f>
        <v>——</v>
      </c>
      <c r="E18" s="1957"/>
    </row>
    <row r="19" spans="1:5" ht="15.75">
      <c r="A19" s="1957"/>
      <c r="B19" s="3013" t="str">
        <f>结果表!E111</f>
        <v>——</v>
      </c>
      <c r="C19" s="1965" t="s">
        <v>1624</v>
      </c>
      <c r="D19" s="1042" t="str">
        <f>结果表!H111</f>
        <v>——</v>
      </c>
      <c r="E19" s="1957"/>
    </row>
    <row r="20" spans="1:5" ht="15.75">
      <c r="A20" s="1957"/>
      <c r="B20" s="3014"/>
      <c r="C20" s="1960" t="s">
        <v>1637</v>
      </c>
      <c r="D20" s="1041" t="e">
        <f>NUMBERSTRING(INT(D19*10000),2)&amp;"元整"</f>
        <v>#VALUE!</v>
      </c>
      <c r="E20" s="1957"/>
    </row>
    <row r="21" spans="1:5" ht="15.75" thickBot="1">
      <c r="A21" s="1957"/>
      <c r="B21" s="3015"/>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27" zoomScale="90" zoomScaleNormal="90" workbookViewId="0">
      <selection activeCell="F146" sqref="F146"/>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3046</v>
      </c>
      <c r="E1" s="2652"/>
      <c r="F1" s="2579" t="s">
        <v>3095</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219" t="s">
        <v>2522</v>
      </c>
      <c r="D4" s="3220"/>
      <c r="E4" s="3221" t="s">
        <v>2523</v>
      </c>
      <c r="F4" s="3222"/>
      <c r="G4" s="3219" t="s">
        <v>2524</v>
      </c>
      <c r="H4" s="3220"/>
      <c r="I4" s="3219" t="s">
        <v>2525</v>
      </c>
      <c r="J4" s="3220"/>
      <c r="K4" s="610" t="s">
        <v>2526</v>
      </c>
      <c r="L4" s="1130"/>
      <c r="M4" s="1131"/>
      <c r="N4" s="1131"/>
      <c r="O4" s="1131"/>
      <c r="P4" s="3223" t="s">
        <v>2527</v>
      </c>
      <c r="Q4" s="3224"/>
      <c r="R4" s="3206" t="s">
        <v>2523</v>
      </c>
      <c r="S4" s="3207"/>
      <c r="T4" s="3206" t="s">
        <v>2524</v>
      </c>
      <c r="U4" s="3207"/>
      <c r="V4" s="3231" t="s">
        <v>2525</v>
      </c>
      <c r="W4" s="3231"/>
      <c r="X4" s="2940"/>
      <c r="Y4" s="3206" t="s">
        <v>2527</v>
      </c>
      <c r="Z4" s="3207"/>
      <c r="AA4" s="3201" t="s">
        <v>2523</v>
      </c>
      <c r="AB4" s="3231" t="s">
        <v>2524</v>
      </c>
      <c r="AC4" s="3201" t="s">
        <v>2525</v>
      </c>
    </row>
    <row r="5" spans="1:29" ht="15">
      <c r="A5" s="404"/>
      <c r="B5" s="405"/>
      <c r="C5" s="3265" t="s">
        <v>3054</v>
      </c>
      <c r="D5" s="3213"/>
      <c r="E5" s="3264" t="s">
        <v>3090</v>
      </c>
      <c r="F5" s="3211"/>
      <c r="G5" s="3265" t="s">
        <v>3097</v>
      </c>
      <c r="H5" s="3213"/>
      <c r="I5" s="3265" t="s">
        <v>3094</v>
      </c>
      <c r="J5" s="3213"/>
      <c r="K5" s="610"/>
      <c r="L5" s="1130"/>
      <c r="M5" s="1131"/>
      <c r="N5" s="1131"/>
      <c r="O5" s="1131"/>
      <c r="P5" s="3225"/>
      <c r="Q5" s="3226"/>
      <c r="R5" s="3208"/>
      <c r="S5" s="3209"/>
      <c r="T5" s="3208"/>
      <c r="U5" s="3209"/>
      <c r="V5" s="3231"/>
      <c r="W5" s="3231"/>
      <c r="X5" s="2940"/>
      <c r="Y5" s="3208"/>
      <c r="Z5" s="3209"/>
      <c r="AA5" s="3202"/>
      <c r="AB5" s="3231"/>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2940"/>
      <c r="Y6" s="3229"/>
      <c r="Z6" s="3230"/>
      <c r="AA6" s="3203"/>
      <c r="AB6" s="3231"/>
      <c r="AC6" s="3203"/>
    </row>
    <row r="7" spans="1:29" s="117" customFormat="1" ht="15.75" thickBot="1">
      <c r="A7" s="408" t="s">
        <v>2534</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2"/>
      <c r="M7" s="1133"/>
      <c r="N7" s="1133"/>
      <c r="O7" s="1133"/>
      <c r="P7" s="3204" t="s">
        <v>2535</v>
      </c>
      <c r="Q7" s="3232"/>
      <c r="R7" s="769" t="s">
        <v>17</v>
      </c>
      <c r="S7" s="770">
        <f t="shared" ref="S7:S15" si="0">F7</f>
        <v>100</v>
      </c>
      <c r="T7" s="769" t="s">
        <v>17</v>
      </c>
      <c r="U7" s="770">
        <f t="shared" ref="U7:U15" si="1">H7</f>
        <v>100</v>
      </c>
      <c r="V7" s="769" t="s">
        <v>17</v>
      </c>
      <c r="W7" s="770">
        <f t="shared" ref="W7:W15" si="2">J7</f>
        <v>100</v>
      </c>
      <c r="X7" s="771"/>
      <c r="Y7" s="3204" t="s">
        <v>2535</v>
      </c>
      <c r="Z7" s="3205"/>
      <c r="AA7" s="772">
        <f>D7/F7</f>
        <v>1</v>
      </c>
      <c r="AB7" s="772">
        <f>D7/H7</f>
        <v>1</v>
      </c>
      <c r="AC7" s="772">
        <f>D7/J7</f>
        <v>1</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04" t="s">
        <v>2538</v>
      </c>
      <c r="Q8" s="3205"/>
      <c r="R8" s="769" t="s">
        <v>17</v>
      </c>
      <c r="S8" s="770">
        <f t="shared" si="0"/>
        <v>100</v>
      </c>
      <c r="T8" s="769" t="s">
        <v>17</v>
      </c>
      <c r="U8" s="770">
        <f t="shared" si="1"/>
        <v>100</v>
      </c>
      <c r="V8" s="769" t="s">
        <v>17</v>
      </c>
      <c r="W8" s="770">
        <f t="shared" si="2"/>
        <v>100</v>
      </c>
      <c r="X8" s="771"/>
      <c r="Y8" s="3204" t="s">
        <v>2538</v>
      </c>
      <c r="Z8" s="3205"/>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42" t="s">
        <v>2541</v>
      </c>
      <c r="Q9" s="2934" t="str">
        <f t="shared" ref="Q9:Q15" si="6">B9</f>
        <v>用途</v>
      </c>
      <c r="R9" s="769" t="s">
        <v>17</v>
      </c>
      <c r="S9" s="770">
        <f t="shared" si="0"/>
        <v>100</v>
      </c>
      <c r="T9" s="769" t="s">
        <v>17</v>
      </c>
      <c r="U9" s="770">
        <f t="shared" si="1"/>
        <v>100</v>
      </c>
      <c r="V9" s="769" t="s">
        <v>17</v>
      </c>
      <c r="W9" s="770">
        <f t="shared" si="2"/>
        <v>100</v>
      </c>
      <c r="X9" s="771"/>
      <c r="Y9" s="3078" t="s">
        <v>2542</v>
      </c>
      <c r="Z9" s="2935" t="str">
        <f t="shared" ref="Z9:Z15" si="7">Q9</f>
        <v>用途</v>
      </c>
      <c r="AA9" s="772">
        <f t="shared" si="3"/>
        <v>1</v>
      </c>
      <c r="AB9" s="772">
        <f t="shared" si="4"/>
        <v>1</v>
      </c>
      <c r="AC9" s="772">
        <f t="shared" si="5"/>
        <v>1</v>
      </c>
    </row>
    <row r="10" spans="1:29" s="427" customFormat="1" ht="27.75" thickBot="1">
      <c r="A10" s="421"/>
      <c r="B10" s="2936"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242"/>
      <c r="Q10" s="2934" t="str">
        <f t="shared" si="6"/>
        <v>土地使用年限（年）</v>
      </c>
      <c r="R10" s="769" t="s">
        <v>17</v>
      </c>
      <c r="S10" s="770">
        <f t="shared" si="0"/>
        <v>98</v>
      </c>
      <c r="T10" s="769" t="s">
        <v>17</v>
      </c>
      <c r="U10" s="770">
        <f t="shared" si="1"/>
        <v>100</v>
      </c>
      <c r="V10" s="769" t="s">
        <v>17</v>
      </c>
      <c r="W10" s="770">
        <f t="shared" si="2"/>
        <v>98</v>
      </c>
      <c r="X10" s="771"/>
      <c r="Y10" s="3078"/>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42"/>
      <c r="Q11" s="2934" t="str">
        <f t="shared" si="6"/>
        <v>容积率</v>
      </c>
      <c r="R11" s="769" t="s">
        <v>17</v>
      </c>
      <c r="S11" s="770">
        <f t="shared" si="0"/>
        <v>100</v>
      </c>
      <c r="T11" s="769" t="s">
        <v>17</v>
      </c>
      <c r="U11" s="770">
        <f t="shared" si="1"/>
        <v>100</v>
      </c>
      <c r="V11" s="769" t="s">
        <v>17</v>
      </c>
      <c r="W11" s="770">
        <f t="shared" si="2"/>
        <v>100</v>
      </c>
      <c r="X11" s="771"/>
      <c r="Y11" s="3078"/>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2"/>
      <c r="Q12" s="2934">
        <f t="shared" si="6"/>
        <v>111</v>
      </c>
      <c r="R12" s="769" t="s">
        <v>17</v>
      </c>
      <c r="S12" s="770">
        <f t="shared" si="0"/>
        <v>100</v>
      </c>
      <c r="T12" s="769" t="s">
        <v>17</v>
      </c>
      <c r="U12" s="770">
        <f t="shared" si="1"/>
        <v>100</v>
      </c>
      <c r="V12" s="769" t="s">
        <v>17</v>
      </c>
      <c r="W12" s="770">
        <f t="shared" si="2"/>
        <v>100</v>
      </c>
      <c r="X12" s="771"/>
      <c r="Y12" s="3078"/>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2"/>
      <c r="Q13" s="2934">
        <f t="shared" si="6"/>
        <v>111</v>
      </c>
      <c r="R13" s="769" t="s">
        <v>17</v>
      </c>
      <c r="S13" s="770">
        <f t="shared" si="0"/>
        <v>100</v>
      </c>
      <c r="T13" s="769" t="s">
        <v>17</v>
      </c>
      <c r="U13" s="770">
        <f t="shared" si="1"/>
        <v>100</v>
      </c>
      <c r="V13" s="769" t="s">
        <v>17</v>
      </c>
      <c r="W13" s="770">
        <f t="shared" si="2"/>
        <v>100</v>
      </c>
      <c r="X13" s="771"/>
      <c r="Y13" s="3078"/>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2"/>
      <c r="Q14" s="2934">
        <f t="shared" si="6"/>
        <v>111</v>
      </c>
      <c r="R14" s="769" t="s">
        <v>17</v>
      </c>
      <c r="S14" s="770">
        <f t="shared" si="0"/>
        <v>100</v>
      </c>
      <c r="T14" s="769" t="s">
        <v>17</v>
      </c>
      <c r="U14" s="770">
        <f t="shared" si="1"/>
        <v>100</v>
      </c>
      <c r="V14" s="769" t="s">
        <v>17</v>
      </c>
      <c r="W14" s="770">
        <f t="shared" si="2"/>
        <v>100</v>
      </c>
      <c r="X14" s="771"/>
      <c r="Y14" s="3078"/>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66" t="s">
        <v>2546</v>
      </c>
      <c r="Q15" s="2938" t="str">
        <f t="shared" si="6"/>
        <v>商业繁华度</v>
      </c>
      <c r="R15" s="773" t="s">
        <v>17</v>
      </c>
      <c r="S15" s="774">
        <f t="shared" si="0"/>
        <v>102</v>
      </c>
      <c r="T15" s="773" t="s">
        <v>17</v>
      </c>
      <c r="U15" s="774">
        <f t="shared" si="1"/>
        <v>102</v>
      </c>
      <c r="V15" s="773" t="s">
        <v>17</v>
      </c>
      <c r="W15" s="774">
        <f t="shared" si="2"/>
        <v>102</v>
      </c>
      <c r="X15" s="2940"/>
      <c r="Y15" s="3233"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67"/>
      <c r="Q16" s="2938"/>
      <c r="R16" s="773"/>
      <c r="S16" s="774"/>
      <c r="T16" s="773"/>
      <c r="U16" s="774"/>
      <c r="V16" s="773"/>
      <c r="W16" s="774"/>
      <c r="X16" s="2940"/>
      <c r="Y16" s="3234"/>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67"/>
      <c r="Q17" s="2938" t="str">
        <f>B17</f>
        <v>交通便捷度</v>
      </c>
      <c r="R17" s="773" t="s">
        <v>17</v>
      </c>
      <c r="S17" s="774">
        <f>F17</f>
        <v>100</v>
      </c>
      <c r="T17" s="773" t="s">
        <v>17</v>
      </c>
      <c r="U17" s="774">
        <f>H17</f>
        <v>100</v>
      </c>
      <c r="V17" s="773" t="s">
        <v>17</v>
      </c>
      <c r="W17" s="774">
        <f>J17</f>
        <v>100</v>
      </c>
      <c r="X17" s="2940"/>
      <c r="Y17" s="3234"/>
      <c r="Z17" s="2941" t="str">
        <f>Q17</f>
        <v>交通便捷度</v>
      </c>
      <c r="AA17" s="2939">
        <f t="shared" si="3"/>
        <v>1</v>
      </c>
      <c r="AB17" s="2939">
        <f t="shared" si="4"/>
        <v>1</v>
      </c>
      <c r="AC17" s="293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67"/>
      <c r="Q18" s="2938"/>
      <c r="R18" s="773"/>
      <c r="S18" s="774"/>
      <c r="T18" s="773"/>
      <c r="U18" s="774"/>
      <c r="V18" s="773"/>
      <c r="W18" s="774"/>
      <c r="X18" s="2940"/>
      <c r="Y18" s="3234"/>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67"/>
      <c r="Q19" s="2938" t="str">
        <f>B19</f>
        <v>公共配套设施</v>
      </c>
      <c r="R19" s="773" t="s">
        <v>17</v>
      </c>
      <c r="S19" s="774">
        <f>F19</f>
        <v>100</v>
      </c>
      <c r="T19" s="773" t="s">
        <v>17</v>
      </c>
      <c r="U19" s="774">
        <f>H19</f>
        <v>100</v>
      </c>
      <c r="V19" s="773" t="s">
        <v>17</v>
      </c>
      <c r="W19" s="774">
        <f>J19</f>
        <v>100</v>
      </c>
      <c r="X19" s="2940"/>
      <c r="Y19" s="3234"/>
      <c r="Z19" s="2941" t="str">
        <f>Q19</f>
        <v>公共配套设施</v>
      </c>
      <c r="AA19" s="2939">
        <f t="shared" si="3"/>
        <v>1</v>
      </c>
      <c r="AB19" s="2939">
        <f t="shared" si="4"/>
        <v>1</v>
      </c>
      <c r="AC19" s="293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67"/>
      <c r="Q20" s="2938"/>
      <c r="R20" s="773"/>
      <c r="S20" s="774"/>
      <c r="T20" s="773"/>
      <c r="U20" s="774"/>
      <c r="V20" s="773"/>
      <c r="W20" s="774"/>
      <c r="X20" s="2940"/>
      <c r="Y20" s="3234"/>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67"/>
      <c r="Q21" s="2938" t="str">
        <f>B21</f>
        <v>基础设施水平</v>
      </c>
      <c r="R21" s="773" t="s">
        <v>17</v>
      </c>
      <c r="S21" s="774">
        <f>F21</f>
        <v>100</v>
      </c>
      <c r="T21" s="773" t="s">
        <v>17</v>
      </c>
      <c r="U21" s="774">
        <f>H21</f>
        <v>100</v>
      </c>
      <c r="V21" s="773" t="s">
        <v>17</v>
      </c>
      <c r="W21" s="774">
        <f>J21</f>
        <v>100</v>
      </c>
      <c r="X21" s="2940"/>
      <c r="Y21" s="3234"/>
      <c r="Z21" s="2941" t="str">
        <f>Q21</f>
        <v>基础设施水平</v>
      </c>
      <c r="AA21" s="2939">
        <f t="shared" ref="AA21" si="8">D21/F21</f>
        <v>1</v>
      </c>
      <c r="AB21" s="2939">
        <f t="shared" ref="AB21" si="9">D21/H21</f>
        <v>1</v>
      </c>
      <c r="AC21" s="293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67"/>
      <c r="Q22" s="2938"/>
      <c r="R22" s="773"/>
      <c r="S22" s="774"/>
      <c r="T22" s="773"/>
      <c r="U22" s="774"/>
      <c r="V22" s="773"/>
      <c r="W22" s="774"/>
      <c r="X22" s="2940"/>
      <c r="Y22" s="3234"/>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67"/>
      <c r="Q23" s="2938" t="str">
        <f>B23</f>
        <v>自然及人文环境</v>
      </c>
      <c r="R23" s="773" t="s">
        <v>17</v>
      </c>
      <c r="S23" s="774">
        <f>F23</f>
        <v>100</v>
      </c>
      <c r="T23" s="773" t="s">
        <v>17</v>
      </c>
      <c r="U23" s="774">
        <f>H23</f>
        <v>100</v>
      </c>
      <c r="V23" s="773" t="s">
        <v>17</v>
      </c>
      <c r="W23" s="774">
        <f>J23</f>
        <v>100</v>
      </c>
      <c r="X23" s="2940"/>
      <c r="Y23" s="3234"/>
      <c r="Z23" s="2941" t="str">
        <f>Q23</f>
        <v>自然及人文环境</v>
      </c>
      <c r="AA23" s="2939">
        <f t="shared" si="3"/>
        <v>1</v>
      </c>
      <c r="AB23" s="2939">
        <f t="shared" si="4"/>
        <v>1</v>
      </c>
      <c r="AC23" s="293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67"/>
      <c r="Q24" s="2938"/>
      <c r="R24" s="773"/>
      <c r="S24" s="774"/>
      <c r="T24" s="773"/>
      <c r="U24" s="774"/>
      <c r="V24" s="773"/>
      <c r="W24" s="774"/>
      <c r="X24" s="2940"/>
      <c r="Y24" s="3234"/>
      <c r="Z24" s="2941"/>
      <c r="AA24" s="2939">
        <v>1</v>
      </c>
      <c r="AB24" s="2939">
        <v>1</v>
      </c>
      <c r="AC24" s="2939">
        <v>1</v>
      </c>
    </row>
    <row r="25" spans="1:29" ht="15">
      <c r="A25" s="428"/>
      <c r="B25" s="2936"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67"/>
      <c r="Q25" s="2938" t="str">
        <f t="shared" ref="Q25:Q46" si="11">B25</f>
        <v>临街状况</v>
      </c>
      <c r="R25" s="773" t="s">
        <v>17</v>
      </c>
      <c r="S25" s="774">
        <f>F25</f>
        <v>100</v>
      </c>
      <c r="T25" s="773" t="s">
        <v>17</v>
      </c>
      <c r="U25" s="774">
        <f>H25</f>
        <v>100</v>
      </c>
      <c r="V25" s="773" t="s">
        <v>17</v>
      </c>
      <c r="W25" s="774">
        <f>J25</f>
        <v>100</v>
      </c>
      <c r="X25" s="2940"/>
      <c r="Y25" s="3234"/>
      <c r="Z25" s="2941" t="str">
        <f>Q25</f>
        <v>临街状况</v>
      </c>
      <c r="AA25" s="2939">
        <f t="shared" si="3"/>
        <v>1</v>
      </c>
      <c r="AB25" s="2939">
        <f t="shared" si="4"/>
        <v>1</v>
      </c>
      <c r="AC25" s="293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67"/>
      <c r="Q26" s="2938" t="str">
        <f t="shared" si="11"/>
        <v>平面位置/可视性</v>
      </c>
      <c r="R26" s="773" t="s">
        <v>17</v>
      </c>
      <c r="S26" s="774">
        <f>F26</f>
        <v>100</v>
      </c>
      <c r="T26" s="773" t="s">
        <v>17</v>
      </c>
      <c r="U26" s="774">
        <f>H26</f>
        <v>100</v>
      </c>
      <c r="V26" s="773" t="s">
        <v>17</v>
      </c>
      <c r="W26" s="774">
        <f>J26</f>
        <v>100</v>
      </c>
      <c r="X26" s="2940"/>
      <c r="Y26" s="3234"/>
      <c r="Z26" s="2941" t="str">
        <f>Q26</f>
        <v>平面位置/可视性</v>
      </c>
      <c r="AA26" s="2939">
        <f t="shared" si="3"/>
        <v>1</v>
      </c>
      <c r="AB26" s="2939">
        <f t="shared" si="4"/>
        <v>1</v>
      </c>
      <c r="AC26" s="293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67"/>
      <c r="Q27" s="2934" t="str">
        <f t="shared" si="11"/>
        <v>人流量</v>
      </c>
      <c r="R27" s="769" t="s">
        <v>17</v>
      </c>
      <c r="S27" s="770">
        <f>F27</f>
        <v>100</v>
      </c>
      <c r="T27" s="769" t="s">
        <v>17</v>
      </c>
      <c r="U27" s="770">
        <f>H27</f>
        <v>100</v>
      </c>
      <c r="V27" s="769" t="s">
        <v>17</v>
      </c>
      <c r="W27" s="770">
        <f>J27</f>
        <v>100</v>
      </c>
      <c r="X27" s="771"/>
      <c r="Y27" s="3234"/>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67"/>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34"/>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7"/>
      <c r="Q29" s="2938">
        <f t="shared" si="11"/>
        <v>111</v>
      </c>
      <c r="R29" s="773" t="s">
        <v>17</v>
      </c>
      <c r="S29" s="774">
        <f t="shared" si="12"/>
        <v>100</v>
      </c>
      <c r="T29" s="773" t="s">
        <v>17</v>
      </c>
      <c r="U29" s="774">
        <f t="shared" si="13"/>
        <v>100</v>
      </c>
      <c r="V29" s="773" t="s">
        <v>17</v>
      </c>
      <c r="W29" s="774">
        <f t="shared" si="14"/>
        <v>100</v>
      </c>
      <c r="X29" s="2940"/>
      <c r="Y29" s="3234"/>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7"/>
      <c r="Q30" s="2938">
        <f t="shared" si="11"/>
        <v>111</v>
      </c>
      <c r="R30" s="773" t="s">
        <v>17</v>
      </c>
      <c r="S30" s="774">
        <f t="shared" si="12"/>
        <v>100</v>
      </c>
      <c r="T30" s="773" t="s">
        <v>17</v>
      </c>
      <c r="U30" s="774">
        <f t="shared" si="13"/>
        <v>100</v>
      </c>
      <c r="V30" s="773" t="s">
        <v>17</v>
      </c>
      <c r="W30" s="774">
        <f t="shared" si="14"/>
        <v>100</v>
      </c>
      <c r="X30" s="2940"/>
      <c r="Y30" s="3234"/>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7"/>
      <c r="Q31" s="2938">
        <f t="shared" si="11"/>
        <v>111</v>
      </c>
      <c r="R31" s="773" t="s">
        <v>17</v>
      </c>
      <c r="S31" s="774">
        <f t="shared" si="12"/>
        <v>100</v>
      </c>
      <c r="T31" s="773" t="s">
        <v>17</v>
      </c>
      <c r="U31" s="774">
        <f t="shared" si="13"/>
        <v>100</v>
      </c>
      <c r="V31" s="773" t="s">
        <v>17</v>
      </c>
      <c r="W31" s="774">
        <f t="shared" si="14"/>
        <v>100</v>
      </c>
      <c r="X31" s="2940"/>
      <c r="Y31" s="3234"/>
      <c r="Z31" s="2941">
        <f t="shared" si="15"/>
        <v>111</v>
      </c>
      <c r="AA31" s="2939">
        <f t="shared" si="3"/>
        <v>1</v>
      </c>
      <c r="AB31" s="2939">
        <f t="shared" si="4"/>
        <v>1</v>
      </c>
      <c r="AC31" s="293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68" t="s">
        <v>2551</v>
      </c>
      <c r="Q32" s="2938" t="str">
        <f t="shared" si="11"/>
        <v>商业类型</v>
      </c>
      <c r="R32" s="773" t="s">
        <v>17</v>
      </c>
      <c r="S32" s="774">
        <f t="shared" si="12"/>
        <v>94</v>
      </c>
      <c r="T32" s="773" t="s">
        <v>17</v>
      </c>
      <c r="U32" s="774">
        <f t="shared" si="13"/>
        <v>94</v>
      </c>
      <c r="V32" s="773" t="s">
        <v>17</v>
      </c>
      <c r="W32" s="774">
        <f t="shared" si="14"/>
        <v>94</v>
      </c>
      <c r="X32" s="2940"/>
      <c r="Y32" s="3236"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69"/>
      <c r="Q33" s="775" t="str">
        <f t="shared" si="11"/>
        <v>项目建筑规模</v>
      </c>
      <c r="R33" s="776" t="s">
        <v>17</v>
      </c>
      <c r="S33" s="777">
        <f t="shared" si="12"/>
        <v>100</v>
      </c>
      <c r="T33" s="776" t="s">
        <v>17</v>
      </c>
      <c r="U33" s="777">
        <f t="shared" si="13"/>
        <v>100</v>
      </c>
      <c r="V33" s="776" t="s">
        <v>17</v>
      </c>
      <c r="W33" s="777">
        <f t="shared" si="14"/>
        <v>100</v>
      </c>
      <c r="X33" s="778"/>
      <c r="Y33" s="3236"/>
      <c r="Z33" s="779" t="str">
        <f t="shared" si="15"/>
        <v>项目建筑规模</v>
      </c>
      <c r="AA33" s="2939">
        <f t="shared" si="3"/>
        <v>1</v>
      </c>
      <c r="AB33" s="2939">
        <f t="shared" si="4"/>
        <v>1</v>
      </c>
      <c r="AC33" s="2939">
        <f t="shared" si="5"/>
        <v>1</v>
      </c>
    </row>
    <row r="34" spans="1:29" ht="15">
      <c r="A34" s="472"/>
      <c r="B34" s="2936"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9"/>
      <c r="Q34" s="2938" t="str">
        <f t="shared" si="11"/>
        <v>建筑结构</v>
      </c>
      <c r="R34" s="773" t="s">
        <v>17</v>
      </c>
      <c r="S34" s="774">
        <f t="shared" si="12"/>
        <v>100</v>
      </c>
      <c r="T34" s="773" t="s">
        <v>17</v>
      </c>
      <c r="U34" s="774">
        <f t="shared" si="13"/>
        <v>100</v>
      </c>
      <c r="V34" s="773" t="s">
        <v>17</v>
      </c>
      <c r="W34" s="774">
        <f t="shared" si="14"/>
        <v>100</v>
      </c>
      <c r="X34" s="2940"/>
      <c r="Y34" s="3236"/>
      <c r="Z34" s="2941" t="str">
        <f t="shared" si="15"/>
        <v>建筑结构</v>
      </c>
      <c r="AA34" s="2939">
        <f t="shared" si="3"/>
        <v>1</v>
      </c>
      <c r="AB34" s="2939">
        <f t="shared" si="4"/>
        <v>1</v>
      </c>
      <c r="AC34" s="2939">
        <f t="shared" si="5"/>
        <v>1</v>
      </c>
    </row>
    <row r="35" spans="1:29" ht="15">
      <c r="A35" s="472"/>
      <c r="B35" s="2936" t="s">
        <v>2647</v>
      </c>
      <c r="C35" s="2608" t="s">
        <v>3071</v>
      </c>
      <c r="D35" s="435">
        <v>100</v>
      </c>
      <c r="E35" s="2608" t="s">
        <v>3073</v>
      </c>
      <c r="F35" s="461">
        <f>SUMIF(107:107,E35,108:108)-SUMIF(107:107,C35,108:108)+100</f>
        <v>98</v>
      </c>
      <c r="G35" s="2608" t="s">
        <v>3073</v>
      </c>
      <c r="H35" s="435">
        <f>SUMIF(107:107,G35,108:108)-SUMIF(107:107,C35,108:108)+100</f>
        <v>98</v>
      </c>
      <c r="I35" s="2608" t="s">
        <v>3073</v>
      </c>
      <c r="J35" s="435">
        <f>SUMIF(107:107,I35,108:108)-SUMIF(107:107,C35,108:108)+100</f>
        <v>98</v>
      </c>
      <c r="K35" s="612">
        <v>2</v>
      </c>
      <c r="L35" s="1140"/>
      <c r="M35" s="1131"/>
      <c r="N35" s="1131"/>
      <c r="O35" s="1131"/>
      <c r="P35" s="3269"/>
      <c r="Q35" s="2938" t="str">
        <f t="shared" si="11"/>
        <v>公共部分装修</v>
      </c>
      <c r="R35" s="773" t="s">
        <v>17</v>
      </c>
      <c r="S35" s="774">
        <f t="shared" si="12"/>
        <v>98</v>
      </c>
      <c r="T35" s="773" t="s">
        <v>17</v>
      </c>
      <c r="U35" s="774">
        <f t="shared" si="13"/>
        <v>98</v>
      </c>
      <c r="V35" s="773" t="s">
        <v>17</v>
      </c>
      <c r="W35" s="774">
        <f t="shared" si="14"/>
        <v>98</v>
      </c>
      <c r="X35" s="2940"/>
      <c r="Y35" s="3236"/>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69"/>
      <c r="Q36" s="2938" t="str">
        <f t="shared" si="11"/>
        <v>成新度</v>
      </c>
      <c r="R36" s="773" t="s">
        <v>17</v>
      </c>
      <c r="S36" s="774">
        <f t="shared" si="12"/>
        <v>98</v>
      </c>
      <c r="T36" s="773" t="s">
        <v>17</v>
      </c>
      <c r="U36" s="774">
        <f t="shared" si="13"/>
        <v>98</v>
      </c>
      <c r="V36" s="773" t="s">
        <v>17</v>
      </c>
      <c r="W36" s="774">
        <f t="shared" si="14"/>
        <v>96</v>
      </c>
      <c r="X36" s="2940"/>
      <c r="Y36" s="3236"/>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9"/>
      <c r="Q37" s="2934" t="str">
        <f t="shared" si="11"/>
        <v>市政基础设施</v>
      </c>
      <c r="R37" s="769" t="s">
        <v>17</v>
      </c>
      <c r="S37" s="770">
        <f t="shared" si="12"/>
        <v>100</v>
      </c>
      <c r="T37" s="769" t="s">
        <v>17</v>
      </c>
      <c r="U37" s="770">
        <f t="shared" si="13"/>
        <v>100</v>
      </c>
      <c r="V37" s="769" t="s">
        <v>17</v>
      </c>
      <c r="W37" s="770">
        <f t="shared" si="14"/>
        <v>100</v>
      </c>
      <c r="X37" s="771"/>
      <c r="Y37" s="3236"/>
      <c r="Z37" s="2935" t="str">
        <f t="shared" si="15"/>
        <v>市政基础设施</v>
      </c>
      <c r="AA37" s="772">
        <f t="shared" si="3"/>
        <v>1</v>
      </c>
      <c r="AB37" s="772">
        <f t="shared" si="4"/>
        <v>1</v>
      </c>
      <c r="AC37" s="772">
        <f t="shared" si="5"/>
        <v>1</v>
      </c>
    </row>
    <row r="38" spans="1:29" ht="15">
      <c r="A38" s="472"/>
      <c r="B38" s="2936"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9" t="s">
        <v>2551</v>
      </c>
      <c r="Q38" s="2938" t="str">
        <f t="shared" si="11"/>
        <v>业态</v>
      </c>
      <c r="R38" s="773" t="s">
        <v>17</v>
      </c>
      <c r="S38" s="774">
        <f t="shared" si="12"/>
        <v>98</v>
      </c>
      <c r="T38" s="773" t="s">
        <v>17</v>
      </c>
      <c r="U38" s="774">
        <f t="shared" si="13"/>
        <v>98</v>
      </c>
      <c r="V38" s="773" t="s">
        <v>17</v>
      </c>
      <c r="W38" s="774">
        <f t="shared" si="14"/>
        <v>98</v>
      </c>
      <c r="X38" s="2940"/>
      <c r="Y38" s="3236"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9"/>
      <c r="Q39" s="2938" t="str">
        <f t="shared" si="11"/>
        <v>层高</v>
      </c>
      <c r="R39" s="773" t="s">
        <v>17</v>
      </c>
      <c r="S39" s="774">
        <f t="shared" si="12"/>
        <v>100</v>
      </c>
      <c r="T39" s="773" t="s">
        <v>17</v>
      </c>
      <c r="U39" s="774">
        <f t="shared" si="13"/>
        <v>100</v>
      </c>
      <c r="V39" s="773" t="s">
        <v>17</v>
      </c>
      <c r="W39" s="774">
        <f t="shared" si="14"/>
        <v>100</v>
      </c>
      <c r="X39" s="2940"/>
      <c r="Y39" s="3236"/>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9"/>
      <c r="Q40" s="2938" t="str">
        <f t="shared" si="11"/>
        <v>单套建筑面积</v>
      </c>
      <c r="R40" s="773" t="s">
        <v>17</v>
      </c>
      <c r="S40" s="774">
        <f t="shared" si="12"/>
        <v>100</v>
      </c>
      <c r="T40" s="773" t="s">
        <v>17</v>
      </c>
      <c r="U40" s="774">
        <f t="shared" si="13"/>
        <v>100</v>
      </c>
      <c r="V40" s="773" t="s">
        <v>17</v>
      </c>
      <c r="W40" s="774">
        <f t="shared" si="14"/>
        <v>100</v>
      </c>
      <c r="X40" s="2940"/>
      <c r="Y40" s="3236"/>
      <c r="Z40" s="2941" t="str">
        <f t="shared" si="15"/>
        <v>单套建筑面积</v>
      </c>
      <c r="AA40" s="2939">
        <f t="shared" si="3"/>
        <v>1</v>
      </c>
      <c r="AB40" s="2939">
        <f t="shared" si="4"/>
        <v>1</v>
      </c>
      <c r="AC40" s="2939">
        <f t="shared" si="5"/>
        <v>1</v>
      </c>
    </row>
    <row r="41" spans="1:29" s="471" customFormat="1" ht="15">
      <c r="A41" s="468"/>
      <c r="B41" s="2937"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9"/>
      <c r="Q41" s="775" t="str">
        <f t="shared" si="11"/>
        <v>进深比</v>
      </c>
      <c r="R41" s="776" t="s">
        <v>17</v>
      </c>
      <c r="S41" s="777">
        <f t="shared" si="12"/>
        <v>100</v>
      </c>
      <c r="T41" s="776" t="s">
        <v>17</v>
      </c>
      <c r="U41" s="777">
        <f t="shared" si="13"/>
        <v>100</v>
      </c>
      <c r="V41" s="776" t="s">
        <v>17</v>
      </c>
      <c r="W41" s="777">
        <f t="shared" si="14"/>
        <v>100</v>
      </c>
      <c r="X41" s="778"/>
      <c r="Y41" s="3236"/>
      <c r="Z41" s="779" t="str">
        <f t="shared" si="15"/>
        <v>进深比</v>
      </c>
      <c r="AA41" s="2939">
        <f t="shared" si="3"/>
        <v>1</v>
      </c>
      <c r="AB41" s="2939">
        <f t="shared" si="4"/>
        <v>1</v>
      </c>
      <c r="AC41" s="2939">
        <f t="shared" si="5"/>
        <v>1</v>
      </c>
    </row>
    <row r="42" spans="1:29" ht="15">
      <c r="A42" s="472"/>
      <c r="B42" s="2936" t="s">
        <v>2654</v>
      </c>
      <c r="C42" s="2608" t="s">
        <v>3077</v>
      </c>
      <c r="D42" s="435">
        <v>100</v>
      </c>
      <c r="E42" s="2608" t="s">
        <v>3071</v>
      </c>
      <c r="F42" s="461">
        <f>SUMIF(122:122,E42,123:123)-SUMIF(122:122,C42,123:123)+100</f>
        <v>104.5</v>
      </c>
      <c r="G42" s="2608" t="s">
        <v>3075</v>
      </c>
      <c r="H42" s="435">
        <f>SUMIF(122:122,G42,123:123)-SUMIF(122:122,C42,123:123)+100</f>
        <v>101.5</v>
      </c>
      <c r="I42" s="2608" t="s">
        <v>3073</v>
      </c>
      <c r="J42" s="435">
        <f>SUMIF(122:122,I42,123:123)-SUMIF(122:122,C42,123:123)+100</f>
        <v>103</v>
      </c>
      <c r="K42" s="612">
        <v>1.5</v>
      </c>
      <c r="L42" s="1140"/>
      <c r="M42" s="1131"/>
      <c r="N42" s="1131"/>
      <c r="O42" s="1131"/>
      <c r="P42" s="3269"/>
      <c r="Q42" s="2938" t="str">
        <f t="shared" si="11"/>
        <v>内部装修</v>
      </c>
      <c r="R42" s="773" t="s">
        <v>17</v>
      </c>
      <c r="S42" s="774">
        <f t="shared" si="12"/>
        <v>104.5</v>
      </c>
      <c r="T42" s="773" t="s">
        <v>17</v>
      </c>
      <c r="U42" s="774">
        <f t="shared" si="13"/>
        <v>101.5</v>
      </c>
      <c r="V42" s="773" t="s">
        <v>17</v>
      </c>
      <c r="W42" s="774">
        <f t="shared" si="14"/>
        <v>103</v>
      </c>
      <c r="X42" s="2940"/>
      <c r="Y42" s="3236"/>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3058</v>
      </c>
      <c r="D43" s="435">
        <v>100</v>
      </c>
      <c r="E43" s="2608" t="s">
        <v>3058</v>
      </c>
      <c r="F43" s="461">
        <f>SUMIF(124:124,E43,125:125)-SUMIF(124:124,C43,125:125)+100</f>
        <v>100</v>
      </c>
      <c r="G43" s="2608" t="s">
        <v>3058</v>
      </c>
      <c r="H43" s="435">
        <f>SUMIF(124:124,G43,125:125)-SUMIF(124:124,C43,125:125)+100</f>
        <v>100</v>
      </c>
      <c r="I43" s="2608" t="s">
        <v>3058</v>
      </c>
      <c r="J43" s="435">
        <f>SUMIF(124:124,I43,125:125)-SUMIF(124:124,C43,125:125)+100</f>
        <v>100</v>
      </c>
      <c r="K43" s="612">
        <v>2</v>
      </c>
      <c r="L43" s="1140"/>
      <c r="M43" s="1131"/>
      <c r="N43" s="1131"/>
      <c r="O43" s="1131"/>
      <c r="P43" s="3269"/>
      <c r="Q43" s="2938" t="str">
        <f t="shared" si="11"/>
        <v>内部装修维护情况</v>
      </c>
      <c r="R43" s="773" t="s">
        <v>17</v>
      </c>
      <c r="S43" s="774">
        <f t="shared" si="12"/>
        <v>100</v>
      </c>
      <c r="T43" s="773" t="s">
        <v>17</v>
      </c>
      <c r="U43" s="774">
        <f t="shared" si="13"/>
        <v>100</v>
      </c>
      <c r="V43" s="773" t="s">
        <v>17</v>
      </c>
      <c r="W43" s="774">
        <f t="shared" si="14"/>
        <v>100</v>
      </c>
      <c r="X43" s="2940"/>
      <c r="Y43" s="3236"/>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9"/>
      <c r="Q44" s="2934">
        <f t="shared" si="11"/>
        <v>111</v>
      </c>
      <c r="R44" s="769" t="s">
        <v>17</v>
      </c>
      <c r="S44" s="770">
        <f t="shared" si="12"/>
        <v>100</v>
      </c>
      <c r="T44" s="769" t="s">
        <v>17</v>
      </c>
      <c r="U44" s="770">
        <f t="shared" si="13"/>
        <v>100</v>
      </c>
      <c r="V44" s="769" t="s">
        <v>17</v>
      </c>
      <c r="W44" s="770">
        <f t="shared" si="14"/>
        <v>100</v>
      </c>
      <c r="X44" s="771"/>
      <c r="Y44" s="3236"/>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9"/>
      <c r="Q45" s="2938">
        <f t="shared" si="11"/>
        <v>111</v>
      </c>
      <c r="R45" s="773" t="s">
        <v>17</v>
      </c>
      <c r="S45" s="774">
        <f t="shared" si="12"/>
        <v>100</v>
      </c>
      <c r="T45" s="773" t="s">
        <v>17</v>
      </c>
      <c r="U45" s="774">
        <f t="shared" si="13"/>
        <v>100</v>
      </c>
      <c r="V45" s="773" t="s">
        <v>17</v>
      </c>
      <c r="W45" s="774">
        <f t="shared" si="14"/>
        <v>100</v>
      </c>
      <c r="X45" s="2940"/>
      <c r="Y45" s="3236"/>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0"/>
      <c r="Q46" s="2938">
        <f t="shared" si="11"/>
        <v>111</v>
      </c>
      <c r="R46" s="773" t="s">
        <v>17</v>
      </c>
      <c r="S46" s="774">
        <f t="shared" si="12"/>
        <v>100</v>
      </c>
      <c r="T46" s="773" t="s">
        <v>17</v>
      </c>
      <c r="U46" s="774">
        <f t="shared" si="13"/>
        <v>100</v>
      </c>
      <c r="V46" s="773" t="s">
        <v>17</v>
      </c>
      <c r="W46" s="774">
        <f t="shared" si="14"/>
        <v>100</v>
      </c>
      <c r="X46" s="2940"/>
      <c r="Y46" s="3271"/>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218" t="str">
        <f>A47</f>
        <v>成交单价（元/平方米）</v>
      </c>
      <c r="Q47" s="3218"/>
      <c r="R47" s="3231">
        <f>E47</f>
        <v>8</v>
      </c>
      <c r="S47" s="3231"/>
      <c r="T47" s="3231">
        <f>G47</f>
        <v>6.68</v>
      </c>
      <c r="U47" s="3231"/>
      <c r="V47" s="3231">
        <f>I47</f>
        <v>7.16</v>
      </c>
      <c r="W47" s="3231"/>
      <c r="X47" s="758"/>
      <c r="Y47" s="780"/>
      <c r="Z47" s="758"/>
      <c r="AA47" s="758"/>
      <c r="AB47" s="758"/>
      <c r="AC47" s="758"/>
    </row>
    <row r="48" spans="1:29" ht="15.75" thickBot="1">
      <c r="A48" s="486" t="s">
        <v>2564</v>
      </c>
      <c r="B48" s="487"/>
      <c r="C48" s="1413">
        <f>R49</f>
        <v>8</v>
      </c>
      <c r="D48" s="1414"/>
      <c r="E48" s="1415">
        <f>R48</f>
        <v>8.6999999999999993</v>
      </c>
      <c r="F48" s="1415"/>
      <c r="G48" s="1413">
        <f>T48</f>
        <v>7.3</v>
      </c>
      <c r="H48" s="1414"/>
      <c r="I48" s="1415">
        <f>V48</f>
        <v>8</v>
      </c>
      <c r="J48" s="1414"/>
      <c r="K48" s="783"/>
      <c r="L48" s="1143"/>
      <c r="M48" s="1144"/>
      <c r="N48" s="1131"/>
      <c r="O48" s="1144"/>
      <c r="P48" s="3218" t="str">
        <f>A48</f>
        <v>比较价值（元/平方米）</v>
      </c>
      <c r="Q48" s="3218"/>
      <c r="R48" s="3272">
        <f>IF(F1="售价",ROUND(PRODUCT(R47,AA7:AA46),0),ROUND(PRODUCT(R47,AA7:AA46),1))</f>
        <v>8.6999999999999993</v>
      </c>
      <c r="S48" s="3272"/>
      <c r="T48" s="3272">
        <f>IF(F1="售价",ROUND(PRODUCT(T47,AB7:AB46),0),ROUND(PRODUCT(T47,AB7:AB46),1))</f>
        <v>7.3</v>
      </c>
      <c r="U48" s="3272"/>
      <c r="V48" s="3272">
        <f>IF(F1="售价",ROUND(PRODUCT(V47,AC7:AC46),0),ROUND(PRODUCT(V47,AC7:AC46),1))</f>
        <v>8</v>
      </c>
      <c r="W48" s="3272"/>
      <c r="X48" s="758"/>
      <c r="Y48" s="758"/>
      <c r="Z48" s="758"/>
      <c r="AA48" s="758"/>
      <c r="AB48" s="758"/>
      <c r="AC48" s="758"/>
    </row>
    <row r="49" spans="1:29" ht="15.75" thickBot="1">
      <c r="A49" s="492" t="s">
        <v>2565</v>
      </c>
      <c r="B49" s="493"/>
      <c r="C49" s="1417">
        <f>R49</f>
        <v>8</v>
      </c>
      <c r="D49" s="1417"/>
      <c r="E49" s="1417"/>
      <c r="F49" s="1417"/>
      <c r="G49" s="1417"/>
      <c r="H49" s="1417"/>
      <c r="I49" s="1417"/>
      <c r="J49" s="1417"/>
      <c r="K49" s="784"/>
      <c r="L49" s="1143"/>
      <c r="M49" s="1144"/>
      <c r="N49" s="1131"/>
      <c r="O49" s="1144"/>
      <c r="P49" s="3238" t="str">
        <f>A49</f>
        <v>估价对象XX用房的比较价值（楼面单价，元/平方米）</v>
      </c>
      <c r="Q49" s="3239"/>
      <c r="R49" s="3273">
        <f>IF(F1="售价",ROUND(AVERAGE(R48:V48),0),ROUND(AVERAGE(R48:V48),1))</f>
        <v>8</v>
      </c>
      <c r="S49" s="3273"/>
      <c r="T49" s="3273"/>
      <c r="U49" s="3273"/>
      <c r="V49" s="3273"/>
      <c r="W49" s="3273"/>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9.2814371257485151E-2</v>
      </c>
      <c r="H52" s="500" t="str">
        <f>IF(OR(G52&gt;=0.3,G52&lt;=-0.3),"超过30%","")</f>
        <v/>
      </c>
      <c r="I52" s="499">
        <f>IF(I47&lt;I48,I48/I47-1,I47/I48-1)</f>
        <v>0.11731843575418988</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0.1917808219178081</v>
      </c>
      <c r="F53" s="500" t="str">
        <f>IF(OR(E53&gt;=0.2,E53&lt;=-0.2),"超过20%","")</f>
        <v/>
      </c>
      <c r="G53" s="499">
        <f>IF(G48&lt;I48,I48/G48-1,G48/I48-1)</f>
        <v>9.5890410958904049E-2</v>
      </c>
      <c r="H53" s="500" t="str">
        <f>IF(OR(G53&gt;=0.2,G53&lt;=-0.2),"超过20%","")</f>
        <v/>
      </c>
      <c r="I53" s="499">
        <f>IF(I48&lt;E48,E48/I48-1,I48/E48-1)</f>
        <v>8.7499999999999911E-2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v>
      </c>
      <c r="F135" s="403">
        <f>'数据-基础表'!I16</f>
        <v>5777.36</v>
      </c>
    </row>
    <row r="136" spans="1:17">
      <c r="C136" s="403">
        <v>2</v>
      </c>
      <c r="D136" s="403">
        <v>1.3371999999999999</v>
      </c>
      <c r="E136" s="403">
        <f t="shared" ref="E136:E145" si="32">ROUND(D136/$D$135*$E$135,1)</f>
        <v>5.7</v>
      </c>
      <c r="F136" s="403">
        <f>'数据-基础表'!I17</f>
        <v>4352.83</v>
      </c>
    </row>
    <row r="137" spans="1:17">
      <c r="C137" s="403">
        <v>3</v>
      </c>
      <c r="D137" s="403">
        <v>1.0788</v>
      </c>
      <c r="E137" s="403">
        <f t="shared" si="32"/>
        <v>4.5999999999999996</v>
      </c>
      <c r="F137" s="403">
        <f>'数据-基础表'!I18</f>
        <v>5204.8599999999997</v>
      </c>
    </row>
    <row r="138" spans="1:17">
      <c r="C138" s="403">
        <v>4</v>
      </c>
      <c r="D138" s="403">
        <v>0.86560000000000004</v>
      </c>
      <c r="E138" s="403">
        <f t="shared" si="32"/>
        <v>3.7</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4.4000000000000004</v>
      </c>
    </row>
    <row r="149" spans="3:8">
      <c r="C149" s="403">
        <v>1</v>
      </c>
      <c r="D149" s="403">
        <v>1</v>
      </c>
      <c r="E149" s="403">
        <f>E135</f>
        <v>8</v>
      </c>
      <c r="F149" s="403">
        <v>5777.36</v>
      </c>
    </row>
    <row r="150" spans="3:8">
      <c r="C150" s="403">
        <v>2</v>
      </c>
      <c r="D150" s="403">
        <v>0.7</v>
      </c>
      <c r="E150" s="403">
        <f t="shared" ref="E150:E159" si="33">ROUND($E$149*D150,1)</f>
        <v>5.6</v>
      </c>
      <c r="F150" s="403">
        <v>4352.83</v>
      </c>
    </row>
    <row r="151" spans="3:8">
      <c r="C151" s="403">
        <v>3</v>
      </c>
      <c r="D151" s="403">
        <v>0.65</v>
      </c>
      <c r="E151" s="403">
        <f t="shared" si="33"/>
        <v>5.2</v>
      </c>
      <c r="F151" s="403">
        <v>5204.8599999999997</v>
      </c>
    </row>
    <row r="152" spans="3:8">
      <c r="C152" s="403">
        <v>4</v>
      </c>
      <c r="D152" s="403">
        <v>0.6</v>
      </c>
      <c r="E152" s="403">
        <f t="shared" si="33"/>
        <v>4.8</v>
      </c>
      <c r="F152" s="403">
        <v>2872.01</v>
      </c>
    </row>
    <row r="153" spans="3:8">
      <c r="C153" s="403">
        <v>5</v>
      </c>
      <c r="D153" s="403">
        <v>0.55000000000000004</v>
      </c>
      <c r="E153" s="403">
        <f t="shared" si="33"/>
        <v>4.4000000000000004</v>
      </c>
      <c r="F153" s="403">
        <v>2485.44</v>
      </c>
    </row>
    <row r="154" spans="3:8">
      <c r="C154" s="403">
        <v>6</v>
      </c>
      <c r="D154" s="403">
        <v>0.55000000000000004</v>
      </c>
      <c r="E154" s="403">
        <f t="shared" si="33"/>
        <v>4.4000000000000004</v>
      </c>
      <c r="F154" s="403">
        <v>1242.72</v>
      </c>
    </row>
    <row r="155" spans="3:8">
      <c r="C155" s="403">
        <v>7</v>
      </c>
      <c r="D155" s="403">
        <v>0.55000000000000004</v>
      </c>
      <c r="E155" s="403">
        <f t="shared" si="33"/>
        <v>4.4000000000000004</v>
      </c>
      <c r="F155" s="403">
        <v>2485.44</v>
      </c>
    </row>
    <row r="156" spans="3:8">
      <c r="C156" s="403">
        <v>8</v>
      </c>
      <c r="D156" s="403">
        <v>0.55000000000000004</v>
      </c>
      <c r="E156" s="403">
        <f t="shared" si="33"/>
        <v>4.4000000000000004</v>
      </c>
      <c r="F156" s="403">
        <v>2526.8000000000002</v>
      </c>
    </row>
    <row r="157" spans="3:8">
      <c r="C157" s="403">
        <v>9</v>
      </c>
      <c r="D157" s="403">
        <v>0.55000000000000004</v>
      </c>
      <c r="E157" s="403">
        <f t="shared" si="33"/>
        <v>4.4000000000000004</v>
      </c>
      <c r="F157" s="403">
        <v>2476.8000000000002</v>
      </c>
    </row>
    <row r="158" spans="3:8">
      <c r="C158" s="403">
        <v>10</v>
      </c>
      <c r="D158" s="403">
        <v>0.55000000000000004</v>
      </c>
      <c r="E158" s="403">
        <f t="shared" si="33"/>
        <v>4.4000000000000004</v>
      </c>
      <c r="F158" s="403">
        <v>3026.88</v>
      </c>
    </row>
    <row r="159" spans="3:8">
      <c r="C159" s="403">
        <v>11</v>
      </c>
      <c r="D159" s="403">
        <v>0.55000000000000004</v>
      </c>
      <c r="E159" s="403">
        <f t="shared" si="33"/>
        <v>4.4000000000000004</v>
      </c>
      <c r="F159" s="403">
        <v>2220.48</v>
      </c>
    </row>
    <row r="160" spans="3:8">
      <c r="F160" s="403">
        <v>34671.619999999995</v>
      </c>
      <c r="H160" s="403">
        <f>ROUND((F149*E149+F150*E150+F151*E151+F152*E152+F153*E153+F154*E154+F155*E155+F156*E156+F157*E157+F158*E158+F159*E159)/F160,1)</f>
        <v>5.3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32" t="s">
        <v>2992</v>
      </c>
      <c r="D1" s="3333"/>
      <c r="E1" s="3333"/>
      <c r="F1" s="3333"/>
      <c r="G1" s="3333"/>
      <c r="H1" s="3333"/>
      <c r="I1" s="3333"/>
      <c r="J1" s="3333"/>
      <c r="K1" s="3333"/>
      <c r="L1" s="3333"/>
      <c r="M1" s="3333"/>
      <c r="N1" s="3333"/>
      <c r="O1" s="3333"/>
      <c r="P1" s="3333"/>
      <c r="Q1" s="3333"/>
      <c r="R1" s="3333"/>
      <c r="S1" s="3334"/>
      <c r="T1" s="1204" t="s">
        <v>2993</v>
      </c>
    </row>
    <row r="2" spans="1:45" s="707" customFormat="1" ht="38.25">
      <c r="A2" s="1205"/>
      <c r="B2" s="703" t="s">
        <v>2994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3110</v>
      </c>
      <c r="C5" s="2970" t="s">
        <v>3111</v>
      </c>
      <c r="D5" s="2971" t="s">
        <v>3112</v>
      </c>
      <c r="E5" s="2971" t="s">
        <v>3113</v>
      </c>
      <c r="F5" s="2972" t="s">
        <v>3114</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3115</v>
      </c>
      <c r="C7" s="2974">
        <v>1</v>
      </c>
      <c r="D7" s="2975" t="s">
        <v>3116</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3117</v>
      </c>
      <c r="C9" s="2976" t="s">
        <v>3118</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3119</v>
      </c>
      <c r="C11" s="2970" t="s">
        <v>3120</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3121</v>
      </c>
      <c r="C13" s="2970" t="s">
        <v>3122</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101108</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37520</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13" t="s">
        <v>33</v>
      </c>
      <c r="D22" s="3114"/>
      <c r="E22" s="3114"/>
      <c r="F22" s="3114"/>
      <c r="G22" s="3114"/>
      <c r="H22" s="3114"/>
      <c r="I22" s="3114"/>
      <c r="J22" s="3114"/>
      <c r="K22" s="3114"/>
      <c r="L22" s="3114"/>
      <c r="M22" s="3114"/>
      <c r="N22" s="3114"/>
      <c r="O22" s="3114"/>
      <c r="P22" s="3114"/>
      <c r="Q22" s="3331"/>
      <c r="R22" s="715">
        <f ca="1">ROUND(S22*10000/B22,0)</f>
        <v>37520</v>
      </c>
      <c r="S22" s="24">
        <f ca="1">SUM(S24:S10000)</f>
        <v>101108</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3100</v>
      </c>
      <c r="B24" s="717">
        <f>'数据-基础表'!I13</f>
        <v>0</v>
      </c>
      <c r="C24" s="718">
        <v>1</v>
      </c>
      <c r="D24" s="719" t="s">
        <v>3077</v>
      </c>
      <c r="E24" s="718">
        <v>1</v>
      </c>
      <c r="F24" s="719" t="s">
        <v>3065</v>
      </c>
      <c r="G24" s="718">
        <v>1</v>
      </c>
      <c r="H24" s="719" t="s">
        <v>3064</v>
      </c>
      <c r="I24" s="718">
        <v>1</v>
      </c>
      <c r="J24" s="719" t="s">
        <v>3058</v>
      </c>
      <c r="K24" s="718">
        <v>1</v>
      </c>
      <c r="L24" s="719" t="s">
        <v>3057</v>
      </c>
      <c r="M24" s="718">
        <v>1</v>
      </c>
      <c r="N24" s="719"/>
      <c r="O24" s="718">
        <v>1</v>
      </c>
      <c r="P24" s="719"/>
      <c r="Q24" s="718">
        <v>1</v>
      </c>
      <c r="R24" s="720">
        <f ca="1">结果表!G20</f>
        <v>39661</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3065</v>
      </c>
      <c r="B25" s="717">
        <f>'数据-基础表'!I14</f>
        <v>0</v>
      </c>
      <c r="C25" s="24">
        <f>IF(B25="",1,(LOOKUP(B25,$3:$3,$4:$4)-LOOKUP($B$24,$3:$3,$4:$4)+100)/100)</f>
        <v>1</v>
      </c>
      <c r="D25" s="719" t="s">
        <v>3077</v>
      </c>
      <c r="E25" s="24">
        <f>(SUMIF($5:$5,D25,$6:$6)-SUMIF($5:$5,$D$24,$6:$6)+100)/100</f>
        <v>1</v>
      </c>
      <c r="F25" s="719" t="s">
        <v>3065</v>
      </c>
      <c r="G25" s="24">
        <f>(SUMIF($7:$7,F25,$8:$8)-SUMIF($7:$7,$F$24,$8:$8)+100)/100</f>
        <v>1</v>
      </c>
      <c r="H25" s="719" t="s">
        <v>3064</v>
      </c>
      <c r="I25" s="24">
        <f>(SUMIF($9:$9,H25,$10:$10)-SUMIF($9:$9,$H$24,$10:$10)+100)/100</f>
        <v>1</v>
      </c>
      <c r="J25" s="719" t="s">
        <v>3058</v>
      </c>
      <c r="K25" s="24">
        <f>(SUMIF($11:$11,J25,$12:$12)-SUMIF($11:$11,$J$24,$12:$12)+100)/100</f>
        <v>1</v>
      </c>
      <c r="L25" s="719" t="s">
        <v>3057</v>
      </c>
      <c r="M25" s="24">
        <f>(SUMIF($13:$13,L25,$14:$14)-SUMIF($13:$13,$L$24,$14:$14)+100)/100</f>
        <v>1</v>
      </c>
      <c r="N25" s="719"/>
      <c r="O25" s="24">
        <f>(SUMIF($15:$15,N25,$16:$16)-SUMIF($15:$15,$N$24,$16:$16)+100)/100</f>
        <v>1</v>
      </c>
      <c r="P25" s="719"/>
      <c r="Q25" s="24">
        <f>(SUMIF($17:$17,P25,$18:$18)-SUMIF($17:$17,$P$24,$18:$18)+100)/100</f>
        <v>1</v>
      </c>
      <c r="R25" s="715">
        <f ca="1">IF(B25="",0,ROUND($R$24*C25*E25*G25*I25*K25*M25*O25*Q25,0))</f>
        <v>39661</v>
      </c>
      <c r="S25" s="361">
        <f t="shared" ca="1" si="11"/>
        <v>0</v>
      </c>
    </row>
    <row r="26" spans="1:45">
      <c r="A26" s="2950" t="s">
        <v>3101</v>
      </c>
      <c r="B26" s="717">
        <f>'数据-基础表'!I15</f>
        <v>0</v>
      </c>
      <c r="C26" s="24">
        <f t="shared" ref="C26:C89" si="12">IF(B26="",1,(LOOKUP(B26,$3:$3,$4:$4)-LOOKUP($B$24,$3:$3,$4:$4)+100)/100)</f>
        <v>1</v>
      </c>
      <c r="D26" s="719" t="s">
        <v>3077</v>
      </c>
      <c r="E26" s="24">
        <f t="shared" ref="E26:E89" si="13">(SUMIF($5:$5,D26,$6:$6)-SUMIF($5:$5,$D$24,$6:$6)+100)/100</f>
        <v>1</v>
      </c>
      <c r="F26" s="719" t="s">
        <v>3065</v>
      </c>
      <c r="G26" s="24">
        <f t="shared" ref="G26:G89" si="14">(SUMIF($7:$7,F26,$8:$8)-SUMIF($7:$7,$F$24,$8:$8)+100)/100</f>
        <v>1</v>
      </c>
      <c r="H26" s="719" t="s">
        <v>3064</v>
      </c>
      <c r="I26" s="24">
        <f t="shared" ref="I26:I89" si="15">(SUMIF($9:$9,H26,$10:$10)-SUMIF($9:$9,$H$24,$10:$10)+100)/100</f>
        <v>1</v>
      </c>
      <c r="J26" s="719" t="s">
        <v>3058</v>
      </c>
      <c r="K26" s="24">
        <f t="shared" ref="K26:K89" si="16">(SUMIF($11:$11,J26,$12:$12)-SUMIF($11:$11,$J$24,$12:$12)+100)/100</f>
        <v>1</v>
      </c>
      <c r="L26" s="719" t="s">
        <v>3057</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39661</v>
      </c>
      <c r="S26" s="361">
        <f t="shared" ca="1" si="11"/>
        <v>0</v>
      </c>
    </row>
    <row r="27" spans="1:45">
      <c r="A27" s="2968" t="s">
        <v>3102</v>
      </c>
      <c r="B27" s="717">
        <f>'数据-基础表'!I16</f>
        <v>5777.36</v>
      </c>
      <c r="C27" s="24">
        <f t="shared" si="12"/>
        <v>0.93</v>
      </c>
      <c r="D27" s="719" t="s">
        <v>3077</v>
      </c>
      <c r="E27" s="24">
        <f t="shared" si="13"/>
        <v>1</v>
      </c>
      <c r="F27" s="719" t="s">
        <v>3065</v>
      </c>
      <c r="G27" s="24">
        <f t="shared" si="14"/>
        <v>1</v>
      </c>
      <c r="H27" s="719" t="s">
        <v>3064</v>
      </c>
      <c r="I27" s="24">
        <f t="shared" si="15"/>
        <v>1</v>
      </c>
      <c r="J27" s="719" t="s">
        <v>3058</v>
      </c>
      <c r="K27" s="24">
        <f t="shared" si="16"/>
        <v>1</v>
      </c>
      <c r="L27" s="719" t="s">
        <v>3057</v>
      </c>
      <c r="M27" s="24">
        <f t="shared" si="17"/>
        <v>1</v>
      </c>
      <c r="N27" s="719"/>
      <c r="O27" s="24">
        <f t="shared" si="18"/>
        <v>1</v>
      </c>
      <c r="P27" s="719"/>
      <c r="Q27" s="24">
        <f t="shared" si="19"/>
        <v>1</v>
      </c>
      <c r="R27" s="715">
        <f t="shared" ca="1" si="20"/>
        <v>36885</v>
      </c>
      <c r="S27" s="361">
        <f t="shared" ca="1" si="11"/>
        <v>21310</v>
      </c>
    </row>
    <row r="28" spans="1:45">
      <c r="A28" s="2968" t="s">
        <v>3103</v>
      </c>
      <c r="B28" s="717">
        <f>'数据-基础表'!I17</f>
        <v>4352.83</v>
      </c>
      <c r="C28" s="24">
        <f t="shared" si="12"/>
        <v>0.93</v>
      </c>
      <c r="D28" s="719" t="s">
        <v>3077</v>
      </c>
      <c r="E28" s="24">
        <f t="shared" si="13"/>
        <v>1</v>
      </c>
      <c r="F28" s="719" t="s">
        <v>3065</v>
      </c>
      <c r="G28" s="24">
        <f t="shared" si="14"/>
        <v>1</v>
      </c>
      <c r="H28" s="719" t="s">
        <v>3064</v>
      </c>
      <c r="I28" s="24">
        <f t="shared" si="15"/>
        <v>1</v>
      </c>
      <c r="J28" s="719" t="s">
        <v>3058</v>
      </c>
      <c r="K28" s="24">
        <f t="shared" si="16"/>
        <v>1</v>
      </c>
      <c r="L28" s="719" t="s">
        <v>3057</v>
      </c>
      <c r="M28" s="24">
        <f t="shared" si="17"/>
        <v>1</v>
      </c>
      <c r="N28" s="719"/>
      <c r="O28" s="24">
        <f t="shared" si="18"/>
        <v>1</v>
      </c>
      <c r="P28" s="719"/>
      <c r="Q28" s="24">
        <f t="shared" si="19"/>
        <v>1</v>
      </c>
      <c r="R28" s="715">
        <f t="shared" ca="1" si="20"/>
        <v>36885</v>
      </c>
      <c r="S28" s="361">
        <f t="shared" ca="1" si="11"/>
        <v>16055</v>
      </c>
    </row>
    <row r="29" spans="1:45">
      <c r="A29" s="2968" t="s">
        <v>3104</v>
      </c>
      <c r="B29" s="717">
        <f>'数据-基础表'!I18</f>
        <v>5204.8599999999997</v>
      </c>
      <c r="C29" s="24">
        <f t="shared" si="12"/>
        <v>0.93</v>
      </c>
      <c r="D29" s="719" t="s">
        <v>3077</v>
      </c>
      <c r="E29" s="24">
        <f t="shared" si="13"/>
        <v>1</v>
      </c>
      <c r="F29" s="719" t="s">
        <v>3065</v>
      </c>
      <c r="G29" s="24">
        <f t="shared" si="14"/>
        <v>1</v>
      </c>
      <c r="H29" s="719" t="s">
        <v>3064</v>
      </c>
      <c r="I29" s="24">
        <f t="shared" si="15"/>
        <v>1</v>
      </c>
      <c r="J29" s="719" t="s">
        <v>3058</v>
      </c>
      <c r="K29" s="24">
        <f t="shared" si="16"/>
        <v>1</v>
      </c>
      <c r="L29" s="719" t="s">
        <v>3057</v>
      </c>
      <c r="M29" s="24">
        <f t="shared" si="17"/>
        <v>1</v>
      </c>
      <c r="N29" s="719"/>
      <c r="O29" s="24">
        <f t="shared" si="18"/>
        <v>1</v>
      </c>
      <c r="P29" s="719"/>
      <c r="Q29" s="24">
        <f t="shared" si="19"/>
        <v>1</v>
      </c>
      <c r="R29" s="715">
        <f t="shared" ca="1" si="20"/>
        <v>36885</v>
      </c>
      <c r="S29" s="361">
        <f t="shared" ca="1" si="11"/>
        <v>19198</v>
      </c>
    </row>
    <row r="30" spans="1:45">
      <c r="A30" s="2968" t="s">
        <v>3105</v>
      </c>
      <c r="B30" s="717">
        <f>'数据-基础表'!I19</f>
        <v>2872.01</v>
      </c>
      <c r="C30" s="24">
        <f t="shared" si="12"/>
        <v>0.93</v>
      </c>
      <c r="D30" s="719" t="s">
        <v>3073</v>
      </c>
      <c r="E30" s="24">
        <f t="shared" si="13"/>
        <v>1.04</v>
      </c>
      <c r="F30" s="719" t="s">
        <v>3065</v>
      </c>
      <c r="G30" s="24">
        <f t="shared" si="14"/>
        <v>1</v>
      </c>
      <c r="H30" s="719" t="s">
        <v>3064</v>
      </c>
      <c r="I30" s="24">
        <f t="shared" si="15"/>
        <v>1</v>
      </c>
      <c r="J30" s="719" t="s">
        <v>3058</v>
      </c>
      <c r="K30" s="24">
        <f t="shared" si="16"/>
        <v>1</v>
      </c>
      <c r="L30" s="719" t="s">
        <v>3057</v>
      </c>
      <c r="M30" s="24">
        <f t="shared" si="17"/>
        <v>1</v>
      </c>
      <c r="N30" s="719"/>
      <c r="O30" s="24">
        <f t="shared" si="18"/>
        <v>1</v>
      </c>
      <c r="P30" s="719"/>
      <c r="Q30" s="24">
        <f t="shared" si="19"/>
        <v>1</v>
      </c>
      <c r="R30" s="715">
        <f t="shared" ca="1" si="20"/>
        <v>38360</v>
      </c>
      <c r="S30" s="361">
        <f t="shared" ca="1" si="11"/>
        <v>11017</v>
      </c>
    </row>
    <row r="31" spans="1:45">
      <c r="A31" s="2968" t="s">
        <v>3106</v>
      </c>
      <c r="B31" s="717">
        <f>'数据-基础表'!I20</f>
        <v>2485.44</v>
      </c>
      <c r="C31" s="24">
        <f t="shared" si="12"/>
        <v>0.93</v>
      </c>
      <c r="D31" s="719" t="s">
        <v>3073</v>
      </c>
      <c r="E31" s="24">
        <f t="shared" si="13"/>
        <v>1.04</v>
      </c>
      <c r="F31" s="719" t="s">
        <v>3065</v>
      </c>
      <c r="G31" s="24">
        <f t="shared" si="14"/>
        <v>1</v>
      </c>
      <c r="H31" s="719" t="s">
        <v>3064</v>
      </c>
      <c r="I31" s="24">
        <f t="shared" si="15"/>
        <v>1</v>
      </c>
      <c r="J31" s="719" t="s">
        <v>3058</v>
      </c>
      <c r="K31" s="24">
        <f t="shared" si="16"/>
        <v>1</v>
      </c>
      <c r="L31" s="719" t="s">
        <v>3057</v>
      </c>
      <c r="M31" s="24">
        <f t="shared" si="17"/>
        <v>1</v>
      </c>
      <c r="N31" s="719"/>
      <c r="O31" s="24">
        <f t="shared" si="18"/>
        <v>1</v>
      </c>
      <c r="P31" s="719"/>
      <c r="Q31" s="24">
        <f t="shared" si="19"/>
        <v>1</v>
      </c>
      <c r="R31" s="715">
        <f t="shared" ca="1" si="20"/>
        <v>38360</v>
      </c>
      <c r="S31" s="361">
        <f t="shared" ca="1" si="11"/>
        <v>9534</v>
      </c>
    </row>
    <row r="32" spans="1:45">
      <c r="A32" s="2968" t="s">
        <v>3107</v>
      </c>
      <c r="B32" s="717">
        <f>'数据-基础表'!I21</f>
        <v>1242.72</v>
      </c>
      <c r="C32" s="24">
        <f t="shared" si="12"/>
        <v>0.93</v>
      </c>
      <c r="D32" s="719" t="s">
        <v>3073</v>
      </c>
      <c r="E32" s="24">
        <f t="shared" si="13"/>
        <v>1.04</v>
      </c>
      <c r="F32" s="719" t="s">
        <v>3065</v>
      </c>
      <c r="G32" s="24">
        <f t="shared" si="14"/>
        <v>1</v>
      </c>
      <c r="H32" s="719" t="s">
        <v>3064</v>
      </c>
      <c r="I32" s="24">
        <f t="shared" si="15"/>
        <v>1</v>
      </c>
      <c r="J32" s="719" t="s">
        <v>3058</v>
      </c>
      <c r="K32" s="24">
        <f t="shared" si="16"/>
        <v>1</v>
      </c>
      <c r="L32" s="719" t="s">
        <v>3057</v>
      </c>
      <c r="M32" s="24">
        <f t="shared" si="17"/>
        <v>1</v>
      </c>
      <c r="N32" s="719"/>
      <c r="O32" s="24">
        <f t="shared" si="18"/>
        <v>1</v>
      </c>
      <c r="P32" s="719"/>
      <c r="Q32" s="24">
        <f t="shared" si="19"/>
        <v>1</v>
      </c>
      <c r="R32" s="715">
        <f t="shared" ca="1" si="20"/>
        <v>38360</v>
      </c>
      <c r="S32" s="361">
        <f t="shared" ca="1" si="11"/>
        <v>4767</v>
      </c>
    </row>
    <row r="33" spans="1:19">
      <c r="A33" s="2968" t="s">
        <v>3108</v>
      </c>
      <c r="B33" s="717">
        <f>'数据-基础表'!I22</f>
        <v>2485.44</v>
      </c>
      <c r="C33" s="24">
        <f t="shared" si="12"/>
        <v>0.93</v>
      </c>
      <c r="D33" s="719" t="s">
        <v>3073</v>
      </c>
      <c r="E33" s="24">
        <f t="shared" si="13"/>
        <v>1.04</v>
      </c>
      <c r="F33" s="719" t="s">
        <v>3065</v>
      </c>
      <c r="G33" s="24">
        <f t="shared" si="14"/>
        <v>1</v>
      </c>
      <c r="H33" s="719" t="s">
        <v>3064</v>
      </c>
      <c r="I33" s="24">
        <f t="shared" si="15"/>
        <v>1</v>
      </c>
      <c r="J33" s="719" t="s">
        <v>3058</v>
      </c>
      <c r="K33" s="24">
        <f t="shared" si="16"/>
        <v>1</v>
      </c>
      <c r="L33" s="719" t="s">
        <v>3057</v>
      </c>
      <c r="M33" s="24">
        <f t="shared" si="17"/>
        <v>1</v>
      </c>
      <c r="N33" s="719"/>
      <c r="O33" s="24">
        <f t="shared" si="18"/>
        <v>1</v>
      </c>
      <c r="P33" s="719"/>
      <c r="Q33" s="24">
        <f t="shared" si="19"/>
        <v>1</v>
      </c>
      <c r="R33" s="715">
        <f t="shared" ca="1" si="20"/>
        <v>38360</v>
      </c>
      <c r="S33" s="361">
        <f t="shared" ca="1" si="11"/>
        <v>9534</v>
      </c>
    </row>
    <row r="34" spans="1:19">
      <c r="A34" s="2968" t="s">
        <v>3109</v>
      </c>
      <c r="B34" s="717">
        <f>'数据-基础表'!I23</f>
        <v>2526.8000000000002</v>
      </c>
      <c r="C34" s="24">
        <f t="shared" si="12"/>
        <v>0.93</v>
      </c>
      <c r="D34" s="719" t="s">
        <v>3073</v>
      </c>
      <c r="E34" s="24">
        <f t="shared" si="13"/>
        <v>1.04</v>
      </c>
      <c r="F34" s="719" t="s">
        <v>3065</v>
      </c>
      <c r="G34" s="24">
        <f t="shared" si="14"/>
        <v>1</v>
      </c>
      <c r="H34" s="719" t="s">
        <v>3064</v>
      </c>
      <c r="I34" s="24">
        <f t="shared" si="15"/>
        <v>1</v>
      </c>
      <c r="J34" s="719" t="s">
        <v>3058</v>
      </c>
      <c r="K34" s="24">
        <f t="shared" si="16"/>
        <v>1</v>
      </c>
      <c r="L34" s="719" t="s">
        <v>3057</v>
      </c>
      <c r="M34" s="24">
        <f t="shared" si="17"/>
        <v>1</v>
      </c>
      <c r="N34" s="719"/>
      <c r="O34" s="24">
        <f t="shared" si="18"/>
        <v>1</v>
      </c>
      <c r="P34" s="719"/>
      <c r="Q34" s="24">
        <f t="shared" si="19"/>
        <v>1</v>
      </c>
      <c r="R34" s="715">
        <f t="shared" ca="1" si="20"/>
        <v>38360</v>
      </c>
      <c r="S34" s="361">
        <f t="shared" ca="1" si="11"/>
        <v>9693</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43240</v>
      </c>
      <c r="C2" s="2" t="s">
        <v>133</v>
      </c>
      <c r="D2" s="243"/>
      <c r="E2" s="243"/>
      <c r="F2" s="243"/>
      <c r="G2" s="243"/>
    </row>
    <row r="3" spans="1:7" s="244" customFormat="1" ht="18" customHeight="1" thickBot="1">
      <c r="A3" s="247" t="s">
        <v>85</v>
      </c>
      <c r="B3" s="248">
        <f ca="1">ROUND(B2*10000/'数据-汇总表'!E3,0)</f>
        <v>8677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2002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1900</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92</v>
      </c>
      <c r="D24" s="282"/>
      <c r="E24" s="282"/>
      <c r="F24" s="283"/>
      <c r="G24" s="284" t="s">
        <v>109</v>
      </c>
    </row>
    <row r="25" spans="1:7" s="258" customFormat="1" ht="24">
      <c r="A25" s="953" t="s">
        <v>793</v>
      </c>
      <c r="B25" s="259" t="s">
        <v>1058</v>
      </c>
      <c r="C25" s="1355">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3732</v>
      </c>
      <c r="D27" s="279">
        <f>C29</f>
        <v>1.6999999999999999E-3</v>
      </c>
      <c r="E27" s="280" t="s">
        <v>126</v>
      </c>
      <c r="F27" s="290">
        <f>'数据-取费表'!Q16</f>
        <v>0.18</v>
      </c>
      <c r="G27" s="291" t="s">
        <v>1069</v>
      </c>
    </row>
    <row r="28" spans="1:7" s="258" customFormat="1" ht="13.5" customHeight="1">
      <c r="A28" s="953" t="s">
        <v>794</v>
      </c>
      <c r="B28" s="292" t="s">
        <v>1062</v>
      </c>
      <c r="C28" s="293">
        <f>ROUND((C5+C19+C20)*F27*'数据-取费表'!B21/'数据-取费表'!B20,0)</f>
        <v>3732</v>
      </c>
      <c r="D28" s="279"/>
      <c r="E28" s="280"/>
      <c r="F28" s="290"/>
      <c r="G28" s="291"/>
    </row>
    <row r="29" spans="1:7" s="258" customFormat="1" ht="13.5" customHeight="1">
      <c r="A29" s="953" t="s">
        <v>792</v>
      </c>
      <c r="B29" s="292" t="s">
        <v>1063</v>
      </c>
      <c r="C29" s="282">
        <f>ROUND(C21*F27*'数据-取费表'!B21/'数据-取费表'!B20,4)</f>
        <v>1.6999999999999999E-3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10383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8907</v>
      </c>
      <c r="D34" s="261"/>
      <c r="E34" s="264"/>
      <c r="F34" s="301">
        <f>IF('数据-取费表'!B24=0,1,'数据-取费表'!N16)</f>
        <v>0.9</v>
      </c>
      <c r="G34" s="263" t="s">
        <v>116</v>
      </c>
    </row>
    <row r="35" spans="1:7" ht="13.5" customHeight="1">
      <c r="A35" s="953" t="s">
        <v>796</v>
      </c>
      <c r="B35" s="259" t="s">
        <v>60</v>
      </c>
      <c r="C35" s="264">
        <f>ROUND(C34*F35,0)</f>
        <v>445</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897</v>
      </c>
      <c r="D37" s="261">
        <f>'数据-汇总表'!E3</f>
        <v>49833.960000000014</v>
      </c>
      <c r="E37" s="293">
        <f>'数据-取费表'!B35</f>
        <v>200</v>
      </c>
      <c r="F37" s="303"/>
      <c r="G37" s="305" t="s">
        <v>119</v>
      </c>
    </row>
    <row r="38" spans="1:7" ht="13.5" customHeight="1">
      <c r="A38" s="953" t="s">
        <v>799</v>
      </c>
      <c r="B38" s="259" t="s">
        <v>63</v>
      </c>
      <c r="C38" s="264">
        <f>ROUND(C34*F38,0)</f>
        <v>134</v>
      </c>
      <c r="D38" s="264"/>
      <c r="E38" s="264"/>
      <c r="F38" s="303">
        <f>'数据-取费表'!B36</f>
        <v>1.4999999999999999E-2</v>
      </c>
      <c r="G38" s="263" t="s">
        <v>117</v>
      </c>
    </row>
    <row r="39" spans="1:7" s="258" customFormat="1" ht="13.5" customHeight="1">
      <c r="A39" s="950" t="s">
        <v>783</v>
      </c>
      <c r="B39" s="254" t="s">
        <v>104</v>
      </c>
      <c r="C39" s="276">
        <f>ROUND(C33*F20,0)</f>
        <v>104</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473</v>
      </c>
      <c r="D41" s="279">
        <f ca="1">C44</f>
        <v>5.0000000000000001E-4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468</v>
      </c>
      <c r="D42" s="282"/>
      <c r="E42" s="282"/>
      <c r="F42" s="283"/>
      <c r="G42" s="3198" t="s">
        <v>121</v>
      </c>
    </row>
    <row r="43" spans="1:7" ht="13.5" customHeight="1">
      <c r="A43" s="953" t="s">
        <v>792</v>
      </c>
      <c r="B43" s="259" t="s">
        <v>1064</v>
      </c>
      <c r="C43" s="282">
        <f ca="1">ROUND(IF('数据-取费表'!B22&lt;=1,C39*F22*'数据-取费表'!B21/2,C39*(POWER((1+F22),'数据-取费表'!B21/2)-1)),0)</f>
        <v>5</v>
      </c>
      <c r="D43" s="282"/>
      <c r="E43" s="282"/>
      <c r="F43" s="283"/>
      <c r="G43" s="3199"/>
    </row>
    <row r="44" spans="1:7" ht="13.5" customHeight="1">
      <c r="A44" s="953" t="s">
        <v>793</v>
      </c>
      <c r="B44" s="259" t="s">
        <v>1066</v>
      </c>
      <c r="C44" s="282">
        <f ca="1">ROUND(IF('数据-取费表'!B22&lt;=1,C40*F22*'数据-取费表'!B21/2,C40*(POWER((1+F22),'数据-取费表'!B21/2)-1)),4)</f>
        <v>5.0000000000000001E-4</v>
      </c>
      <c r="D44" s="282"/>
      <c r="E44" s="282"/>
      <c r="F44" s="283"/>
      <c r="G44" s="3200"/>
    </row>
    <row r="45" spans="1:7" s="258" customFormat="1" ht="13.5" customHeight="1">
      <c r="A45" s="950" t="s">
        <v>786</v>
      </c>
      <c r="B45" s="288" t="s">
        <v>112</v>
      </c>
      <c r="C45" s="289">
        <f>C46</f>
        <v>1888</v>
      </c>
      <c r="D45" s="279">
        <f>C47</f>
        <v>1.8E-3</v>
      </c>
      <c r="E45" s="280" t="s">
        <v>129</v>
      </c>
      <c r="F45" s="290"/>
      <c r="G45" s="291" t="s">
        <v>1072</v>
      </c>
    </row>
    <row r="46" spans="1:7" s="258" customFormat="1" ht="13.5" customHeight="1">
      <c r="A46" s="953" t="s">
        <v>794</v>
      </c>
      <c r="B46" s="292" t="s">
        <v>1065</v>
      </c>
      <c r="C46" s="293">
        <f>ROUND((C33+C39)*F27,0)</f>
        <v>1888</v>
      </c>
      <c r="D46" s="307"/>
      <c r="E46" s="280"/>
      <c r="F46" s="290"/>
      <c r="G46" s="291"/>
    </row>
    <row r="47" spans="1:7" s="258" customFormat="1" ht="13.5" customHeight="1">
      <c r="A47" s="953" t="s">
        <v>792</v>
      </c>
      <c r="B47" s="292" t="s">
        <v>1067</v>
      </c>
      <c r="C47" s="282">
        <f>ROUND(C40*F27,4)</f>
        <v>1.8E-3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13750</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13750</v>
      </c>
      <c r="D51" s="276"/>
      <c r="E51" s="276"/>
      <c r="F51" s="308"/>
      <c r="G51" s="278" t="s">
        <v>64</v>
      </c>
    </row>
    <row r="52" spans="1:7" s="252" customFormat="1" ht="16.5" thickBot="1">
      <c r="A52" s="309" t="s">
        <v>65</v>
      </c>
      <c r="B52" s="310"/>
      <c r="C52" s="311">
        <f ca="1">C31+C51</f>
        <v>43240</v>
      </c>
      <c r="D52" s="310"/>
      <c r="E52" s="310"/>
      <c r="F52" s="310"/>
      <c r="G52" s="312"/>
    </row>
    <row r="55" spans="1:7" ht="15">
      <c r="B55" s="314" t="s">
        <v>66</v>
      </c>
      <c r="C55" s="315"/>
    </row>
    <row r="56" spans="1:7">
      <c r="B56" s="317" t="s">
        <v>67</v>
      </c>
      <c r="C56" s="318">
        <f ca="1">ROUND(C51/C52,3)</f>
        <v>0.318</v>
      </c>
    </row>
    <row r="57" spans="1:7">
      <c r="B57" s="317" t="s">
        <v>68</v>
      </c>
      <c r="C57" s="319">
        <f ca="1">1-C56</f>
        <v>0.68199999999999994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871</v>
      </c>
      <c r="B1" s="333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7"/>
  <sheetViews>
    <sheetView topLeftCell="A247" workbookViewId="0">
      <selection activeCell="O262" sqref="O262"/>
    </sheetView>
  </sheetViews>
  <sheetFormatPr defaultRowHeight="13.5"/>
  <cols>
    <col min="3" max="3" width="14.125" customWidth="1"/>
    <col min="37" max="37" width="23.25" customWidth="1"/>
  </cols>
  <sheetData>
    <row r="1" spans="1:40" s="1634" customFormat="1">
      <c r="A1" s="1634" t="s">
        <v>3150</v>
      </c>
      <c r="B1" s="1634" t="s">
        <v>3151</v>
      </c>
      <c r="C1" s="1634" t="s">
        <v>3152</v>
      </c>
      <c r="D1" s="1634" t="s">
        <v>3186</v>
      </c>
      <c r="E1" s="1634" t="s">
        <v>3187</v>
      </c>
      <c r="F1" s="1634" t="s">
        <v>3188</v>
      </c>
      <c r="G1" s="1634" t="s">
        <v>3189</v>
      </c>
      <c r="H1" s="1634" t="s">
        <v>3190</v>
      </c>
      <c r="I1" s="1634" t="s">
        <v>3191</v>
      </c>
      <c r="J1" s="1634" t="s">
        <v>3153</v>
      </c>
      <c r="K1" s="1634" t="s">
        <v>3154</v>
      </c>
      <c r="L1" s="1634" t="s">
        <v>3155</v>
      </c>
      <c r="M1" s="1634" t="s">
        <v>3192</v>
      </c>
      <c r="N1" s="1634" t="s">
        <v>3193</v>
      </c>
      <c r="O1" s="1634" t="s">
        <v>3194</v>
      </c>
      <c r="P1" s="1634" t="s">
        <v>3195</v>
      </c>
      <c r="Q1" s="1634" t="s">
        <v>3196</v>
      </c>
      <c r="R1" s="1634" t="s">
        <v>3197</v>
      </c>
      <c r="S1" s="1634" t="s">
        <v>3198</v>
      </c>
      <c r="T1" s="1634" t="s">
        <v>3199</v>
      </c>
      <c r="U1" s="1634" t="s">
        <v>3200</v>
      </c>
      <c r="V1" s="1634" t="s">
        <v>3201</v>
      </c>
      <c r="W1" s="1634" t="s">
        <v>3202</v>
      </c>
      <c r="X1" s="1634" t="s">
        <v>3156</v>
      </c>
      <c r="Y1" s="1634" t="s">
        <v>3203</v>
      </c>
      <c r="Z1" s="1634" t="s">
        <v>3204</v>
      </c>
      <c r="AA1" s="1634" t="s">
        <v>3157</v>
      </c>
      <c r="AB1" s="1634" t="s">
        <v>3205</v>
      </c>
      <c r="AC1" s="1634" t="s">
        <v>3158</v>
      </c>
      <c r="AD1" s="1634" t="s">
        <v>3206</v>
      </c>
      <c r="AE1" s="1634" t="s">
        <v>3159</v>
      </c>
      <c r="AF1" s="1634" t="s">
        <v>3207</v>
      </c>
      <c r="AG1" s="1634" t="s">
        <v>3160</v>
      </c>
      <c r="AH1" s="2993" t="s">
        <v>3214</v>
      </c>
      <c r="AI1" s="1634" t="s">
        <v>3208</v>
      </c>
      <c r="AJ1" s="1634" t="s">
        <v>3161</v>
      </c>
      <c r="AK1" s="1634" t="s">
        <v>3209</v>
      </c>
      <c r="AL1" s="1634" t="s">
        <v>3210</v>
      </c>
      <c r="AM1" s="1634" t="s">
        <v>3211</v>
      </c>
      <c r="AN1" s="1634" t="s">
        <v>3212</v>
      </c>
    </row>
    <row r="2" spans="1:40" s="1634" customFormat="1" ht="14.25">
      <c r="A2" s="2992" t="s">
        <v>3213</v>
      </c>
      <c r="B2" s="1634" t="s">
        <v>3029</v>
      </c>
      <c r="C2" s="1634" t="s">
        <v>3162</v>
      </c>
      <c r="D2" s="1634" t="s">
        <v>3163</v>
      </c>
      <c r="E2" s="1634" t="s">
        <v>1331</v>
      </c>
      <c r="F2" s="1634" t="s">
        <v>3164</v>
      </c>
      <c r="G2" s="1634" t="s">
        <v>3165</v>
      </c>
      <c r="H2" s="1634" t="s">
        <v>3166</v>
      </c>
      <c r="I2" s="1634" t="s">
        <v>3167</v>
      </c>
      <c r="J2" s="1634">
        <v>27295.08</v>
      </c>
      <c r="K2" s="1634">
        <v>160000</v>
      </c>
      <c r="L2" s="1634">
        <v>5.8</v>
      </c>
      <c r="M2" s="1634" t="s">
        <v>1331</v>
      </c>
      <c r="N2" s="1634" t="s">
        <v>1331</v>
      </c>
      <c r="O2" s="1634" t="s">
        <v>1331</v>
      </c>
      <c r="P2" s="1634" t="s">
        <v>1331</v>
      </c>
      <c r="Q2" s="1634" t="s">
        <v>1331</v>
      </c>
      <c r="R2" s="1634" t="s">
        <v>3168</v>
      </c>
      <c r="S2" s="1634" t="s">
        <v>3168</v>
      </c>
      <c r="T2" s="1634" t="s">
        <v>1331</v>
      </c>
      <c r="U2" s="1634" t="s">
        <v>3169</v>
      </c>
      <c r="V2" s="1634" t="s">
        <v>3170</v>
      </c>
      <c r="W2" s="1634" t="s">
        <v>3171</v>
      </c>
      <c r="X2" s="1634" t="s">
        <v>3171</v>
      </c>
      <c r="Y2" s="1634" t="s">
        <v>3166</v>
      </c>
      <c r="Z2" s="1634" t="s">
        <v>3172</v>
      </c>
      <c r="AA2" s="1634" t="s">
        <v>3173</v>
      </c>
      <c r="AB2" s="1634">
        <v>432000</v>
      </c>
      <c r="AC2" s="1634">
        <v>434000</v>
      </c>
      <c r="AD2" s="1634">
        <v>10551.35</v>
      </c>
      <c r="AE2" s="1634">
        <v>10600.2</v>
      </c>
      <c r="AF2" s="1634">
        <v>27000</v>
      </c>
      <c r="AG2" s="1634">
        <v>27125</v>
      </c>
      <c r="AH2" s="1634">
        <f t="shared" ref="AH2:AH4" si="0">ROUND(AC2*10000/J2,0)</f>
        <v>159003</v>
      </c>
      <c r="AI2" s="1634" t="s">
        <v>1331</v>
      </c>
      <c r="AJ2" s="1634">
        <v>0.46</v>
      </c>
      <c r="AK2" s="1634" t="s">
        <v>3174</v>
      </c>
      <c r="AL2" s="1634" t="s">
        <v>1331</v>
      </c>
      <c r="AM2" s="1634" t="s">
        <v>1331</v>
      </c>
      <c r="AN2" s="1634" t="s">
        <v>1331</v>
      </c>
    </row>
    <row r="3" spans="1:40" s="1634" customFormat="1">
      <c r="A3" s="1634" t="s">
        <v>3175</v>
      </c>
      <c r="B3" s="1634" t="s">
        <v>3029</v>
      </c>
      <c r="C3" s="1634" t="s">
        <v>3162</v>
      </c>
      <c r="D3" s="1634" t="s">
        <v>3163</v>
      </c>
      <c r="E3" s="1634" t="s">
        <v>1331</v>
      </c>
      <c r="F3" s="1634" t="s">
        <v>3176</v>
      </c>
      <c r="G3" s="1634" t="s">
        <v>3165</v>
      </c>
      <c r="H3" s="1634" t="s">
        <v>3177</v>
      </c>
      <c r="I3" s="1634" t="s">
        <v>3178</v>
      </c>
      <c r="J3" s="1634">
        <v>14788.3</v>
      </c>
      <c r="K3" s="1634">
        <v>59153</v>
      </c>
      <c r="L3" s="1634">
        <v>4</v>
      </c>
      <c r="M3" s="1634" t="s">
        <v>1331</v>
      </c>
      <c r="N3" s="1634" t="s">
        <v>1331</v>
      </c>
      <c r="O3" s="1634" t="s">
        <v>1331</v>
      </c>
      <c r="P3" s="1634" t="s">
        <v>1331</v>
      </c>
      <c r="Q3" s="1634" t="s">
        <v>1331</v>
      </c>
      <c r="R3" s="1634" t="s">
        <v>1331</v>
      </c>
      <c r="S3" s="1634" t="s">
        <v>1331</v>
      </c>
      <c r="T3" s="1634" t="s">
        <v>1331</v>
      </c>
      <c r="U3" s="1634" t="s">
        <v>3179</v>
      </c>
      <c r="V3" s="1634" t="s">
        <v>3180</v>
      </c>
      <c r="W3" s="1634" t="s">
        <v>3181</v>
      </c>
      <c r="X3" s="1634" t="s">
        <v>3181</v>
      </c>
      <c r="Y3" s="1634" t="s">
        <v>3177</v>
      </c>
      <c r="Z3" s="1634" t="s">
        <v>3172</v>
      </c>
      <c r="AA3" s="1634" t="s">
        <v>3182</v>
      </c>
      <c r="AB3" s="1634">
        <v>71500</v>
      </c>
      <c r="AC3" s="1634">
        <v>176000</v>
      </c>
      <c r="AD3" s="1634">
        <v>3223.27</v>
      </c>
      <c r="AE3" s="1634">
        <v>7934.2</v>
      </c>
      <c r="AF3" s="1634">
        <v>12087.29</v>
      </c>
      <c r="AG3" s="1634">
        <v>29753.34</v>
      </c>
      <c r="AH3" s="1634">
        <f t="shared" si="0"/>
        <v>119013</v>
      </c>
      <c r="AI3" s="1634" t="s">
        <v>1331</v>
      </c>
      <c r="AJ3" s="1634">
        <v>146.15</v>
      </c>
      <c r="AK3" s="1634" t="s">
        <v>3183</v>
      </c>
      <c r="AL3" s="1634" t="s">
        <v>1331</v>
      </c>
      <c r="AM3" s="1634" t="s">
        <v>1331</v>
      </c>
      <c r="AN3" s="1634" t="s">
        <v>1331</v>
      </c>
    </row>
    <row r="4" spans="1:40" s="1634" customFormat="1">
      <c r="A4" s="1634" t="s">
        <v>3184</v>
      </c>
      <c r="B4" s="1634" t="s">
        <v>3029</v>
      </c>
      <c r="C4" s="1634" t="s">
        <v>3162</v>
      </c>
      <c r="D4" s="1634" t="s">
        <v>3163</v>
      </c>
      <c r="E4" s="1634" t="s">
        <v>1331</v>
      </c>
      <c r="F4" s="1634" t="s">
        <v>3176</v>
      </c>
      <c r="G4" s="1634" t="s">
        <v>3165</v>
      </c>
      <c r="H4" s="1634" t="s">
        <v>3185</v>
      </c>
      <c r="I4" s="1634" t="s">
        <v>3178</v>
      </c>
      <c r="J4" s="1634">
        <v>29500</v>
      </c>
      <c r="K4" s="1634">
        <v>118000</v>
      </c>
      <c r="L4" s="1634">
        <v>4</v>
      </c>
      <c r="M4" s="1634" t="s">
        <v>1331</v>
      </c>
      <c r="N4" s="1634" t="s">
        <v>1331</v>
      </c>
      <c r="O4" s="1634" t="s">
        <v>1331</v>
      </c>
      <c r="P4" s="1634" t="s">
        <v>1331</v>
      </c>
      <c r="Q4" s="1634" t="s">
        <v>1331</v>
      </c>
      <c r="R4" s="1634" t="s">
        <v>1331</v>
      </c>
      <c r="S4" s="1634" t="s">
        <v>1331</v>
      </c>
      <c r="T4" s="1634" t="s">
        <v>1331</v>
      </c>
      <c r="U4" s="1634" t="s">
        <v>3179</v>
      </c>
      <c r="V4" s="1634" t="s">
        <v>3180</v>
      </c>
      <c r="W4" s="1634" t="s">
        <v>3181</v>
      </c>
      <c r="X4" s="1634" t="s">
        <v>3181</v>
      </c>
      <c r="Y4" s="1634" t="s">
        <v>3185</v>
      </c>
      <c r="Z4" s="1634" t="s">
        <v>3172</v>
      </c>
      <c r="AA4" s="1634" t="s">
        <v>3182</v>
      </c>
      <c r="AB4" s="1634">
        <v>142000</v>
      </c>
      <c r="AC4" s="1634">
        <v>342000</v>
      </c>
      <c r="AD4" s="1634">
        <v>3209.04</v>
      </c>
      <c r="AE4" s="1634">
        <v>7728.81</v>
      </c>
      <c r="AF4" s="1634">
        <v>12033.89</v>
      </c>
      <c r="AG4" s="1634">
        <v>28983.040000000001</v>
      </c>
      <c r="AH4" s="1634">
        <f t="shared" si="0"/>
        <v>115932</v>
      </c>
      <c r="AI4" s="1634" t="s">
        <v>1331</v>
      </c>
      <c r="AJ4" s="1634">
        <v>140.85</v>
      </c>
      <c r="AK4" s="1634" t="s">
        <v>3183</v>
      </c>
      <c r="AL4" s="1634" t="s">
        <v>1331</v>
      </c>
      <c r="AM4" s="1634" t="s">
        <v>1331</v>
      </c>
      <c r="AN4" s="1634" t="s">
        <v>1331</v>
      </c>
    </row>
    <row r="6" spans="1:40">
      <c r="A6" s="1634" t="s">
        <v>3253</v>
      </c>
      <c r="B6" s="1634" t="s">
        <v>3186</v>
      </c>
      <c r="C6" s="1634" t="s">
        <v>3187</v>
      </c>
      <c r="D6" s="1634" t="s">
        <v>3254</v>
      </c>
      <c r="E6" s="1634" t="s">
        <v>3255</v>
      </c>
      <c r="F6" s="1634" t="s">
        <v>3256</v>
      </c>
      <c r="G6" s="1634" t="s">
        <v>3257</v>
      </c>
      <c r="H6" s="1634" t="s">
        <v>3258</v>
      </c>
      <c r="I6" s="1634" t="s">
        <v>3259</v>
      </c>
      <c r="J6" s="1634" t="s">
        <v>3260</v>
      </c>
    </row>
    <row r="7" spans="1:40">
      <c r="A7" s="3339" t="s">
        <v>3293</v>
      </c>
      <c r="B7" s="1634" t="s">
        <v>3261</v>
      </c>
      <c r="C7" s="1634" t="s">
        <v>3262</v>
      </c>
      <c r="D7" s="1634" t="s">
        <v>3263</v>
      </c>
      <c r="E7" s="1634">
        <v>69</v>
      </c>
      <c r="F7" s="1634">
        <v>7205</v>
      </c>
      <c r="G7" s="1634">
        <v>58342</v>
      </c>
      <c r="H7" s="1634">
        <v>42038.23</v>
      </c>
      <c r="I7" s="1634">
        <v>609.25</v>
      </c>
      <c r="J7" s="1634">
        <v>104</v>
      </c>
    </row>
    <row r="8" spans="1:40">
      <c r="A8" s="1634" t="s">
        <v>3264</v>
      </c>
      <c r="B8" s="1634" t="s">
        <v>3261</v>
      </c>
      <c r="C8" s="1634" t="s">
        <v>3265</v>
      </c>
      <c r="D8" s="1634" t="s">
        <v>3266</v>
      </c>
      <c r="E8" s="1634">
        <v>13</v>
      </c>
      <c r="F8" s="1634">
        <v>1494</v>
      </c>
      <c r="G8" s="1634">
        <v>21383</v>
      </c>
      <c r="H8" s="1634">
        <v>3193.65</v>
      </c>
      <c r="I8" s="1634">
        <v>245.67</v>
      </c>
      <c r="J8" s="1634">
        <v>115</v>
      </c>
    </row>
    <row r="9" spans="1:40" ht="14.25" thickBot="1">
      <c r="A9" s="3011" t="s">
        <v>3291</v>
      </c>
      <c r="B9" s="3005" t="s">
        <v>3261</v>
      </c>
      <c r="C9" s="3005" t="s">
        <v>3267</v>
      </c>
      <c r="D9" s="3005" t="s">
        <v>3266</v>
      </c>
      <c r="E9" s="3005">
        <v>6</v>
      </c>
      <c r="F9" s="3005">
        <v>637</v>
      </c>
      <c r="G9" s="3005">
        <v>40895</v>
      </c>
      <c r="H9" s="3005">
        <v>2604.71</v>
      </c>
      <c r="I9" s="3005">
        <v>434.12</v>
      </c>
      <c r="J9" s="3005">
        <v>106</v>
      </c>
      <c r="K9" s="3007">
        <v>43121</v>
      </c>
      <c r="L9" s="3008" t="s">
        <v>3282</v>
      </c>
      <c r="M9" s="3008" t="s">
        <v>1331</v>
      </c>
      <c r="N9" s="3009">
        <v>106</v>
      </c>
      <c r="O9" s="3008" t="s">
        <v>3283</v>
      </c>
      <c r="P9" s="3008" t="s">
        <v>1377</v>
      </c>
      <c r="Q9" s="3008" t="s">
        <v>3284</v>
      </c>
      <c r="R9" s="3009">
        <v>68</v>
      </c>
      <c r="S9" s="3009">
        <v>279.69</v>
      </c>
      <c r="T9" s="3009">
        <v>40896</v>
      </c>
    </row>
    <row r="10" spans="1:40">
      <c r="A10" s="3005" t="s">
        <v>3268</v>
      </c>
      <c r="B10" s="3005" t="s">
        <v>3261</v>
      </c>
      <c r="C10" s="3005" t="s">
        <v>3267</v>
      </c>
      <c r="D10" s="3005" t="s">
        <v>3269</v>
      </c>
      <c r="E10" s="3005">
        <v>5</v>
      </c>
      <c r="F10" s="3005">
        <v>631</v>
      </c>
      <c r="G10" s="3005">
        <v>48321</v>
      </c>
      <c r="H10" s="3005">
        <v>3046.74</v>
      </c>
      <c r="I10" s="3005">
        <v>609.35</v>
      </c>
      <c r="J10" s="3005">
        <v>126</v>
      </c>
    </row>
    <row r="11" spans="1:40">
      <c r="A11" s="1634" t="s">
        <v>3270</v>
      </c>
      <c r="B11" s="1634" t="s">
        <v>3261</v>
      </c>
      <c r="C11" s="1634" t="s">
        <v>3267</v>
      </c>
      <c r="D11" s="1634" t="s">
        <v>3271</v>
      </c>
      <c r="E11" s="1634">
        <v>4</v>
      </c>
      <c r="F11" s="1634">
        <v>413</v>
      </c>
      <c r="G11" s="1634">
        <v>29330</v>
      </c>
      <c r="H11" s="1634">
        <v>1212.4000000000001</v>
      </c>
      <c r="I11" s="1634">
        <v>303.10000000000002</v>
      </c>
      <c r="J11" s="1634">
        <v>103</v>
      </c>
    </row>
    <row r="12" spans="1:40">
      <c r="A12" s="1634" t="s">
        <v>3272</v>
      </c>
      <c r="B12" s="1634" t="s">
        <v>3261</v>
      </c>
      <c r="C12" s="1634" t="s">
        <v>3262</v>
      </c>
      <c r="D12" s="1634" t="s">
        <v>3266</v>
      </c>
      <c r="E12" s="1634">
        <v>4</v>
      </c>
      <c r="F12" s="1634">
        <v>7344</v>
      </c>
      <c r="G12" s="1634">
        <v>16000</v>
      </c>
      <c r="H12" s="1634">
        <v>11750.62</v>
      </c>
      <c r="I12" s="1634">
        <v>2937.66</v>
      </c>
      <c r="J12" s="1634">
        <v>1836</v>
      </c>
    </row>
    <row r="13" spans="1:40" ht="14.25" thickBot="1">
      <c r="A13" s="3005" t="s">
        <v>3273</v>
      </c>
      <c r="B13" s="3005" t="s">
        <v>3261</v>
      </c>
      <c r="C13" s="3011" t="s">
        <v>3292</v>
      </c>
      <c r="D13" s="3005" t="s">
        <v>3266</v>
      </c>
      <c r="E13" s="3005">
        <v>4</v>
      </c>
      <c r="F13" s="3005">
        <v>1393</v>
      </c>
      <c r="G13" s="3005">
        <v>40756</v>
      </c>
      <c r="H13" s="3005">
        <v>5678.83</v>
      </c>
      <c r="I13" s="3005">
        <v>1419.71</v>
      </c>
      <c r="J13" s="3005">
        <v>348</v>
      </c>
      <c r="K13" s="3007">
        <v>43110</v>
      </c>
      <c r="L13" s="3008" t="s">
        <v>3285</v>
      </c>
      <c r="M13" s="3008" t="s">
        <v>1331</v>
      </c>
      <c r="N13" s="3009">
        <v>102</v>
      </c>
      <c r="O13" s="3008" t="s">
        <v>3286</v>
      </c>
      <c r="P13" s="3008" t="s">
        <v>1377</v>
      </c>
      <c r="Q13" s="3008" t="s">
        <v>3287</v>
      </c>
      <c r="R13" s="3009">
        <v>786</v>
      </c>
      <c r="S13" s="3009">
        <v>3831.15</v>
      </c>
      <c r="T13" s="3009">
        <v>48753</v>
      </c>
    </row>
    <row r="14" spans="1:40">
      <c r="A14" s="1634" t="s">
        <v>3274</v>
      </c>
      <c r="B14" s="1634" t="s">
        <v>3261</v>
      </c>
      <c r="C14" s="1634" t="s">
        <v>3265</v>
      </c>
      <c r="D14" s="1634" t="s">
        <v>3266</v>
      </c>
      <c r="E14" s="1634">
        <v>2</v>
      </c>
      <c r="F14" s="1634">
        <v>421</v>
      </c>
      <c r="G14" s="1634">
        <v>36659</v>
      </c>
      <c r="H14" s="1634">
        <v>1541.7</v>
      </c>
      <c r="I14" s="1634">
        <v>770.85</v>
      </c>
      <c r="J14" s="1634">
        <v>210</v>
      </c>
    </row>
    <row r="15" spans="1:40">
      <c r="A15" s="1634" t="s">
        <v>3275</v>
      </c>
      <c r="B15" s="1634" t="s">
        <v>3261</v>
      </c>
      <c r="C15" s="1634" t="s">
        <v>3265</v>
      </c>
      <c r="D15" s="1634" t="s">
        <v>3276</v>
      </c>
      <c r="E15" s="1634">
        <v>1</v>
      </c>
      <c r="F15" s="1634">
        <v>190</v>
      </c>
      <c r="G15" s="1634">
        <v>17328</v>
      </c>
      <c r="H15" s="1634">
        <v>329.18</v>
      </c>
      <c r="I15" s="1634">
        <v>329.18</v>
      </c>
      <c r="J15" s="1634">
        <v>190</v>
      </c>
    </row>
    <row r="16" spans="1:40">
      <c r="A16" s="1634" t="s">
        <v>3277</v>
      </c>
      <c r="B16" s="1634" t="s">
        <v>3261</v>
      </c>
      <c r="C16" s="1634" t="s">
        <v>3262</v>
      </c>
      <c r="D16" s="1634" t="s">
        <v>3278</v>
      </c>
      <c r="E16" s="1634">
        <v>1</v>
      </c>
      <c r="F16" s="1634">
        <v>463</v>
      </c>
      <c r="G16" s="1634">
        <v>36308</v>
      </c>
      <c r="H16" s="1634">
        <v>1679.41</v>
      </c>
      <c r="I16" s="1634">
        <v>1679.41</v>
      </c>
      <c r="J16" s="1634">
        <v>463</v>
      </c>
    </row>
    <row r="17" spans="1:10">
      <c r="A17" s="1634" t="s">
        <v>3279</v>
      </c>
      <c r="B17" s="1634" t="s">
        <v>3266</v>
      </c>
      <c r="C17" s="1634" t="s">
        <v>3266</v>
      </c>
      <c r="D17" s="1634" t="s">
        <v>3266</v>
      </c>
      <c r="E17" s="1634">
        <v>109</v>
      </c>
      <c r="F17" s="1634">
        <v>20190</v>
      </c>
      <c r="G17" s="1634">
        <v>36193</v>
      </c>
      <c r="H17" s="1634">
        <v>73075.48</v>
      </c>
      <c r="I17" s="1634">
        <v>670.42</v>
      </c>
      <c r="J17" s="1634">
        <v>185</v>
      </c>
    </row>
  </sheetData>
  <phoneticPr fontId="143" type="noConversion"/>
  <pageMargins left="0.7" right="0.7" top="0.75" bottom="0.75" header="0.3" footer="0.3"/>
  <pageSetup paperSize="9" scale="2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4:O72"/>
  <sheetViews>
    <sheetView workbookViewId="0">
      <selection activeCell="Q50" sqref="Q50"/>
    </sheetView>
  </sheetViews>
  <sheetFormatPr defaultRowHeight="13.5"/>
  <sheetData>
    <row r="14" spans="15:15">
      <c r="O14">
        <v>5</v>
      </c>
    </row>
    <row r="15" spans="15:15">
      <c r="O15">
        <v>-3</v>
      </c>
    </row>
    <row r="71" spans="15:15">
      <c r="O71">
        <v>5</v>
      </c>
    </row>
    <row r="72" spans="15:15">
      <c r="O72">
        <v>-1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40" sqref="P4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1642</v>
      </c>
      <c r="B2" s="3024" t="s">
        <v>1643</v>
      </c>
      <c r="C2" s="3024" t="s">
        <v>1644</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25"/>
      <c r="B3" s="3025"/>
      <c r="C3" s="3025"/>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14638.63</v>
      </c>
      <c r="D4" s="1045">
        <f ca="1">结果表!D118</f>
        <v>127610</v>
      </c>
      <c r="E4" s="1045">
        <f ca="1">结果表!E118</f>
        <v>25607</v>
      </c>
      <c r="F4" s="1045">
        <f ca="1">结果表!F118</f>
        <v>9901</v>
      </c>
      <c r="G4" s="1045">
        <f ca="1">结果表!G118</f>
        <v>1987</v>
      </c>
      <c r="H4" s="1045">
        <f ca="1">结果表!H118</f>
        <v>137511</v>
      </c>
      <c r="I4" s="1045">
        <f ca="1">结果表!I118</f>
        <v>27594</v>
      </c>
    </row>
    <row r="5" spans="1:9" ht="30" customHeight="1">
      <c r="A5" s="3025" t="s">
        <v>1641</v>
      </c>
      <c r="B5" s="3025"/>
      <c r="C5" s="3025"/>
      <c r="D5" s="3026" t="str">
        <f ca="1">结果表!D119</f>
        <v>壹拾贰亿柒仟陆佰壹拾万元整</v>
      </c>
      <c r="E5" s="3026"/>
      <c r="F5" s="3026" t="str">
        <f ca="1">结果表!F119</f>
        <v>玖仟玖佰零壹万元整</v>
      </c>
      <c r="G5" s="3026"/>
      <c r="H5" s="3026" t="str">
        <f ca="1">结果表!H119</f>
        <v>壹拾叁亿柒仟伍佰壹拾壹万元整</v>
      </c>
      <c r="I5" s="3026"/>
    </row>
    <row r="6" spans="1:9" ht="15.75">
      <c r="A6" s="3027" t="str">
        <f>结果表!A120</f>
        <v>估价师知悉的法定优先受偿款</v>
      </c>
      <c r="B6" s="3027"/>
      <c r="C6" s="3027"/>
      <c r="D6" s="3027">
        <f>结果表!D120</f>
        <v>0</v>
      </c>
      <c r="E6" s="3027"/>
      <c r="F6" s="3027"/>
      <c r="G6" s="3027"/>
      <c r="H6" s="3027"/>
      <c r="I6" s="3027"/>
    </row>
    <row r="7" spans="1:9" ht="15">
      <c r="A7" s="3025" t="s">
        <v>1641</v>
      </c>
      <c r="B7" s="3025"/>
      <c r="C7" s="3025"/>
      <c r="D7" s="3028" t="str">
        <f>结果表!D121</f>
        <v>零元整</v>
      </c>
      <c r="E7" s="3029"/>
      <c r="F7" s="3029"/>
      <c r="G7" s="3029"/>
      <c r="H7" s="3029"/>
      <c r="I7" s="3030"/>
    </row>
    <row r="8" spans="1:9" ht="15.75">
      <c r="A8" s="3027" t="str">
        <f>结果表!A122</f>
        <v>房地产抵押价值</v>
      </c>
      <c r="B8" s="3027"/>
      <c r="C8" s="3027"/>
      <c r="D8" s="3027">
        <f ca="1">结果表!D122</f>
        <v>137511</v>
      </c>
      <c r="E8" s="3027"/>
      <c r="F8" s="3027"/>
      <c r="G8" s="3027"/>
      <c r="H8" s="3027"/>
      <c r="I8" s="3027"/>
    </row>
    <row r="9" spans="1:9" ht="15">
      <c r="A9" s="3025" t="s">
        <v>1641</v>
      </c>
      <c r="B9" s="3025"/>
      <c r="C9" s="3025"/>
      <c r="D9" s="3026" t="str">
        <f ca="1">结果表!D123</f>
        <v>壹拾叁亿柒仟伍佰壹拾壹万元整</v>
      </c>
      <c r="E9" s="3026"/>
      <c r="F9" s="3026"/>
      <c r="G9" s="3026"/>
      <c r="H9" s="3026"/>
      <c r="I9" s="3026"/>
    </row>
    <row r="10" spans="1:9" ht="15.75">
      <c r="A10" s="3027" t="str">
        <f>结果表!A124</f>
        <v/>
      </c>
      <c r="B10" s="3027"/>
      <c r="C10" s="3027"/>
      <c r="D10" s="3027" t="str">
        <f>结果表!D124</f>
        <v>——</v>
      </c>
      <c r="E10" s="3027"/>
      <c r="F10" s="3027"/>
      <c r="G10" s="3027"/>
      <c r="H10" s="3027"/>
      <c r="I10" s="3027"/>
    </row>
    <row r="11" spans="1:9" ht="15">
      <c r="A11" s="3025" t="s">
        <v>1641</v>
      </c>
      <c r="B11" s="3025"/>
      <c r="C11" s="3025"/>
      <c r="D11" s="3026" t="e">
        <f>结果表!D125</f>
        <v>#VALUE!</v>
      </c>
      <c r="E11" s="3026"/>
      <c r="F11" s="3026"/>
      <c r="G11" s="3026"/>
      <c r="H11" s="3026"/>
      <c r="I11" s="3026"/>
    </row>
    <row r="12" spans="1:9" ht="15.75">
      <c r="A12" s="3027" t="str">
        <f>结果表!A126</f>
        <v/>
      </c>
      <c r="B12" s="3027"/>
      <c r="C12" s="3027"/>
      <c r="D12" s="3027" t="str">
        <f>结果表!D126</f>
        <v>——</v>
      </c>
      <c r="E12" s="3027"/>
      <c r="F12" s="3027"/>
      <c r="G12" s="3027"/>
      <c r="H12" s="3027"/>
      <c r="I12" s="3027"/>
    </row>
    <row r="13" spans="1:9" ht="15.75" thickBot="1">
      <c r="A13" s="3031" t="s">
        <v>1641</v>
      </c>
      <c r="B13" s="3031"/>
      <c r="C13" s="3031"/>
      <c r="D13" s="3032" t="e">
        <f>结果表!D127</f>
        <v>#VALUE!</v>
      </c>
      <c r="E13" s="3032"/>
      <c r="F13" s="3032"/>
      <c r="G13" s="3032"/>
      <c r="H13" s="3032"/>
      <c r="I13" s="3032"/>
    </row>
    <row r="14" spans="1:9" ht="15" thickTop="1">
      <c r="A14" s="3033" t="s">
        <v>1646</v>
      </c>
      <c r="B14" s="3033"/>
      <c r="C14" s="3033"/>
      <c r="D14" s="3033"/>
      <c r="E14" s="3033"/>
      <c r="F14" s="3033"/>
      <c r="G14" s="3033"/>
      <c r="H14" s="3033"/>
      <c r="I14" s="3033"/>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4" t="s">
        <v>1663</v>
      </c>
      <c r="B1" s="3034"/>
      <c r="C1" s="3034"/>
      <c r="D1" s="3034"/>
    </row>
    <row r="2" spans="1:4" ht="18">
      <c r="A2" s="3035" t="s">
        <v>1647</v>
      </c>
      <c r="B2" s="3035"/>
      <c r="C2" s="3035"/>
      <c r="D2" s="3035"/>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35" t="s">
        <v>1653</v>
      </c>
      <c r="B6" s="3035"/>
      <c r="C6" s="3035"/>
      <c r="D6" s="3035"/>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36" t="s">
        <v>1656</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7" t="str">
        <f>IF(项目基本情况!B8="抵押","4.本次评估估价师所知悉的法定优先受偿款情况说明如下：","——")</f>
        <v>4.本次评估估价师所知悉的法定优先受偿款情况说明如下：</v>
      </c>
      <c r="B14" s="3038"/>
      <c r="C14" s="3038"/>
      <c r="D14" s="3038"/>
    </row>
    <row r="15" spans="1:4" ht="42" customHeight="1">
      <c r="A15" s="3037"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40" t="s">
        <v>1657</v>
      </c>
      <c r="B16" s="3040"/>
      <c r="C16" s="3040"/>
      <c r="D16" s="3040"/>
    </row>
    <row r="17" spans="1:4" ht="144" customHeight="1">
      <c r="A17" s="3040" t="s">
        <v>1658</v>
      </c>
      <c r="B17" s="3040"/>
      <c r="C17" s="3040"/>
      <c r="D17" s="3040"/>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1659</v>
      </c>
      <c r="B22" s="3042"/>
      <c r="C22" s="3042"/>
      <c r="D22" s="3042"/>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9">
        <v>42551</v>
      </c>
      <c r="D31" s="30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8" t="s">
        <v>1670</v>
      </c>
      <c r="B15" s="3043" t="s">
        <v>136</v>
      </c>
      <c r="C15" s="3044"/>
    </row>
    <row r="16" spans="1:7" ht="13.5">
      <c r="A16" s="3049"/>
      <c r="B16" s="3043" t="s">
        <v>69</v>
      </c>
      <c r="C16" s="3044"/>
    </row>
    <row r="17" spans="1:3" ht="13.5">
      <c r="A17" s="3049"/>
      <c r="B17" s="3046" t="s">
        <v>1671</v>
      </c>
      <c r="C17" s="1998" t="s">
        <v>1670</v>
      </c>
    </row>
    <row r="18" spans="1:3" ht="13.5">
      <c r="A18" s="3049"/>
      <c r="B18" s="3046"/>
      <c r="C18" s="1998" t="s">
        <v>1672</v>
      </c>
    </row>
    <row r="19" spans="1:3" ht="13.5">
      <c r="A19" s="3049"/>
      <c r="B19" s="3046"/>
      <c r="C19" s="1998" t="s">
        <v>1673</v>
      </c>
    </row>
    <row r="20" spans="1:3" ht="13.5">
      <c r="A20" s="3050"/>
      <c r="B20" s="3045" t="s">
        <v>1674</v>
      </c>
      <c r="C20" s="3044"/>
    </row>
    <row r="21" spans="1:3" ht="13.5">
      <c r="A21" s="1999" t="s">
        <v>1675</v>
      </c>
      <c r="B21" s="2000"/>
      <c r="C21" s="2001"/>
    </row>
    <row r="22" spans="1:3" ht="13.5">
      <c r="A22" s="3047" t="s">
        <v>1676</v>
      </c>
      <c r="B22" s="3045" t="s">
        <v>1677</v>
      </c>
      <c r="C22" s="3044"/>
    </row>
    <row r="23" spans="1:3" ht="13.5">
      <c r="A23" s="3047"/>
      <c r="B23" s="3045" t="s">
        <v>1678</v>
      </c>
      <c r="C23" s="3044"/>
    </row>
    <row r="24" spans="1:3" ht="13.5">
      <c r="A24" s="3047"/>
      <c r="B24" s="3045" t="s">
        <v>1679</v>
      </c>
      <c r="C24" s="3044"/>
    </row>
    <row r="25" spans="1:3" ht="13.5">
      <c r="A25" s="3047"/>
      <c r="B25" s="3046" t="s">
        <v>1680</v>
      </c>
      <c r="C25" s="1998" t="s">
        <v>1681</v>
      </c>
    </row>
    <row r="26" spans="1:3" ht="13.5">
      <c r="A26" s="3047"/>
      <c r="B26" s="3046"/>
      <c r="C26" s="1998" t="s">
        <v>1682</v>
      </c>
    </row>
    <row r="27" spans="1:3" ht="13.5">
      <c r="A27" s="3047"/>
      <c r="B27" s="3046"/>
      <c r="C27" s="1998" t="s">
        <v>1683</v>
      </c>
    </row>
    <row r="28" spans="1:3" ht="13.5">
      <c r="A28" s="3047"/>
      <c r="B28" s="3046"/>
      <c r="C28" s="1998" t="s">
        <v>1684</v>
      </c>
    </row>
    <row r="29" spans="1:3" ht="13.5">
      <c r="A29" s="3047"/>
      <c r="B29" s="3046"/>
      <c r="C29" s="1998" t="s">
        <v>1685</v>
      </c>
    </row>
    <row r="30" spans="1:3" ht="13.5">
      <c r="A30" s="3047"/>
      <c r="B30" s="3046"/>
      <c r="C30" s="1998" t="s">
        <v>1686</v>
      </c>
    </row>
    <row r="31" spans="1:3" ht="13.5">
      <c r="A31" s="3047"/>
      <c r="B31" s="3046"/>
      <c r="C31" s="1998" t="s">
        <v>1687</v>
      </c>
    </row>
    <row r="32" spans="1:3" ht="13.5">
      <c r="A32" s="3047"/>
      <c r="B32" s="3046"/>
      <c r="C32" s="1998" t="s">
        <v>1688</v>
      </c>
    </row>
    <row r="33" spans="1:3" ht="13.5">
      <c r="A33" s="3047"/>
      <c r="B33" s="3046"/>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43136</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51" t="s">
        <v>846</v>
      </c>
      <c r="B25" s="3051"/>
      <c r="C25" s="3051"/>
      <c r="D25" s="3051"/>
      <c r="E25" s="3051"/>
      <c r="F25" s="3051"/>
      <c r="G25" s="3051"/>
    </row>
    <row r="26" spans="1:7" s="1027" customFormat="1" ht="24" customHeight="1">
      <c r="A26" s="3052" t="s">
        <v>847</v>
      </c>
      <c r="B26" s="3052"/>
      <c r="C26" s="3053"/>
      <c r="D26" s="3054" t="s">
        <v>848</v>
      </c>
      <c r="E26" s="3052"/>
      <c r="F26" s="3052"/>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新房商业</vt:lpstr>
      <vt:lpstr>新房写字楼</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2018-02-05T01:19:08Z</cp:lastPrinted>
  <dcterms:created xsi:type="dcterms:W3CDTF">2015-07-13T07:17:23Z</dcterms:created>
  <dcterms:modified xsi:type="dcterms:W3CDTF">2018-02-05T02:51:03Z</dcterms:modified>
</cp:coreProperties>
</file>