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229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19" i="1" l="1"/>
  <c r="N21" i="1" s="1"/>
  <c r="Y6" i="1" s="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 i="73"/>
  <c r="F38" i="67"/>
  <c r="M8" i="67"/>
  <c r="B7" i="76"/>
  <c r="M26" i="15"/>
  <c r="J15" i="15"/>
  <c r="F8" i="15"/>
  <c r="M6" i="15"/>
  <c r="E2" i="69"/>
  <c r="E7" i="76"/>
  <c r="M22" i="67"/>
  <c r="AO13" i="1"/>
  <c r="F4" i="73"/>
  <c r="F13" i="15"/>
  <c r="B8" i="76"/>
  <c r="F37" i="67"/>
  <c r="B13" i="76"/>
  <c r="F7" i="73"/>
  <c r="F9" i="67"/>
  <c r="F40" i="15"/>
  <c r="F36" i="15"/>
  <c r="M23" i="67"/>
  <c r="F26" i="15"/>
  <c r="E2" i="68"/>
  <c r="B11" i="76"/>
  <c r="F6" i="15"/>
  <c r="F8" i="67"/>
  <c r="B12" i="76"/>
  <c r="L48" i="15"/>
  <c r="M23" i="15"/>
  <c r="F16" i="67"/>
  <c r="M6" i="67"/>
  <c r="F16" i="15"/>
  <c r="L47" i="15"/>
  <c r="E10" i="76"/>
  <c r="F5" i="73"/>
  <c r="E11" i="76"/>
  <c r="F36" i="67"/>
  <c r="M22" i="15"/>
  <c r="F37" i="15"/>
  <c r="M28" i="67"/>
  <c r="F20" i="31"/>
  <c r="M29" i="67"/>
  <c r="F6" i="67"/>
  <c r="F42" i="67"/>
  <c r="F3" i="73"/>
  <c r="L47" i="67"/>
  <c r="B10" i="76"/>
  <c r="D4" i="73"/>
  <c r="F38" i="15"/>
  <c r="F26" i="67"/>
  <c r="M28" i="15"/>
  <c r="D7" i="73"/>
  <c r="F9" i="15"/>
  <c r="M24" i="67"/>
  <c r="F13" i="67"/>
  <c r="D5" i="73"/>
  <c r="E12" i="76"/>
  <c r="E8" i="76"/>
  <c r="B9" i="76"/>
  <c r="D6" i="73"/>
  <c r="C76" i="67"/>
  <c r="M8" i="15"/>
  <c r="L48" i="67"/>
  <c r="E13" i="76"/>
  <c r="M26" i="67"/>
  <c r="F6" i="73"/>
  <c r="F43" i="67"/>
  <c r="M24" i="15"/>
  <c r="F42" i="15"/>
  <c r="M9" i="67"/>
  <c r="E9" i="76"/>
  <c r="C76" i="15"/>
  <c r="F7" i="67"/>
  <c r="F40" i="67"/>
  <c r="J15" i="67"/>
  <c r="M9" i="15"/>
  <c r="F19" i="6" l="1"/>
  <c r="E19" i="6" s="1"/>
  <c r="K6" i="1" s="1"/>
  <c r="BL15" i="3"/>
  <c r="BA19" i="3"/>
  <c r="AZ19" i="3" s="1"/>
  <c r="BA23" i="3"/>
  <c r="AZ23" i="3" s="1"/>
  <c r="BL21" i="3"/>
  <c r="AZ21" i="3" s="1"/>
  <c r="BL19" i="3"/>
  <c r="BA20" i="3"/>
  <c r="AZ20" i="3" s="1"/>
  <c r="BL22" i="3"/>
  <c r="G6" i="1"/>
  <c r="I24" i="43"/>
  <c r="C40" i="69"/>
  <c r="C21" i="68"/>
  <c r="BA22" i="3"/>
  <c r="AZ22" i="3" s="1"/>
  <c r="BL5" i="3"/>
  <c r="BA18" i="3"/>
  <c r="AZ18" i="3" s="1"/>
  <c r="AZ15" i="3"/>
  <c r="G28" i="6"/>
  <c r="G30" i="6" s="1"/>
  <c r="G31" i="6" s="1"/>
  <c r="F29" i="6"/>
  <c r="E29" i="6" s="1"/>
  <c r="K15" i="1" s="1"/>
  <c r="G5" i="3"/>
  <c r="B3" i="3" s="1"/>
  <c r="E373" i="3" s="1"/>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L19" i="6"/>
  <c r="L27" i="6"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M29" i="15"/>
  <c r="F43" i="15"/>
  <c r="F7" i="15"/>
  <c r="G1" i="73"/>
  <c r="C16" i="67"/>
  <c r="M7" i="15" l="1"/>
  <c r="J6" i="15" s="1"/>
  <c r="C6" i="15"/>
  <c r="F50" i="15"/>
  <c r="F31" i="15"/>
  <c r="F71" i="15"/>
  <c r="AP6" i="1"/>
  <c r="C36" i="69" s="1"/>
  <c r="Q16" i="1"/>
  <c r="F27" i="69" s="1"/>
  <c r="G16" i="1"/>
  <c r="F10" i="39" s="1"/>
  <c r="M6" i="1"/>
  <c r="H16" i="1"/>
  <c r="E262" i="3"/>
  <c r="AZ5" i="3"/>
  <c r="E28" i="6"/>
  <c r="K14" i="1" s="1"/>
  <c r="K16" i="1" s="1"/>
  <c r="BA5" i="3"/>
  <c r="E511" i="3"/>
  <c r="F30" i="6"/>
  <c r="E182" i="3"/>
  <c r="E126" i="3"/>
  <c r="E480" i="3"/>
  <c r="E576" i="3"/>
  <c r="E441" i="3"/>
  <c r="Z6" i="3"/>
  <c r="E377" i="3"/>
  <c r="E557" i="3"/>
  <c r="E274" i="3"/>
  <c r="E317" i="3"/>
  <c r="E547" i="3"/>
  <c r="E351" i="3"/>
  <c r="AM6" i="3"/>
  <c r="E295" i="3"/>
  <c r="E404" i="3"/>
  <c r="E548" i="3"/>
  <c r="E368" i="3"/>
  <c r="E429" i="3"/>
  <c r="E30" i="3"/>
  <c r="E273" i="3"/>
  <c r="E28" i="3"/>
  <c r="P6" i="3"/>
  <c r="E196" i="3"/>
  <c r="E450" i="3"/>
  <c r="E109" i="3"/>
  <c r="E334" i="3"/>
  <c r="E291" i="3"/>
  <c r="E211" i="3"/>
  <c r="E70" i="3"/>
  <c r="E403" i="3"/>
  <c r="E443" i="3"/>
  <c r="AO6" i="3"/>
  <c r="E204" i="3"/>
  <c r="E74" i="3"/>
  <c r="E111" i="3"/>
  <c r="E437" i="3"/>
  <c r="E29" i="3"/>
  <c r="E572" i="3"/>
  <c r="E316" i="3"/>
  <c r="E272" i="3"/>
  <c r="E92" i="3"/>
  <c r="E444" i="3"/>
  <c r="E345" i="3"/>
  <c r="E411" i="3"/>
  <c r="E145" i="3"/>
  <c r="E93" i="3"/>
  <c r="E146" i="3"/>
  <c r="E458" i="3"/>
  <c r="E166" i="3"/>
  <c r="E121" i="3"/>
  <c r="E71" i="3"/>
  <c r="E489" i="3"/>
  <c r="E581" i="3"/>
  <c r="E367" i="3"/>
  <c r="E400" i="3"/>
  <c r="E448" i="3"/>
  <c r="U6" i="3"/>
  <c r="E327" i="3"/>
  <c r="E89" i="3"/>
  <c r="E227" i="3"/>
  <c r="E318" i="3"/>
  <c r="E171" i="3"/>
  <c r="E55" i="3"/>
  <c r="E465" i="3"/>
  <c r="E193" i="3"/>
  <c r="E253" i="3"/>
  <c r="E389" i="3"/>
  <c r="E44" i="3"/>
  <c r="E384" i="3"/>
  <c r="E331" i="3"/>
  <c r="E210" i="3"/>
  <c r="E186" i="3"/>
  <c r="E162" i="3"/>
  <c r="E88" i="3"/>
  <c r="E546" i="3"/>
  <c r="E531" i="3"/>
  <c r="E558" i="3"/>
  <c r="E432" i="3"/>
  <c r="E485" i="3"/>
  <c r="AG6" i="3"/>
  <c r="E379" i="3"/>
  <c r="E207" i="3"/>
  <c r="E397" i="3"/>
  <c r="E362" i="3"/>
  <c r="E256" i="3"/>
  <c r="E72" i="3"/>
  <c r="E344" i="3"/>
  <c r="E133" i="3"/>
  <c r="E156" i="3"/>
  <c r="E212" i="3"/>
  <c r="E164" i="3"/>
  <c r="E252" i="3"/>
  <c r="E236" i="3"/>
  <c r="I6" i="3"/>
  <c r="E32" i="3"/>
  <c r="E580" i="3"/>
  <c r="E315" i="3"/>
  <c r="E279" i="3"/>
  <c r="E203" i="3"/>
  <c r="E106" i="3"/>
  <c r="E496" i="3"/>
  <c r="AE6" i="3"/>
  <c r="E527" i="3"/>
  <c r="K6" i="3"/>
  <c r="E120" i="3"/>
  <c r="E85" i="3"/>
  <c r="E435" i="3"/>
  <c r="E33" i="3"/>
  <c r="E199" i="3"/>
  <c r="E544" i="3"/>
  <c r="E27" i="3"/>
  <c r="E447" i="3"/>
  <c r="E476" i="3"/>
  <c r="AS6" i="3"/>
  <c r="E505" i="3"/>
  <c r="E477" i="3"/>
  <c r="E414" i="3"/>
  <c r="E478" i="3"/>
  <c r="E515" i="3"/>
  <c r="E585" i="3"/>
  <c r="E107" i="3"/>
  <c r="E271" i="3"/>
  <c r="E269" i="3"/>
  <c r="E549" i="3"/>
  <c r="E567" i="3"/>
  <c r="E31" i="3"/>
  <c r="E394" i="3"/>
  <c r="E214" i="3"/>
  <c r="E150" i="3"/>
  <c r="E73" i="3"/>
  <c r="E433" i="3"/>
  <c r="E571" i="3"/>
  <c r="E406" i="3"/>
  <c r="Q6" i="3"/>
  <c r="E45" i="3"/>
  <c r="E434" i="3"/>
  <c r="E517" i="3"/>
  <c r="E492" i="3"/>
  <c r="E454" i="3"/>
  <c r="E468" i="3"/>
  <c r="E577" i="3"/>
  <c r="E562" i="3"/>
  <c r="E424" i="3"/>
  <c r="E472" i="3"/>
  <c r="E573" i="3"/>
  <c r="E330" i="3"/>
  <c r="E277" i="3"/>
  <c r="E99" i="3"/>
  <c r="E314" i="3"/>
  <c r="E453" i="3"/>
  <c r="E541" i="3"/>
  <c r="E132" i="3"/>
  <c r="E46" i="3"/>
  <c r="E494" i="3"/>
  <c r="E14" i="3"/>
  <c r="E357" i="3"/>
  <c r="E257" i="3"/>
  <c r="E208" i="3"/>
  <c r="E168" i="3"/>
  <c r="E54" i="3"/>
  <c r="E475" i="3"/>
  <c r="E471" i="3"/>
  <c r="E537" i="3"/>
  <c r="E587" i="3"/>
  <c r="E457" i="3"/>
  <c r="E481" i="3"/>
  <c r="E560" i="3"/>
  <c r="E519" i="3"/>
  <c r="E177" i="3"/>
  <c r="E228" i="3"/>
  <c r="E128" i="3"/>
  <c r="E238" i="3"/>
  <c r="E466" i="3"/>
  <c r="E152" i="3"/>
  <c r="E64" i="3"/>
  <c r="E360" i="3"/>
  <c r="AK6" i="3"/>
  <c r="E545" i="3"/>
  <c r="E181" i="3"/>
  <c r="E568" i="3"/>
  <c r="E77" i="3"/>
  <c r="E539" i="3"/>
  <c r="R6" i="3"/>
  <c r="I3" i="6"/>
  <c r="E56" i="3"/>
  <c r="E292" i="3"/>
  <c r="E484" i="3"/>
  <c r="E200" i="3"/>
  <c r="E197" i="3"/>
  <c r="E482" i="3"/>
  <c r="W6" i="3"/>
  <c r="E288" i="3"/>
  <c r="E438" i="3"/>
  <c r="E474" i="3"/>
  <c r="E529" i="3"/>
  <c r="E532" i="3"/>
  <c r="E313" i="3"/>
  <c r="E224" i="3"/>
  <c r="E157" i="3"/>
  <c r="E306" i="3"/>
  <c r="E352" i="3"/>
  <c r="E136" i="3"/>
  <c r="E461" i="3"/>
  <c r="E122" i="3"/>
  <c r="E499" i="3"/>
  <c r="E255" i="3"/>
  <c r="E479" i="3"/>
  <c r="E241" i="3"/>
  <c r="E409" i="3"/>
  <c r="E142" i="3"/>
  <c r="E309" i="3"/>
  <c r="E391" i="3"/>
  <c r="E536" i="3"/>
  <c r="E286" i="3"/>
  <c r="E502" i="3"/>
  <c r="E430" i="3"/>
  <c r="AP6" i="3"/>
  <c r="E491" i="3"/>
  <c r="E37" i="3"/>
  <c r="E192" i="3"/>
  <c r="E363" i="3"/>
  <c r="E76" i="3"/>
  <c r="E425" i="3"/>
  <c r="E103" i="3"/>
  <c r="E267" i="3"/>
  <c r="E355" i="3"/>
  <c r="E534" i="3"/>
  <c r="E26" i="3"/>
  <c r="E275" i="3"/>
  <c r="E148" i="3"/>
  <c r="E575" i="3"/>
  <c r="E442" i="3"/>
  <c r="E449" i="3"/>
  <c r="E554" i="3"/>
  <c r="E417" i="3"/>
  <c r="E95" i="3"/>
  <c r="E258" i="3"/>
  <c r="E349" i="3"/>
  <c r="E59" i="3"/>
  <c r="E467" i="3"/>
  <c r="E160" i="3"/>
  <c r="E249" i="3"/>
  <c r="E81" i="3"/>
  <c r="E469" i="3"/>
  <c r="E139" i="3"/>
  <c r="E326" i="3"/>
  <c r="E300" i="3"/>
  <c r="E23" i="3"/>
  <c r="E144" i="3"/>
  <c r="E381" i="3"/>
  <c r="E118" i="3"/>
  <c r="E205" i="3"/>
  <c r="E173" i="3"/>
  <c r="T6" i="3"/>
  <c r="E512" i="3"/>
  <c r="E556" i="3"/>
  <c r="E452" i="3"/>
  <c r="E104" i="3"/>
  <c r="E225" i="3"/>
  <c r="AL6" i="3"/>
  <c r="E96" i="3"/>
  <c r="E522" i="3"/>
  <c r="E48" i="3"/>
  <c r="E371" i="3"/>
  <c r="E84" i="3"/>
  <c r="E184" i="3"/>
  <c r="E68" i="3"/>
  <c r="E264" i="3"/>
  <c r="E296" i="3"/>
  <c r="E369" i="3"/>
  <c r="E405" i="3"/>
  <c r="E408" i="3"/>
  <c r="E497" i="3"/>
  <c r="E470" i="3"/>
  <c r="E41" i="3"/>
  <c r="E243" i="3"/>
  <c r="E42" i="3"/>
  <c r="E78" i="3"/>
  <c r="E232" i="3"/>
  <c r="E149" i="3"/>
  <c r="E310" i="3"/>
  <c r="E67" i="3"/>
  <c r="E233" i="3"/>
  <c r="E63" i="3"/>
  <c r="E283" i="3"/>
  <c r="E140" i="3"/>
  <c r="E525" i="3"/>
  <c r="E456" i="3"/>
  <c r="E451" i="3"/>
  <c r="E13" i="3"/>
  <c r="E420" i="3"/>
  <c r="E198" i="3"/>
  <c r="E332" i="3"/>
  <c r="E428" i="3"/>
  <c r="E220" i="3"/>
  <c r="E80" i="3"/>
  <c r="E459" i="3"/>
  <c r="E94" i="3"/>
  <c r="E412" i="3"/>
  <c r="E129" i="3"/>
  <c r="E235" i="3"/>
  <c r="E86" i="3"/>
  <c r="E251" i="3"/>
  <c r="E113" i="3"/>
  <c r="E83" i="3"/>
  <c r="E284" i="3"/>
  <c r="E312" i="3"/>
  <c r="E520" i="3"/>
  <c r="E115" i="3"/>
  <c r="E281" i="3"/>
  <c r="E356" i="3"/>
  <c r="E75" i="3"/>
  <c r="E18" i="3"/>
  <c r="E190" i="3"/>
  <c r="E383" i="3"/>
  <c r="E34" i="3"/>
  <c r="E370" i="3"/>
  <c r="E287" i="3"/>
  <c r="E58" i="3"/>
  <c r="E179" i="3"/>
  <c r="E542" i="3"/>
  <c r="E240" i="3"/>
  <c r="E342" i="3"/>
  <c r="E49" i="3"/>
  <c r="E102" i="3"/>
  <c r="E308" i="3"/>
  <c r="E386" i="3"/>
  <c r="E82" i="3"/>
  <c r="E464" i="3"/>
  <c r="E195" i="3"/>
  <c r="E127" i="3"/>
  <c r="E323" i="3"/>
  <c r="E167" i="3"/>
  <c r="E421" i="3"/>
  <c r="E500" i="3"/>
  <c r="E378" i="3"/>
  <c r="E266" i="3"/>
  <c r="E488" i="3"/>
  <c r="E24" i="3"/>
  <c r="E174" i="3"/>
  <c r="E324" i="3"/>
  <c r="E35" i="3"/>
  <c r="E206" i="3"/>
  <c r="AF6" i="3"/>
  <c r="E158" i="3"/>
  <c r="E22" i="3"/>
  <c r="E66" i="3"/>
  <c r="Y6" i="3"/>
  <c r="E244" i="3"/>
  <c r="AD6" i="3"/>
  <c r="E416" i="3"/>
  <c r="E57" i="3"/>
  <c r="E47" i="3"/>
  <c r="E51" i="3"/>
  <c r="E582" i="3"/>
  <c r="E436" i="3"/>
  <c r="E131" i="3"/>
  <c r="E297" i="3"/>
  <c r="E375" i="3"/>
  <c r="E462" i="3"/>
  <c r="E98" i="3"/>
  <c r="E163" i="3"/>
  <c r="E307" i="3"/>
  <c r="E87" i="3"/>
  <c r="E154" i="3"/>
  <c r="E487" i="3"/>
  <c r="E374" i="3"/>
  <c r="E413" i="3"/>
  <c r="E39" i="3"/>
  <c r="E187" i="3"/>
  <c r="E259" i="3"/>
  <c r="E504" i="3"/>
  <c r="E521" i="3"/>
  <c r="E65" i="3"/>
  <c r="E248" i="3"/>
  <c r="E354" i="3"/>
  <c r="E250" i="3"/>
  <c r="E222" i="3"/>
  <c r="E19" i="3"/>
  <c r="E165" i="3"/>
  <c r="E141" i="3"/>
  <c r="E552" i="3"/>
  <c r="E398" i="3"/>
  <c r="E566" i="3"/>
  <c r="E460" i="3"/>
  <c r="E90" i="3"/>
  <c r="E155" i="3"/>
  <c r="E348" i="3"/>
  <c r="E110" i="3"/>
  <c r="E446" i="3"/>
  <c r="E138" i="3"/>
  <c r="E209" i="3"/>
  <c r="E584" i="3"/>
  <c r="E341" i="3"/>
  <c r="E510" i="3"/>
  <c r="E188" i="3"/>
  <c r="E393" i="3"/>
  <c r="E427" i="3"/>
  <c r="E440" i="3"/>
  <c r="J6" i="3"/>
  <c r="E401" i="3"/>
  <c r="E108" i="3"/>
  <c r="E242" i="3"/>
  <c r="E333" i="3"/>
  <c r="E43" i="3"/>
  <c r="E455" i="3"/>
  <c r="E170" i="3"/>
  <c r="E219" i="3"/>
  <c r="E392" i="3"/>
  <c r="E112" i="3"/>
  <c r="E340" i="3"/>
  <c r="E62" i="3"/>
  <c r="E365" i="3"/>
  <c r="E21" i="3"/>
  <c r="E223" i="3"/>
  <c r="E493" i="3"/>
  <c r="E486" i="3"/>
  <c r="E490" i="3"/>
  <c r="E498" i="3"/>
  <c r="E463" i="3"/>
  <c r="E178" i="3"/>
  <c r="E226" i="3"/>
  <c r="E372" i="3"/>
  <c r="E540" i="3"/>
  <c r="E79" i="3"/>
  <c r="E137" i="3"/>
  <c r="E299" i="3"/>
  <c r="AQ6" i="3"/>
  <c r="E123" i="3"/>
  <c r="E364" i="3"/>
  <c r="E176" i="3"/>
  <c r="E524" i="3"/>
  <c r="E16" i="3"/>
  <c r="E105" i="3"/>
  <c r="E543" i="3"/>
  <c r="E422" i="3"/>
  <c r="AH6" i="3"/>
  <c r="E483" i="3"/>
  <c r="E25" i="3"/>
  <c r="E202" i="3"/>
  <c r="E346" i="3"/>
  <c r="E60" i="3"/>
  <c r="E15" i="3"/>
  <c r="E100" i="3"/>
  <c r="E234" i="3"/>
  <c r="E325" i="3"/>
  <c r="E36" i="3"/>
  <c r="E289" i="3"/>
  <c r="E20" i="3"/>
  <c r="E265" i="3"/>
  <c r="E101" i="3"/>
  <c r="E329" i="3"/>
  <c r="E116" i="3"/>
  <c r="E564" i="3"/>
  <c r="E507" i="3"/>
  <c r="E376" i="3"/>
  <c r="E419" i="3"/>
  <c r="E40" i="3"/>
  <c r="E119" i="3"/>
  <c r="E276" i="3"/>
  <c r="L6" i="3"/>
  <c r="E473" i="3"/>
  <c r="E38" i="3"/>
  <c r="E194" i="3"/>
  <c r="E339" i="3"/>
  <c r="E52" i="3"/>
  <c r="E147" i="3"/>
  <c r="E50" i="3"/>
  <c r="E218" i="3"/>
  <c r="E51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D33" i="43" s="1"/>
  <c r="D1" i="43" s="1"/>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C16" i="15"/>
  <c r="F41" i="67"/>
  <c r="AE6" i="1"/>
  <c r="O6" i="1" l="1"/>
  <c r="AC6" i="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B14" i="74" l="1"/>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25" i="11" l="1"/>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5" i="68"/>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M21" i="15"/>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9" i="1"/>
  <c r="AO10" i="1"/>
  <c r="AO12" i="1"/>
  <c r="AO7"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C32" i="9" s="1"/>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4" i="52" s="1"/>
  <c r="B47" i="72" s="1"/>
  <c r="F118" i="9"/>
  <c r="G118" i="9" s="1"/>
  <c r="G4" i="52" s="1"/>
  <c r="B52" i="72" s="1"/>
  <c r="H118" i="9"/>
  <c r="H4" i="52" l="1"/>
  <c r="D14" i="74"/>
  <c r="F4" i="52"/>
  <c r="B51" i="72" s="1"/>
  <c r="F119" i="9"/>
  <c r="F5" i="52" s="1"/>
  <c r="B53" i="72" s="1"/>
  <c r="D119" i="9"/>
  <c r="D5" i="52" s="1"/>
  <c r="B49" i="72" s="1"/>
  <c r="H119" i="9"/>
  <c r="H5" i="52" s="1"/>
  <c r="C104" i="9"/>
  <c r="I118" i="9"/>
  <c r="H101" i="9"/>
  <c r="E14" i="74" l="1"/>
  <c r="F14" i="74"/>
  <c r="B5" i="74"/>
  <c r="D5" i="74" s="1"/>
  <c r="D5" i="53"/>
  <c r="M48" i="9"/>
  <c r="D45" i="9"/>
  <c r="H107" i="9"/>
  <c r="H102" i="9"/>
  <c r="C105" i="9"/>
  <c r="E118" i="9"/>
  <c r="E4" i="52" s="1"/>
  <c r="B48" i="72" s="1"/>
  <c r="I4" i="52"/>
  <c r="D13" i="53" l="1"/>
  <c r="D122" i="9"/>
  <c r="H108" i="9"/>
  <c r="M49" i="9"/>
  <c r="C85" i="9"/>
  <c r="D53" i="9"/>
  <c r="C72" i="9"/>
  <c r="C78" i="9"/>
  <c r="C73" i="9" s="1"/>
  <c r="D52" i="9"/>
  <c r="D55" i="9"/>
  <c r="M53" i="9" s="1"/>
  <c r="C93" i="9"/>
  <c r="C86" i="9" s="1"/>
  <c r="C64" i="9"/>
  <c r="C63" i="9" s="1"/>
  <c r="C67" i="9" s="1"/>
  <c r="C5" i="74"/>
  <c r="D7" i="53"/>
  <c r="B21" i="72" s="1"/>
  <c r="B20" i="72"/>
  <c r="D6" i="53"/>
  <c r="B22" i="72" s="1"/>
  <c r="L65" i="9" l="1"/>
  <c r="M65" i="9" s="1"/>
  <c r="L66" i="9"/>
  <c r="M66" i="9" s="1"/>
  <c r="L68" i="9"/>
  <c r="M68" i="9" s="1"/>
  <c r="L63" i="9"/>
  <c r="M63" i="9" s="1"/>
  <c r="M69" i="9" s="1"/>
  <c r="N69" i="9" s="1"/>
  <c r="L64" i="9"/>
  <c r="M64" i="9" s="1"/>
  <c r="L67" i="9"/>
  <c r="M67" i="9" s="1"/>
  <c r="C68" i="9"/>
  <c r="D54" i="9" s="1"/>
  <c r="D59" i="9"/>
  <c r="M55" i="9" s="1"/>
  <c r="C79" i="9"/>
  <c r="C6" i="74"/>
  <c r="D15" i="53"/>
  <c r="B31" i="72" s="1"/>
  <c r="D123" i="9"/>
  <c r="D9" i="52" s="1"/>
  <c r="D8" i="52"/>
  <c r="C95" i="9"/>
  <c r="D14" i="53"/>
  <c r="B32" i="72" s="1"/>
  <c r="B30" i="72"/>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<sst xmlns="http://schemas.openxmlformats.org/spreadsheetml/2006/main" count="7816" uniqueCount="3416">
  <si>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</si>
  <si>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</si>
  <si>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</si>
  <si>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</si>
  <si>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</si>
  <si>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</si>
  <si>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</si>
  <si>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</si>
  <si>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</si>
  <si>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</si>
  <si>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</si>
  <si>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</si>
  <si>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</si>
  <si>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</si>
  <si>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</si>
  <si>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</si>
  <si>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</si>
  <si>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</si>
  <si>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</si>
  <si>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</si>
  <si>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</si>
  <si>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</si>
  <si>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</si>
  <si>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</si>
  <si>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</si>
  <si>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</si>
  <si>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</si>
  <si>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</si>
  <si>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</si>
  <si>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</si>
  <si>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</si>
  <si>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</si>
  <si>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</si>
  <si>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</si>
  <si>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</si>
  <si>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</si>
  <si>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</si>
  <si>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</si>
  <si>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</si>
  <si>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</si>
  <si>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</si>
  <si>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</si>
  <si>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</si>
  <si>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</si>
  <si>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</si>
  <si>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</si>
  <si>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</si>
  <si>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</si>
  <si>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</si>
  <si>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</si>
  <si>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</si>
  <si>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</si>
  <si>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</si>
  <si>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</si>
  <si>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</si>
  <si>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</si>
  <si>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</si>
  <si>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</si>
  <si>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</si>
  <si>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</si>
  <si>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</si>
  <si>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</si>
  <si>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</si>
  <si>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</si>
  <si>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</si>
  <si>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</si>
  <si>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</si>
  <si>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</si>
  <si>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</si>
  <si>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</si>
  <si>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</si>
  <si>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</si>
  <si>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</si>
  <si>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</si>
  <si>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</si>
  <si>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</si>
  <si>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</si>
  <si>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</si>
  <si>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</si>
  <si>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</si>
  <si>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</si>
  <si>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</si>
  <si>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</si>
  <si>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</si>
  <si>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</si>
  <si>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</si>
  <si>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</si>
  <si>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</si>
  <si>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</si>
  <si>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</si>
  <si>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</si>
  <si>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</si>
  <si>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</si>
  <si>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</si>
  <si>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</si>
  <si>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</si>
  <si>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</si>
  <si>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</si>
  <si>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</si>
  <si>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</si>
  <si>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</si>
  <si>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</si>
  <si>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</si>
  <si>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</si>
  <si>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</si>
  <si>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</si>
  <si>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</si>
  <si>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</si>
  <si>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</si>
  <si>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</si>
  <si>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</si>
  <si>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</si>
  <si>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</si>
  <si>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</si>
  <si>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</si>
  <si>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</si>
  <si>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</si>
  <si>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</si>
  <si>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</si>
  <si>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</si>
  <si>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</si>
  <si>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</si>
  <si>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</si>
  <si>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</si>
  <si>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</si>
  <si>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</si>
  <si>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</si>
  <si>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</si>
  <si>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</si>
  <si>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</si>
  <si>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</si>
  <si>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</si>
  <si>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</si>
  <si>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</si>
  <si>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</si>
  <si>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</si>
  <si>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</si>
  <si>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</si>
  <si>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</si>
  <si>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</si>
  <si>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</si>
  <si>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</si>
  <si>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</si>
  <si>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</si>
  <si>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</si>
  <si>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</si>
  <si>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</si>
  <si>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</si>
  <si>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</si>
  <si>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</si>
  <si>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</si>
  <si>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</si>
  <si>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</si>
  <si>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</si>
  <si>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</si>
  <si>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</si>
  <si>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</si>
  <si>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</si>
  <si>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</si>
  <si>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</si>
  <si>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</si>
  <si>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</si>
  <si>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</si>
  <si>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</si>
  <si>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</si>
  <si>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</si>
  <si>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</si>
  <si>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</si>
  <si>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</si>
  <si>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</si>
  <si>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</si>
  <si>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</si>
  <si>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</si>
  <si>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</si>
  <si>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</si>
  <si>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</si>
  <si>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</si>
  <si>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</si>
  <si>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</si>
  <si>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</si>
  <si>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</si>
  <si>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</si>
  <si>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</si>
  <si>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</si>
  <si>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</si>
  <si>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</si>
  <si>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</si>
  <si>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</si>
  <si>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</si>
  <si>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</si>
  <si>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</si>
  <si>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</si>
  <si>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</si>
  <si>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</si>
  <si>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</si>
  <si>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</si>
  <si>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</si>
  <si>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</si>
  <si>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</si>
  <si>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</si>
  <si>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</si>
  <si>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</si>
  <si>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</si>
  <si>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</si>
  <si>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</si>
  <si>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</si>
  <si>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</si>
  <si>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</si>
  <si>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</si>
  <si>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</si>
  <si>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</si>
  <si>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</si>
  <si>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</si>
  <si>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</si>
  <si>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</si>
  <si>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</si>
  <si>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</si>
  <si>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</si>
  <si>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</si>
  <si>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</si>
  <si>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</si>
  <si>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</si>
  <si>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</si>
  <si>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</si>
  <si>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</si>
  <si>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</si>
  <si>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</si>
  <si>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</si>
  <si>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</si>
  <si>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</si>
  <si>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</si>
  <si>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</si>
  <si>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</si>
  <si>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</si>
  <si>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</si>
  <si>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</si>
  <si>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</si>
  <si>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</si>
  <si>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</si>
  <si>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</si>
  <si>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</si>
  <si>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</si>
  <si>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</si>
  <si>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</si>
  <si>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</si>
  <si>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</si>
  <si>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</si>
  <si>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</si>
  <si>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</si>
  <si>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</si>
  <si>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</si>
  <si>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</si>
  <si>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</si>
  <si>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</si>
  <si>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</si>
  <si>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</si>
  <si>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</si>
  <si>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</si>
  <si>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</si>
  <si>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</si>
  <si>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</si>
  <si>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</si>
  <si>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</si>
  <si>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</si>
  <si>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</si>
  <si>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</si>
  <si>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</si>
  <si>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</si>
  <si>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</si>
  <si>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</si>
  <si>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</si>
  <si>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</si>
  <si>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</si>
  <si>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</si>
  <si>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</si>
  <si>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</si>
  <si>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</si>
  <si>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</si>
  <si>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</si>
  <si>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</si>
  <si>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</si>
  <si>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</si>
  <si>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</si>
  <si>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</si>
  <si>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</si>
  <si>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</si>
  <si>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</si>
  <si>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</si>
  <si>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</si>
  <si>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</si>
  <si>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</si>
  <si>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</si>
  <si>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</si>
  <si>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</si>
  <si>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</si>
  <si>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</si>
  <si>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</si>
  <si>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</si>
  <si>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</si>
  <si>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</si>
  <si>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</si>
  <si>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</si>
  <si>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</si>
  <si>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</si>
  <si>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</si>
  <si>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</si>
  <si>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</si>
  <si>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</si>
  <si>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</si>
  <si>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</si>
  <si>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</si>
  <si>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</si>
  <si>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</si>
  <si>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</si>
  <si>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</si>
  <si>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</si>
  <si>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</si>
  <si>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</si>
  <si>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</si>
  <si>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</si>
  <si>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</si>
  <si>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</si>
  <si>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</si>
  <si>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</si>
  <si>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</si>
  <si>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</si>
  <si>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</si>
  <si>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</si>
  <si>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</si>
  <si>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</si>
  <si>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</si>
  <si>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</si>
  <si>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</si>
  <si>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</si>
  <si>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</si>
  <si>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</si>
  <si>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</si>
  <si>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</si>
  <si>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</si>
  <si>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</si>
  <si>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</si>
  <si>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</si>
  <si>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</si>
  <si>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</si>
  <si>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</si>
  <si>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</si>
  <si>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</si>
  <si>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</si>
  <si>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</si>
  <si>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</si>
  <si>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</si>
  <si>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</si>
  <si>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</si>
  <si>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</si>
  <si>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</si>
  <si>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</si>
  <si>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</si>
  <si>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</si>
  <si>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</si>
  <si>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</si>
  <si>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</si>
  <si>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</si>
  <si>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</si>
  <si>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</si>
  <si>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</si>
  <si>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</si>
  <si>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</si>
  <si>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</si>
  <si>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</si>
  <si>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</si>
  <si>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</si>
  <si>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</si>
  <si>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</si>
  <si>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</si>
  <si>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</si>
  <si>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</si>
  <si>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</si>
  <si>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</si>
  <si>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</si>
  <si>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</si>
  <si>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</si>
  <si>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</si>
  <si>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</si>
  <si>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</si>
  <si>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</si>
  <si>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</si>
  <si>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</si>
  <si>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</si>
  <si>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</si>
  <si>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</si>
  <si>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</si>
  <si>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</si>
  <si>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</si>
  <si>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</si>
  <si>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</si>
  <si>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</si>
  <si>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</si>
  <si>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</si>
  <si>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</si>
  <si>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</si>
  <si>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</si>
  <si>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</si>
  <si>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</si>
  <si>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</si>
  <si>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</si>
  <si>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</si>
  <si>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</si>
  <si>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</si>
  <si>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</si>
  <si>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</si>
  <si>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</si>
  <si>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</si>
  <si>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</si>
  <si>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</si>
  <si>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</si>
  <si>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</si>
  <si>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</si>
  <si>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</si>
  <si>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</si>
  <si>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</si>
  <si>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</si>
  <si>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</si>
  <si>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</si>
  <si>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</si>
  <si>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</si>
  <si>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</si>
  <si>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</si>
  <si>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</si>
  <si>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</si>
  <si>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</si>
  <si>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</si>
  <si>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</si>
  <si>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</si>
  <si>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</si>
  <si>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</si>
  <si>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</si>
  <si>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</si>
  <si>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</si>
  <si>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</si>
  <si>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</si>
  <si>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</si>
  <si>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</si>
  <si>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</si>
  <si>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</si>
  <si>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</si>
  <si>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</si>
  <si>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</si>
  <si>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</si>
  <si>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</si>
  <si>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</si>
  <si>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</si>
  <si>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</si>
  <si>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</si>
  <si>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</si>
  <si>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</si>
  <si>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</si>
  <si>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</si>
  <si>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</si>
  <si>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</si>
  <si>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</si>
  <si>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</si>
  <si>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</si>
  <si>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</si>
  <si>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</si>
  <si>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</si>
  <si>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</si>
  <si>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</si>
  <si>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</si>
  <si>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</si>
  <si>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</si>
  <si>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</si>
  <si>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</si>
  <si>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</si>
  <si>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</si>
  <si>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</si>
  <si>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</si>
  <si>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</si>
  <si>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</si>
  <si>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</si>
  <si>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</si>
  <si>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</si>
  <si>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</si>
  <si>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</si>
  <si>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</si>
  <si>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</si>
  <si>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</si>
  <si>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</si>
  <si>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</si>
  <si>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</si>
  <si>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</si>
  <si>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</si>
  <si>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</si>
  <si>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</si>
  <si>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</si>
  <si>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</si>
  <si>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</si>
  <si>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</si>
  <si>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</si>
  <si>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</si>
  <si>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</si>
  <si>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</si>
  <si>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</si>
  <si>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</si>
  <si>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</si>
  <si>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</si>
  <si>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</si>
  <si>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</si>
  <si>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</si>
  <si>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</si>
  <si>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</si>
  <si>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</si>
  <si>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</si>
  <si>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</si>
  <si>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</si>
  <si>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</si>
  <si>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</si>
  <si>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</si>
  <si>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</si>
  <si>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</si>
  <si>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</si>
  <si>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</si>
  <si>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</si>
  <si>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</si>
  <si>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</si>
  <si>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</si>
  <si>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</si>
  <si>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</si>
  <si>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</si>
  <si>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</si>
  <si>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</si>
  <si>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</si>
  <si>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</si>
  <si>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</si>
  <si>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</si>
  <si>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</si>
  <si>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</si>
  <si>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</si>
  <si>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</si>
  <si>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</si>
  <si>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</si>
  <si>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</si>
  <si>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</si>
  <si>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</si>
  <si>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</si>
  <si>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</si>
  <si>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</si>
  <si>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</si>
  <si>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</si>
  <si>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</si>
  <si>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</si>
  <si>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</si>
  <si>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</si>
  <si>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</si>
  <si>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</si>
  <si>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</si>
  <si>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</si>
  <si>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</si>
  <si>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</si>
  <si>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</si>
  <si>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</si>
  <si>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</si>
  <si>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</si>
  <si>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</si>
  <si>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</si>
  <si>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</si>
  <si>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</si>
  <si>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</si>
  <si>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</si>
  <si>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</si>
  <si>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</si>
  <si>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</si>
  <si>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</si>
  <si>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</si>
  <si>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</si>
  <si>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</si>
  <si>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</si>
  <si>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</si>
  <si>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</si>
  <si>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</si>
  <si>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</si>
  <si>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</si>
  <si>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</si>
  <si>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</si>
  <si>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</si>
  <si>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</si>
  <si>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</si>
  <si>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</si>
  <si>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</si>
  <si>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</si>
  <si>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</si>
  <si>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</si>
  <si>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</si>
  <si>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</si>
  <si>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</si>
  <si>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</si>
  <si>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</si>
  <si>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</si>
  <si>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</si>
  <si>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</si>
  <si>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</si>
  <si>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</si>
  <si>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</si>
  <si>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</si>
  <si>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</si>
  <si>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</si>
  <si>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</si>
  <si>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</si>
  <si>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</si>
  <si>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</si>
  <si>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</si>
  <si>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</si>
  <si>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</si>
  <si>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</si>
  <si>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</si>
  <si>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</si>
  <si>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</si>
  <si>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</si>
  <si>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</si>
  <si>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</si>
  <si>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</si>
  <si>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</si>
  <si>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</si>
  <si>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</si>
  <si>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</si>
  <si>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</si>
  <si>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</si>
  <si>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</si>
  <si>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</si>
  <si>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</si>
  <si>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</si>
  <si>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</si>
  <si>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</si>
  <si>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</si>
  <si>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</si>
  <si>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</si>
  <si>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</si>
  <si>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</si>
  <si>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</si>
  <si>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</si>
  <si>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</si>
  <si>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</si>
  <si>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</si>
  <si>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</si>
  <si>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</si>
  <si>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</si>
  <si>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</si>
  <si>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</si>
  <si>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</si>
  <si>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</si>
  <si>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</si>
  <si>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</si>
  <si>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</si>
  <si>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</si>
  <si>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</si>
  <si>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</si>
  <si>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</si>
  <si>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</si>
  <si>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</si>
  <si>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</si>
  <si>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</si>
  <si>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</si>
  <si>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</si>
  <si>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</si>
  <si>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</si>
  <si>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</si>
  <si>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</si>
  <si>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</si>
  <si>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</si>
  <si>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</si>
  <si>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</si>
  <si>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</si>
  <si>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</si>
  <si>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</si>
  <si>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</si>
  <si>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</si>
  <si>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</si>
  <si>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</si>
  <si>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</si>
  <si>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</si>
  <si>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</si>
  <si>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</si>
  <si>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</si>
  <si>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</si>
  <si>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</si>
  <si>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</si>
  <si>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</si>
  <si>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</si>
  <si>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</si>
  <si>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</si>
  <si>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</si>
  <si>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</si>
  <si>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</si>
  <si>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</si>
  <si>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</si>
  <si>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</si>
  <si>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</si>
  <si>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</si>
  <si>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</si>
  <si>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</si>
  <si>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</si>
  <si>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</si>
  <si>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</si>
  <si>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</si>
  <si>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</si>
  <si>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</si>
  <si>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</si>
  <si>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</si>
  <si>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</si>
  <si>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</si>
  <si>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</si>
  <si>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</si>
  <si>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</si>
  <si>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</si>
  <si>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</si>
  <si>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</si>
  <si>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</si>
  <si>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</si>
  <si>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</si>
  <si>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</si>
  <si>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</si>
  <si>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</si>
  <si>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</si>
  <si>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</si>
  <si>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</si>
  <si>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</si>
  <si>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</si>
  <si>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</si>
  <si>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</si>
  <si>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</si>
  <si>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</si>
  <si>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</si>
  <si>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</si>
  <si>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</si>
  <si>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</si>
  <si>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</si>
  <si>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</si>
  <si>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</si>
  <si>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</si>
  <si>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</si>
  <si>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</si>
  <si>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</si>
  <si>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</si>
  <si>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</si>
  <si>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</si>
  <si>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</si>
  <si>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</si>
  <si>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</si>
  <si>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</si>
  <si>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</si>
  <si>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</si>
  <si>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</si>
  <si>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</si>
  <si>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</si>
  <si>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</si>
  <si>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</si>
  <si>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</si>
  <si>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</si>
  <si>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</si>
  <si>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</si>
  <si>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</si>
  <si>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</si>
  <si>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</si>
  <si>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</si>
  <si>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</si>
  <si>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</si>
  <si>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</si>
  <si>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</si>
  <si>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</si>
  <si>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</si>
  <si>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</si>
  <si>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</si>
  <si>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</si>
  <si>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</si>
  <si>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</si>
  <si>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</si>
  <si>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</si>
  <si>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</si>
  <si>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</si>
  <si>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</si>
  <si>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</si>
  <si>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</si>
  <si>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</si>
  <si>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</si>
  <si>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</si>
  <si>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</si>
  <si>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</si>
  <si>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</si>
  <si>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</si>
  <si>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</si>
  <si>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</si>
  <si>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</si>
  <si>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</si>
  <si>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</si>
  <si>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</si>
  <si>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</si>
  <si>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</si>
  <si>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</si>
  <si>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</si>
  <si>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</si>
  <si>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</si>
  <si>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</si>
  <si>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</si>
  <si>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</si>
  <si>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</si>
  <si>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</si>
  <si>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</si>
  <si>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</si>
  <si>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</si>
  <si>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</si>
  <si>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</si>
  <si>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</si>
  <si>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</si>
  <si>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</si>
  <si>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</si>
  <si>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</si>
  <si>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</si>
  <si>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</si>
  <si>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</si>
  <si>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</si>
  <si>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</si>
  <si>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</si>
  <si>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</si>
  <si>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</si>
  <si>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</si>
  <si>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</si>
  <si>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</si>
  <si>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</si>
  <si>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</si>
  <si>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</si>
  <si>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</si>
  <si>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</si>
  <si>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</si>
  <si>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</si>
  <si>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</si>
  <si>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</si>
  <si>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</si>
  <si>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</si>
  <si>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</si>
  <si>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</si>
  <si>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</si>
  <si>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</si>
  <si>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</si>
  <si>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</si>
  <si>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</si>
  <si>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</si>
  <si>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</si>
  <si>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</si>
  <si>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</si>
  <si>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</si>
  <si>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</si>
  <si>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</si>
  <si>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</si>
  <si>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</si>
  <si>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</si>
  <si>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</si>
  <si>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</si>
  <si>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</si>
  <si>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</si>
  <si>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</si>
  <si>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</si>
  <si>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</si>
  <si>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</si>
  <si>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</si>
  <si>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</si>
  <si>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</si>
  <si>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</si>
  <si>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</si>
  <si>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</si>
  <si>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</si>
  <si>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</si>
  <si>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</si>
  <si>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</si>
  <si>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</si>
  <si>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</si>
  <si>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</si>
  <si>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</si>
  <si>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</si>
  <si>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</si>
  <si>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</si>
  <si>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</si>
  <si>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</si>
  <si>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</si>
  <si>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</si>
  <si>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</si>
  <si>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</si>
  <si>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</si>
  <si>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</si>
  <si>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</si>
  <si>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</si>
  <si>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</si>
  <si>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</si>
  <si>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</si>
  <si>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</si>
  <si>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</si>
  <si>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</si>
  <si>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</si>
  <si>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</si>
  <si>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</si>
  <si>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</si>
  <si>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</si>
  <si>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</si>
  <si>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</si>
  <si>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</si>
  <si>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</si>
  <si>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</si>
  <si>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</si>
  <si>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</si>
  <si>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</si>
  <si>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</si>
  <si>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</si>
  <si>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</si>
  <si>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</si>
  <si>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</si>
  <si>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</si>
  <si>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</si>
  <si>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</si>
  <si>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</si>
  <si>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</si>
  <si>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</si>
  <si>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</si>
  <si>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</si>
  <si>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</si>
  <si>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</si>
  <si>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</si>
  <si>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</si>
  <si>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</si>
  <si>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</si>
  <si>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</si>
  <si>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</si>
  <si>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</si>
  <si>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</si>
  <si>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</si>
  <si>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</si>
  <si>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</si>
  <si>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</si>
  <si>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</si>
  <si>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</si>
  <si>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</si>
  <si>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</si>
  <si>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</si>
  <si>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</si>
  <si>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</si>
  <si>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</si>
  <si>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</si>
  <si>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</si>
  <si>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</si>
  <si>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</si>
  <si>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</si>
  <si>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</si>
  <si>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</si>
  <si>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</si>
  <si>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</si>
  <si>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</si>
  <si>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</si>
  <si>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</si>
  <si>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</si>
  <si>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</si>
  <si>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</si>
  <si>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</si>
  <si>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</si>
  <si>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</si>
  <si>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</si>
  <si>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</si>
  <si>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</si>
  <si>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</si>
  <si>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</si>
  <si>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</si>
  <si>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</si>
  <si>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</si>
  <si>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</si>
  <si>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</si>
  <si>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</si>
  <si>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</si>
  <si>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</si>
  <si>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</si>
  <si>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</si>
  <si>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</si>
  <si>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</si>
  <si>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</si>
  <si>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</si>
  <si>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</si>
  <si>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</si>
  <si>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</si>
  <si>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</si>
  <si>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</si>
  <si>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</si>
  <si>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</si>
  <si>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</si>
  <si>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</si>
  <si>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</si>
  <si>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</si>
  <si>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</si>
  <si>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</si>
  <si>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</si>
  <si>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</si>
  <si>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</si>
  <si>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</si>
  <si>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</si>
  <si>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</si>
  <si>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</si>
  <si>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</si>
  <si>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</si>
  <si>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</si>
  <si>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</si>
  <si>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</si>
  <si>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</si>
  <si>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</si>
  <si>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</si>
  <si>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</si>
  <si>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</si>
  <si>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</si>
  <si>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</si>
  <si>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</si>
  <si>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</si>
  <si>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</si>
  <si>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</si>
  <si>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</si>
  <si>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</si>
  <si>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</si>
  <si>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</si>
  <si>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</si>
  <si>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</si>
  <si>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</si>
  <si>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</si>
  <si>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</si>
  <si>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</si>
  <si>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</si>
  <si>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</si>
  <si>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</si>
  <si>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</si>
  <si>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</si>
  <si>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</si>
  <si>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</si>
  <si>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</si>
  <si>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</si>
  <si>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</si>
  <si>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</si>
  <si>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</si>
  <si>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</si>
  <si>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</si>
  <si>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</si>
  <si>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</si>
  <si>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</si>
  <si>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</si>
  <si>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</si>
  <si>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</si>
  <si>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</si>
  <si>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</si>
  <si>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</si>
  <si>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</si>
  <si>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</si>
  <si>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</si>
  <si>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</si>
  <si>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</si>
  <si>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</si>
  <si>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</si>
  <si>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</si>
  <si>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</si>
  <si>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</si>
  <si>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</si>
  <si>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</si>
  <si>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</si>
  <si>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</si>
  <si>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</si>
  <si>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</si>
  <si>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</si>
  <si>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</si>
  <si>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</si>
  <si>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</si>
  <si>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</si>
  <si>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</si>
  <si>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</si>
  <si>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</si>
  <si>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</si>
  <si>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</si>
  <si>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</si>
  <si>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</si>
  <si>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</si>
  <si>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</si>
  <si>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</si>
  <si>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</si>
  <si>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</si>
  <si>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</si>
  <si>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</si>
  <si>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</si>
  <si>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</si>
  <si>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</si>
  <si>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</si>
  <si>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</si>
  <si>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</si>
  <si>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</si>
  <si>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</si>
  <si>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</si>
  <si>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</si>
  <si>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</si>
  <si>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</si>
  <si>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</si>
  <si>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</si>
  <si>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</si>
  <si>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</si>
  <si>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</si>
  <si>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</si>
  <si>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</si>
  <si>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</si>
  <si>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</si>
  <si>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</si>
  <si>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</si>
  <si>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</si>
  <si>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</si>
  <si>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</si>
  <si>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</si>
  <si>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</si>
  <si>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</si>
  <si>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</si>
  <si>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</si>
  <si>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</si>
  <si>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</si>
  <si>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</si>
  <si>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</si>
  <si>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</si>
  <si>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</si>
  <si>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</si>
  <si>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</si>
  <si>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</si>
  <si>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</si>
  <si>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</si>
  <si>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</si>
  <si>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</si>
  <si>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</si>
  <si>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</si>
  <si>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</si>
  <si>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</si>
  <si>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</si>
  <si>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</si>
  <si>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</si>
  <si>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</si>
  <si>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</si>
  <si>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</si>
  <si>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</si>
  <si>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</si>
  <si>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</si>
  <si>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</si>
  <si>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</si>
  <si>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</si>
  <si>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</si>
  <si>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</si>
  <si>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</si>
  <si>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</si>
  <si>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</si>
  <si>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</si>
  <si>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</si>
  <si>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</si>
  <si>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</si>
  <si>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</si>
  <si>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</si>
  <si>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</si>
  <si>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</si>
  <si>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</si>
  <si>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</si>
  <si>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</si>
  <si>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</si>
  <si>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</si>
  <si>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</si>
  <si>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</si>
  <si>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</si>
  <si>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</si>
  <si>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</si>
  <si>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</si>
  <si>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</si>
  <si>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</si>
  <si>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</si>
  <si>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</si>
  <si>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</si>
  <si>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</si>
  <si>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</si>
  <si>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</si>
  <si>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</si>
  <si>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</si>
  <si>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</si>
  <si>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</si>
  <si>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</si>
  <si>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</si>
  <si>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</si>
  <si>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</si>
  <si>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</si>
  <si>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</si>
  <si>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</si>
  <si>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</si>
  <si>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</si>
  <si>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</si>
  <si>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</si>
  <si>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</si>
  <si>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</si>
  <si>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</si>
  <si>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</si>
  <si>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</si>
  <si>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</si>
  <si>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</si>
  <si>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</si>
  <si>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</si>
  <si>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</si>
  <si>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</si>
  <si>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</si>
  <si>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</si>
  <si>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</si>
  <si>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</si>
  <si>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</si>
  <si>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</si>
  <si>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</si>
  <si>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</si>
  <si>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</si>
  <si>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</si>
  <si>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</si>
  <si>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</si>
  <si>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</si>
  <si>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</si>
  <si>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</si>
  <si>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</si>
  <si>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</si>
  <si>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</si>
  <si>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</si>
  <si>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</si>
  <si>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</si>
  <si>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</si>
  <si>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</si>
  <si>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</si>
  <si>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</si>
  <si>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</si>
  <si>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</si>
  <si>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</si>
  <si>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</si>
  <si>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</si>
  <si>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</si>
  <si>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</si>
  <si>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</si>
  <si>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</si>
  <si>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</si>
  <si>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</si>
  <si>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</si>
  <si>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</si>
  <si>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</si>
  <si>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</si>
  <si>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</si>
  <si>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</si>
  <si>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</si>
  <si>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</si>
  <si>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</si>
  <si>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</si>
  <si>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</si>
  <si>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</si>
  <si>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</si>
  <si>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</si>
  <si>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</si>
  <si>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</si>
  <si>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</si>
  <si>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</si>
  <si>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</si>
  <si>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</si>
  <si>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</si>
  <si>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</si>
  <si>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</si>
  <si>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</si>
  <si>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</si>
  <si>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</si>
  <si>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</si>
  <si>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</si>
  <si>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</si>
  <si>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</si>
  <si>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</si>
  <si>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</si>
  <si>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</si>
  <si>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</si>
  <si>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</si>
  <si>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</si>
  <si>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</si>
  <si>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</si>
  <si>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</si>
  <si>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</si>
  <si>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</si>
  <si>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</si>
  <si>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</si>
  <si>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</si>
  <si>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</si>
  <si>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</si>
  <si>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</si>
  <si>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</si>
  <si>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</si>
  <si>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</si>
  <si>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</si>
  <si>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</si>
  <si>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</si>
  <si>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</si>
  <si>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</si>
  <si>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</si>
  <si>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</si>
  <si>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</si>
  <si>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</si>
  <si>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</si>
  <si>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</si>
  <si>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</si>
  <si>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</si>
  <si>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</si>
  <si>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</si>
  <si>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</si>
  <si>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</si>
  <si>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</si>
  <si>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</si>
  <si>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</si>
  <si>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</si>
  <si>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</si>
  <si>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</si>
  <si>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</si>
  <si>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</si>
  <si>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</si>
  <si>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</si>
  <si>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</si>
  <si>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</si>
  <si>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</si>
  <si>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</si>
  <si>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</si>
  <si>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</si>
  <si>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</si>
  <si>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</si>
  <si>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</si>
  <si>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</si>
  <si>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</si>
  <si>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</si>
  <si>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</si>
  <si>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</si>
  <si>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</si>
  <si>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</si>
  <si>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</si>
  <si>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</si>
  <si>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</si>
  <si>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</si>
  <si>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</si>
  <si>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</si>
  <si>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</si>
  <si>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</si>
  <si>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</si>
  <si>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</si>
  <si>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</si>
  <si>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</si>
  <si>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</si>
  <si>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</si>
  <si>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</si>
  <si>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</si>
  <si>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</si>
  <si>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</si>
  <si>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</si>
  <si>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</si>
  <si>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</si>
  <si>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</si>
  <si>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</si>
  <si>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</si>
  <si>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</si>
  <si>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</si>
  <si>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</si>
  <si>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</si>
  <si>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</si>
  <si>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</si>
  <si>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</si>
  <si>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</si>
  <si>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</si>
  <si>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</si>
  <si>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</si>
  <si>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</si>
  <si>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</si>
  <si>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</si>
  <si>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</si>
  <si>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</si>
  <si>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</si>
  <si>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</si>
  <si>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</si>
  <si>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</si>
  <si>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</si>
  <si>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</si>
  <si>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</si>
  <si>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</si>
  <si>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</si>
  <si>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</si>
  <si>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</si>
  <si>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</si>
  <si>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</si>
  <si>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</si>
  <si>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</si>
  <si>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</si>
  <si>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</si>
  <si>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</si>
  <si>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</si>
  <si>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</si>
  <si>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</si>
  <si>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</si>
  <si>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</si>
  <si>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</si>
  <si>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</si>
  <si>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</si>
  <si>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</si>
  <si>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</si>
  <si>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</si>
  <si>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</si>
  <si>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</si>
  <si>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</si>
  <si>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</si>
  <si>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</si>
  <si>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</si>
  <si>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</si>
  <si>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</si>
  <si>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</si>
  <si>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</si>
  <si>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</si>
  <si>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</si>
  <si>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</si>
  <si>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</si>
  <si>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</si>
  <si>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</si>
  <si>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</si>
  <si>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</si>
  <si>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</si>
  <si>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</si>
  <si>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</si>
  <si>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</si>
  <si>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</si>
  <si>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</si>
  <si>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</si>
  <si>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</si>
  <si>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</si>
  <si>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</si>
  <si>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</si>
  <si>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</si>
  <si>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</si>
  <si>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</si>
  <si>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</si>
  <si>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</si>
  <si>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</si>
  <si>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</si>
  <si>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</si>
  <si>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</si>
  <si>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</si>
  <si>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</si>
  <si>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</si>
  <si>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</si>
  <si>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</si>
  <si>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</si>
  <si>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</si>
  <si>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</si>
  <si>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</si>
  <si>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</si>
  <si>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</si>
  <si>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</si>
  <si>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</si>
  <si>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</si>
  <si>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</si>
  <si>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</si>
  <si>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</si>
  <si>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</si>
  <si>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</si>
  <si>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</si>
  <si>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</si>
  <si>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</si>
  <si>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</si>
  <si>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</si>
  <si>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</si>
  <si>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</si>
  <si>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</si>
  <si>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</si>
  <si>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</si>
  <si>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</si>
  <si>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</si>
  <si>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</si>
  <si>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</si>
  <si>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</si>
  <si>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</si>
  <si>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</si>
  <si>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</si>
  <si>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</si>
  <si>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</si>
  <si>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</si>
  <si>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</si>
  <si>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</si>
  <si>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</si>
  <si>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</si>
  <si>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</si>
  <si>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</si>
  <si>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</si>
  <si>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</si>
  <si>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</si>
  <si>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</si>
  <si>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</si>
  <si>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</si>
  <si>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</si>
  <si>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</si>
  <si>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</si>
  <si>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</si>
  <si>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</si>
  <si>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</si>
  <si>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</si>
  <si>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</si>
  <si>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</si>
  <si>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</si>
  <si>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</si>
  <si>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</si>
  <si>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</si>
  <si>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</si>
  <si>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</si>
  <si>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</si>
  <si>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</si>
  <si>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</si>
  <si>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</si>
  <si>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</si>
  <si>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</si>
  <si>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</si>
  <si>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</si>
  <si>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</si>
  <si>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</si>
  <si>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</si>
  <si>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</si>
  <si>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</si>
  <si>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</si>
  <si>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</si>
  <si>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</si>
  <si>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</si>
  <si>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</si>
  <si>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</si>
  <si>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</si>
  <si>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</si>
  <si>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</si>
  <si>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</si>
  <si>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</si>
  <si>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</si>
  <si>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</si>
  <si>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</si>
  <si>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</si>
  <si>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</si>
  <si>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</si>
  <si>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</si>
  <si>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</si>
  <si>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</si>
  <si>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</si>
  <si>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</si>
  <si>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</si>
  <si>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</si>
  <si>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</si>
  <si>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</si>
  <si>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</si>
  <si>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</si>
  <si>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</si>
  <si>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</si>
  <si>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</si>
  <si>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</si>
  <si>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</si>
  <si>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</si>
  <si>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</si>
  <si>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</si>
  <si>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</si>
  <si>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</si>
  <si>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</si>
  <si>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</si>
  <si>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</si>
  <si>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</si>
  <si>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</si>
  <si>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</si>
  <si>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</si>
  <si>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</si>
  <si>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</si>
  <si>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</si>
  <si>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</si>
  <si>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</si>
  <si>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</si>
  <si>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</si>
  <si>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</si>
  <si>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</si>
  <si>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</si>
  <si>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</si>
  <si>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</si>
  <si>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</si>
  <si>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</si>
  <si>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</si>
  <si>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</si>
  <si>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</si>
  <si>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</si>
  <si>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</si>
  <si>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</si>
  <si>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</si>
  <si>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</si>
  <si>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</si>
  <si>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</si>
  <si>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</si>
  <si>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</si>
  <si>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</si>
  <si>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</si>
  <si>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</si>
  <si>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</si>
  <si>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</si>
  <si>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</si>
  <si>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</si>
  <si>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</si>
  <si>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</si>
  <si>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</si>
  <si>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</si>
  <si>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</si>
  <si>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</si>
  <si>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</si>
  <si>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</si>
  <si>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</si>
  <si>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</si>
  <si>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</si>
  <si>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</si>
  <si>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</si>
  <si>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</si>
  <si>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</si>
  <si>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</si>
  <si>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</si>
  <si>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</si>
  <si>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</si>
  <si>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</si>
  <si>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</si>
  <si>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</si>
  <si>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</si>
  <si>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</si>
  <si>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</si>
  <si>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</si>
  <si>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</si>
  <si>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</si>
  <si>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</si>
  <si>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</si>
  <si>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</si>
  <si>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</si>
  <si>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</si>
  <si>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</si>
  <si>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</si>
  <si>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</si>
  <si>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</si>
  <si>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</si>
  <si>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</si>
  <si>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</si>
  <si>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</si>
  <si>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</si>
  <si>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</si>
  <si>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</si>
  <si>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</si>
  <si>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</si>
  <si>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</si>
  <si>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</si>
  <si>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</si>
  <si>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</si>
  <si>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</si>
  <si>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</si>
  <si>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</si>
  <si>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</si>
  <si>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</si>
  <si>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</si>
  <si>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</si>
  <si>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</si>
  <si>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</si>
  <si>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</si>
  <si>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</si>
  <si>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</si>
  <si>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</si>
  <si>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</si>
  <si>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</si>
  <si>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</si>
  <si>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</si>
  <si>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</si>
  <si>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</si>
  <si>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</si>
  <si>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</si>
  <si>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</si>
  <si>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</si>
  <si>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</si>
  <si>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</si>
  <si>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</si>
  <si>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</si>
  <si>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</si>
  <si>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</si>
  <si>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</si>
  <si>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</si>
  <si>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</si>
  <si>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</si>
  <si>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</si>
  <si>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</si>
  <si>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</si>
  <si>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</si>
  <si>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</si>
  <si>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</si>
  <si>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</si>
  <si>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</si>
  <si>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</si>
  <si>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</si>
  <si>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</si>
  <si>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</si>
  <si>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</si>
  <si>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</si>
  <si>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</si>
  <si>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</si>
  <si>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</si>
  <si>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</si>
  <si>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</si>
  <si>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</si>
  <si>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</si>
  <si>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</si>
  <si>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</si>
  <si>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</si>
  <si>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</si>
  <si>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</si>
  <si>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</si>
  <si>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</si>
  <si>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</si>
  <si>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</si>
  <si>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</si>
  <si>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</si>
  <si>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</si>
  <si>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</si>
  <si>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</si>
  <si>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</si>
  <si>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</si>
  <si>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</si>
  <si>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</si>
  <si>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</si>
  <si>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</si>
  <si>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</si>
  <si>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</si>
  <si>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</si>
  <si>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</si>
  <si>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</si>
  <si>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</si>
  <si>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</si>
  <si>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</si>
  <si>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</si>
  <si>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</si>
  <si>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</si>
  <si>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</si>
  <si>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</si>
  <si>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</si>
  <si>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</si>
  <si>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</si>
  <si>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</si>
  <si>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</si>
  <si>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</si>
  <si>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</si>
  <si>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</si>
  <si>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</si>
  <si>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</si>
  <si>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</si>
  <si>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</si>
  <si>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</si>
  <si>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</si>
  <si>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</si>
  <si>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</si>
  <si>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</si>
  <si>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</si>
  <si>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</si>
  <si>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</si>
  <si>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</si>
  <si>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</si>
  <si>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</si>
  <si>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</si>
  <si>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</si>
  <si>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</si>
  <si>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</si>
  <si>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</si>
  <si>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</si>
  <si>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</si>
  <si>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</si>
  <si>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</si>
  <si>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</si>
  <si>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</si>
  <si>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</si>
  <si>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</si>
  <si>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</si>
  <si>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</si>
  <si>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</si>
  <si>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</si>
  <si>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</si>
  <si>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</si>
  <si>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</si>
  <si>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</si>
  <si>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</si>
  <si>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</si>
  <si>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</si>
  <si>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</si>
  <si>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</si>
  <si>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</si>
  <si>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</si>
  <si>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</si>
  <si>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</si>
  <si>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</si>
  <si>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</si>
  <si>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</si>
  <si>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</si>
  <si>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</si>
  <si>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</si>
  <si>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</si>
  <si>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</si>
  <si>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</si>
  <si>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</si>
  <si>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</si>
  <si>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</si>
  <si>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</si>
  <si>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</si>
  <si>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</si>
  <si>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</si>
  <si>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</si>
  <si>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</si>
  <si>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</si>
  <si>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</si>
  <si>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</si>
  <si>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</si>
  <si>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</si>
  <si>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</si>
  <si>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</si>
  <si>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</si>
  <si>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</si>
  <si>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</si>
  <si>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</si>
  <si>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</si>
  <si>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</si>
  <si>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</si>
  <si>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</si>
  <si>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</si>
  <si>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</si>
  <si>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</si>
  <si>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</si>
  <si>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</si>
  <si>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</si>
  <si>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</si>
  <si>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</si>
  <si>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</si>
  <si>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</si>
  <si>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</si>
  <si>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</si>
  <si>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</si>
  <si>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</si>
  <si>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</si>
  <si>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</si>
  <si>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</si>
  <si>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</si>
  <si>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</si>
  <si>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</si>
  <si>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</si>
  <si>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</si>
  <si>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</si>
  <si>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</si>
  <si>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</si>
  <si>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</si>
  <si>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</si>
  <si>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</si>
  <si>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</si>
  <si>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</si>
  <si>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</si>
  <si>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</si>
  <si>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</si>
  <si>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</si>
  <si>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</si>
  <si>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</si>
  <si>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</si>
  <si>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</si>
  <si>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</si>
  <si>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</si>
  <si>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</si>
  <si>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</si>
  <si>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</si>
  <si>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</si>
  <si>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</si>
  <si>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</si>
  <si>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</si>
  <si>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</si>
  <si>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</si>
  <si>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</si>
  <si>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</si>
  <si>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</si>
  <si>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</si>
  <si>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</si>
  <si>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</si>
  <si>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</si>
  <si>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</si>
  <si>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</si>
  <si>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</si>
  <si>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</si>
  <si>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</si>
  <si>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</si>
  <si>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</si>
  <si>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</si>
  <si>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</si>
  <si>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</si>
  <si>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</si>
  <si>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</si>
  <si>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</si>
  <si>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</si>
  <si>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</si>
  <si>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</si>
  <si>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</si>
  <si>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</si>
  <si>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</si>
  <si>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</si>
  <si>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</si>
  <si>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</si>
  <si>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</si>
  <si>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</si>
  <si>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</si>
  <si>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</si>
  <si>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</si>
  <si>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</si>
  <si>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</si>
  <si>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</si>
  <si>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</si>
  <si>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</si>
  <si>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</si>
  <si>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</si>
  <si>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</si>
  <si>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</si>
  <si>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</si>
  <si>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</si>
  <si>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</si>
  <si>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</si>
  <si>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</si>
  <si>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</si>
  <si>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</si>
  <si>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</si>
  <si>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</si>
  <si>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</si>
  <si>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</si>
  <si>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</si>
  <si>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</si>
  <si>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</si>
  <si>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</si>
  <si>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</si>
  <si>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</si>
  <si>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</si>
  <si>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</si>
  <si>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</si>
  <si>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</si>
  <si>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</si>
  <si>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</si>
  <si>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</si>
  <si>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</si>
  <si>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</si>
  <si>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</si>
  <si>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</si>
  <si>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</si>
  <si>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</si>
  <si>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</si>
  <si>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</si>
  <si>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</si>
  <si>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</si>
  <si>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</si>
  <si>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</si>
  <si>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</si>
  <si>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</si>
  <si>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</si>
  <si>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</si>
  <si>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</si>
  <si>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</si>
  <si>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</si>
  <si>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</si>
  <si>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</si>
  <si>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</si>
  <si>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</si>
  <si>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</si>
  <si>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</si>
  <si>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</si>
  <si>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</si>
  <si>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</si>
  <si>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</si>
  <si>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</si>
  <si>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</si>
  <si>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</si>
  <si>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</si>
  <si>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</si>
  <si>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</si>
  <si>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</si>
  <si>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</si>
  <si>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</si>
  <si>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</si>
  <si>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</si>
  <si>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</si>
  <si>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</si>
  <si>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</si>
  <si>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</si>
  <si>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</si>
  <si>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</si>
  <si>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</si>
  <si>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</si>
  <si>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</si>
  <si>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</si>
  <si>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</si>
  <si>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</si>
  <si>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</si>
  <si>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</si>
  <si>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</si>
  <si>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</si>
  <si>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</si>
  <si>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</si>
  <si>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</si>
  <si>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</si>
  <si>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</si>
  <si>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</si>
  <si>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</si>
  <si>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</si>
  <si>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</si>
  <si>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</si>
  <si>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</si>
  <si>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</si>
  <si>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</si>
  <si>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</si>
  <si>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</si>
  <si>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</si>
  <si>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</si>
  <si>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</si>
  <si>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</si>
  <si>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</si>
  <si>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</si>
  <si>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</si>
  <si>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</si>
  <si>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</si>
  <si>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</si>
  <si>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</si>
  <si>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</si>
  <si>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</si>
  <si>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</si>
  <si>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</si>
  <si>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</si>
  <si>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</si>
  <si>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</si>
  <si>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</si>
  <si>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</si>
  <si>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</si>
  <si>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</si>
  <si>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</si>
  <si>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</si>
  <si>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</si>
  <si>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</si>
  <si>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</si>
  <si>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</si>
  <si>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</si>
  <si>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</si>
  <si>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</si>
  <si>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</si>
  <si>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</si>
  <si>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</si>
  <si>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</si>
  <si>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</si>
  <si>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</si>
  <si>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</si>
  <si>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</si>
  <si>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</si>
  <si>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</si>
  <si>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</si>
  <si>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</si>
  <si>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</si>
  <si>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</si>
  <si>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</si>
  <si>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</si>
  <si>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</si>
  <si>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</si>
  <si>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</si>
  <si>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</si>
  <si>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</si>
  <si>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</si>
  <si>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</si>
  <si>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</si>
  <si>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</si>
  <si>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</si>
  <si>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</si>
  <si>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</si>
  <si>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</si>
  <si>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</si>
  <si>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</si>
  <si>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</si>
  <si>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</si>
  <si>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</si>
  <si>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</si>
  <si>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</si>
  <si>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</si>
  <si>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</si>
  <si>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</si>
  <si>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</si>
  <si>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</si>
  <si>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</si>
  <si>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</si>
  <si>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</si>
  <si>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</si>
  <si>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</si>
  <si>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</si>
  <si>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</si>
  <si>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</si>
  <si>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</si>
  <si>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</si>
  <si>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</si>
  <si>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</si>
  <si>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</si>
  <si>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</si>
  <si>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</si>
  <si>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</si>
  <si>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</si>
  <si>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</si>
  <si>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</si>
  <si>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</si>
  <si>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</si>
  <si>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</si>
  <si>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</si>
  <si>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</si>
  <si>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</si>
  <si>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</si>
  <si>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</si>
  <si>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</si>
  <si>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</si>
  <si>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</si>
  <si>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</si>
  <si>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</si>
  <si>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</si>
  <si>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</si>
  <si>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</si>
  <si>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</si>
  <si>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</si>
  <si>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</si>
  <si>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</si>
  <si>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</si>
  <si>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</si>
  <si>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</si>
  <si>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</si>
  <si>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</si>
  <si>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</si>
  <si>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</si>
  <si>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</si>
  <si>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</si>
  <si>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</si>
  <si>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</si>
  <si>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</si>
  <si>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</si>
  <si>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</si>
  <si>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</si>
  <si>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</si>
  <si>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</si>
  <si>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</si>
  <si>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</si>
  <si>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</si>
  <si>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</si>
  <si>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</si>
  <si>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</si>
  <si>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</si>
  <si>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</si>
  <si>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</si>
  <si>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</si>
  <si>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</si>
  <si>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</si>
  <si>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</si>
  <si>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</si>
  <si>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</si>
  <si>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</si>
  <si>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</si>
  <si>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</si>
  <si>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</si>
  <si>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</si>
  <si>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</si>
  <si>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</si>
  <si>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</si>
  <si>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</si>
  <si>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</si>
  <si>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</si>
  <si>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</si>
  <si>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</si>
  <si>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</si>
  <si>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</si>
  <si>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</si>
  <si>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</si>
  <si>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</si>
  <si>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</si>
  <si>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</si>
  <si>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</si>
  <si>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</si>
  <si>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</si>
  <si>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</si>
  <si>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</si>
  <si>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</si>
  <si>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</si>
  <si>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</si>
  <si>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</si>
  <si>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</si>
  <si>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</si>
  <si>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</si>
  <si>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</si>
  <si>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</si>
  <si>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</si>
  <si>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</si>
  <si>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</si>
  <si>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</si>
  <si>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</si>
  <si>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</si>
  <si>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</si>
  <si>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</si>
  <si>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</si>
  <si>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</si>
  <si>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</si>
  <si>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</si>
  <si>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</si>
  <si>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</si>
  <si>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</si>
  <si>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</si>
  <si>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</si>
  <si>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</si>
  <si>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</si>
  <si>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</si>
  <si>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</si>
  <si>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</si>
  <si>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</si>
  <si>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</si>
  <si>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</si>
  <si>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</si>
  <si>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</si>
  <si>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</si>
  <si>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</si>
  <si>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</si>
  <si>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</si>
  <si>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</si>
  <si>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</si>
  <si>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</si>
  <si>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</si>
  <si>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</si>
  <si>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</si>
  <si>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</si>
  <si>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</si>
  <si>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</si>
  <si>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</si>
  <si>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</si>
  <si>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</si>
  <si>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</si>
  <si>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</si>
  <si>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</si>
  <si>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</si>
  <si>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</si>
  <si>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</si>
  <si>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</si>
  <si>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</si>
  <si>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</si>
  <si>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</si>
  <si>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</si>
  <si>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</si>
  <si>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</si>
  <si>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</si>
  <si>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</si>
  <si>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</si>
  <si>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</si>
  <si>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</si>
  <si>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</si>
  <si>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</si>
  <si>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</si>
  <si>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</si>
  <si>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</si>
  <si>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</si>
  <si>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</si>
  <si>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</si>
  <si>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</si>
  <si>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</si>
  <si>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</si>
  <si>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</si>
  <si>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</si>
  <si>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</si>
  <si>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</si>
  <si>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</si>
  <si>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</si>
  <si>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</si>
  <si>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</si>
  <si>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</si>
  <si>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</si>
  <si>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</si>
  <si>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</si>
  <si>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</si>
  <si>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</si>
  <si>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</si>
  <si>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</si>
  <si>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</si>
  <si>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</si>
  <si>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</si>
  <si>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</si>
  <si>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</si>
  <si>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</si>
  <si>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</si>
  <si>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</si>
  <si>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</si>
  <si>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</si>
  <si>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</si>
  <si>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</si>
  <si>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</si>
  <si>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</si>
  <si>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</si>
  <si>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</si>
  <si>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</si>
  <si>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</si>
  <si>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</si>
  <si>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</si>
  <si>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</si>
  <si>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</si>
  <si>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</si>
  <si>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</si>
  <si>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</si>
  <si>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</si>
  <si>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</si>
  <si>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</si>
  <si>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</si>
  <si>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</si>
  <si>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</si>
  <si>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</si>
  <si>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</si>
  <si>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</si>
  <si>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</si>
  <si>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</si>
  <si>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</si>
  <si>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</si>
  <si>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</si>
  <si>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</si>
  <si>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</si>
  <si>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</si>
  <si>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</si>
  <si>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</si>
  <si>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</si>
  <si>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</si>
  <si>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</si>
  <si>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</si>
  <si>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</si>
  <si>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</si>
  <si>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</si>
  <si>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</si>
  <si>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</si>
  <si>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</si>
  <si>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</si>
  <si>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</si>
  <si>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</si>
  <si>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</si>
  <si>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</si>
  <si>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</si>
  <si>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</si>
  <si>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</si>
  <si>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</si>
  <si>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</si>
  <si>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</si>
  <si>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</si>
  <si>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</si>
  <si>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</si>
  <si>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</si>
  <si>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</si>
  <si>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</si>
  <si>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</si>
  <si>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</si>
  <si>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</si>
  <si>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</si>
  <si>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</si>
  <si>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</si>
  <si>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</si>
  <si>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</si>
  <si>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</si>
  <si>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</si>
  <si>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</si>
  <si>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</si>
  <si>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</si>
  <si>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</si>
  <si>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</si>
  <si>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</si>
  <si>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</si>
  <si>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</si>
  <si>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</si>
  <si>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</si>
  <si>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</si>
  <si>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</si>
  <si>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</si>
  <si>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</si>
  <si>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</si>
  <si>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</si>
  <si>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</si>
  <si>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</si>
  <si>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</si>
  <si>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</si>
  <si>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</si>
  <si>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</si>
  <si>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</si>
  <si>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</si>
  <si>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</si>
  <si>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</si>
  <si>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</si>
  <si>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</si>
  <si>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</si>
  <si>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</si>
  <si>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</si>
  <si>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</si>
  <si>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</si>
  <si>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</si>
  <si>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</si>
  <si>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</si>
  <si>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</si>
  <si>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</si>
  <si>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</si>
  <si>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</si>
  <si>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</si>
  <si>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</si>
  <si>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</si>
  <si>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</si>
  <si>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</si>
  <si>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</si>
  <si>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</si>
  <si>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</si>
  <si>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</si>
  <si>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</si>
  <si>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</si>
  <si>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</si>
  <si>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</si>
  <si>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</si>
  <si>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</si>
  <si>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</si>
  <si>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</si>
  <si>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</si>
  <si>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</si>
  <si>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</si>
  <si>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</si>
  <si>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</si>
  <si>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</si>
  <si>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</si>
  <si>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</si>
  <si>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</si>
  <si>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</si>
  <si>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</si>
  <si>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</si>
  <si>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</si>
  <si>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</si>
  <si>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</si>
  <si>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</si>
  <si>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</si>
  <si>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</si>
  <si>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</si>
  <si>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</si>
  <si>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</si>
  <si>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</si>
  <si>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</si>
  <si>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</si>
  <si>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</si>
  <si>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</si>
  <si>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</si>
  <si>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</si>
  <si>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</si>
  <si>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</si>
  <si>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</si>
  <si>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</si>
  <si>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</si>
  <si>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</si>
  <si>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</si>
  <si>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</si>
  <si>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</si>
  <si>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</si>
  <si>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</si>
  <si>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</si>
  <si>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</si>
  <si>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</si>
  <si>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</si>
  <si>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</si>
  <si>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</si>
  <si>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</si>
  <si>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</si>
  <si>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</si>
  <si>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</si>
  <si>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</si>
  <si>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</si>
  <si>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</si>
  <si>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</si>
  <si>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</si>
  <si>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</si>
  <si>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</si>
  <si>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</si>
  <si>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</si>
  <si>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</si>
  <si>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</si>
  <si>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</si>
  <si>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</si>
  <si>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</si>
  <si>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</si>
  <si>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</si>
  <si>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</si>
  <si>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</si>
  <si>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</si>
  <si>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</si>
  <si>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</si>
  <si>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</si>
  <si>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</si>
  <si>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</si>
  <si>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</si>
  <si>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</si>
  <si>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</si>
  <si>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</si>
  <si>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</si>
  <si>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</si>
  <si>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</si>
  <si>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</si>
  <si>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</si>
  <si>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</si>
  <si>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</si>
  <si>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</si>
  <si>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</si>
  <si>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</si>
  <si>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</si>
  <si>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</si>
  <si>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</si>
  <si>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</si>
  <si>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</si>
  <si>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</si>
  <si>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</si>
  <si>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</si>
  <si>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</si>
  <si>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</si>
  <si>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</si>
  <si>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</si>
  <si>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</si>
  <si>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</si>
  <si>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</si>
  <si>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</si>
  <si>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</si>
  <si>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</si>
  <si>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</si>
  <si>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</si>
  <si>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</si>
  <si>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</si>
  <si>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</si>
  <si>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</si>
  <si>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</si>
  <si>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</si>
  <si>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</si>
  <si>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</si>
  <si>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</si>
  <si>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</si>
  <si>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</si>
  <si>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</si>
  <si>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</si>
  <si>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</si>
  <si>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</si>
  <si>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</si>
  <si>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</si>
  <si>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</si>
  <si>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</si>
  <si>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</si>
  <si>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</si>
  <si>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</si>
  <si>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</si>
  <si>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</si>
  <si>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</si>
  <si>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</si>
  <si>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</si>
  <si>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</si>
  <si>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</si>
  <si>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</si>
  <si>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</si>
  <si>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</si>
  <si>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</si>
  <si>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</si>
  <si>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</si>
  <si>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</si>
  <si>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</si>
  <si>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</si>
  <si>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</si>
  <si>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</si>
  <si>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</si>
  <si>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</si>
  <si>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</si>
  <si>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</si>
  <si>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</si>
  <si>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</si>
  <si>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</si>
  <si>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</si>
  <si>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</si>
  <si>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</si>
  <si>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</si>
  <si>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</si>
  <si>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</si>
  <si>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</si>
  <si>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</si>
  <si>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</si>
  <si>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</si>
  <si>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</si>
  <si>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</si>
  <si>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</si>
  <si>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</si>
  <si>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</si>
  <si>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</si>
  <si>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</si>
  <si>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</si>
  <si>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</si>
  <si>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</si>
  <si>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</si>
  <si>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</si>
  <si>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</si>
  <si>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</si>
  <si>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</si>
  <si>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</si>
  <si>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</si>
  <si>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</si>
  <si>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</si>
  <si>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</si>
  <si>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</si>
  <si>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</si>
  <si>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</si>
  <si>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</si>
  <si>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</si>
  <si>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</si>
  <si>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</si>
  <si>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</si>
  <si>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</si>
  <si>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</si>
  <si>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</si>
  <si>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</si>
  <si>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</si>
  <si>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</si>
  <si>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</si>
  <si>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</si>
  <si>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</si>
  <si>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</si>
  <si>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</si>
  <si>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</si>
  <si>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</si>
  <si>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</si>
  <si>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</si>
  <si>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</si>
  <si>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</si>
  <si>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</si>
  <si>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</si>
  <si>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</si>
  <si>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</si>
  <si>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</si>
  <si>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</si>
  <si>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</si>
  <si>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</si>
  <si>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</si>
  <si>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</si>
  <si>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</si>
  <si>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</si>
  <si>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</si>
  <si>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</si>
  <si>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</si>
  <si>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</si>
  <si>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</si>
  <si>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</si>
  <si>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</si>
  <si>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</si>
  <si>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</si>
  <si>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</si>
  <si>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</si>
  <si>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</si>
  <si>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</si>
  <si>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</si>
  <si>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</si>
  <si>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</si>
  <si>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</si>
  <si>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</si>
  <si>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</si>
  <si>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</si>
  <si>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</si>
  <si>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</si>
  <si>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</si>
  <si>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</si>
  <si>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</si>
  <si>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</si>
  <si>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</si>
  <si>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</si>
  <si>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</si>
  <si>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</si>
  <si>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</si>
  <si>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</si>
  <si>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</si>
  <si>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</si>
  <si>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</si>
  <si>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</si>
  <si>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</si>
  <si>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</si>
  <si>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</si>
  <si>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</si>
  <si>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</si>
  <si>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</si>
  <si>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</si>
  <si>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</si>
  <si>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</si>
  <si>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</si>
  <si>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</si>
  <si>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</si>
  <si>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</si>
  <si>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</si>
  <si>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</si>
  <si>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</si>
  <si>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</si>
  <si>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</si>
  <si>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</si>
  <si>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</si>
  <si>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</si>
  <si>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</si>
  <si>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</si>
  <si>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</si>
  <si>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</si>
  <si>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</si>
  <si>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</si>
  <si>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</si>
  <si>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</si>
  <si>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</si>
  <si>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</si>
  <si>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</si>
  <si>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</si>
  <si>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</si>
  <si>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</si>
  <si>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</si>
  <si>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</si>
  <si>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</si>
  <si>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</si>
  <si>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</si>
  <si>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</si>
  <si>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</si>
  <si>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</si>
  <si>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</si>
  <si>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</si>
  <si>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</si>
  <si>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</si>
  <si>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</si>
  <si>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</si>
  <si>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</si>
  <si>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</si>
  <si>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</si>
  <si>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</si>
  <si>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</si>
  <si>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</si>
  <si>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</si>
  <si>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</si>
  <si>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</si>
  <si>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</si>
  <si>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</si>
  <si>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</si>
  <si>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</si>
  <si>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</si>
  <si>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</si>
  <si>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</si>
  <si>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</si>
  <si>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</si>
  <si>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</si>
  <si>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</si>
  <si>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</si>
  <si>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</si>
  <si>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</si>
  <si>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</si>
  <si>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</si>
  <si>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</si>
  <si>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</si>
  <si>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</si>
  <si>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</si>
  <si>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</si>
  <si>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</si>
  <si>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</si>
  <si>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</si>
  <si>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</si>
  <si>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</si>
  <si>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</si>
  <si>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</si>
  <si>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</si>
  <si>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</si>
  <si>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</si>
  <si>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</si>
  <si>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</si>
  <si>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</si>
  <si>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</si>
  <si>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</si>
  <si>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</si>
  <si>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</si>
  <si>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</si>
  <si>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</si>
  <si>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</si>
  <si>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</si>
  <si>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</si>
  <si>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</si>
  <si>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</si>
  <si>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</si>
  <si>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</si>
  <si>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</si>
  <si>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</si>
  <si>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</si>
  <si>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</si>
  <si>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</si>
  <si>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</si>
  <si>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</si>
  <si>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</si>
  <si>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</si>
  <si>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</si>
  <si>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</si>
  <si>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</si>
  <si>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</si>
  <si>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</si>
  <si>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</si>
  <si>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</si>
  <si>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</si>
  <si>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</si>
  <si>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</si>
  <si>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</si>
  <si>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</si>
  <si>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</si>
  <si>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</si>
  <si>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</si>
  <si>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</si>
  <si>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</si>
  <si>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</si>
  <si>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</si>
  <si>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</si>
  <si>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</si>
  <si>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</si>
  <si>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</si>
  <si>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</si>
  <si>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</si>
  <si>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</si>
  <si>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</si>
  <si>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</si>
  <si>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</si>
  <si>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</si>
  <si>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</si>
  <si>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</si>
  <si>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</si>
  <si>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</si>
  <si>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</si>
  <si>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</si>
  <si>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</si>
  <si>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</si>
  <si>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</si>
  <si>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</si>
  <si>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</si>
  <si>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</si>
  <si>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</si>
  <si>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</si>
  <si>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</si>
  <si>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</si>
  <si>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</si>
  <si>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</si>
  <si>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</si>
  <si>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</si>
  <si>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</si>
  <si>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</si>
  <si>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</si>
  <si>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</si>
  <si>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</si>
  <si>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</si>
  <si>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</si>
  <si>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</si>
  <si>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</si>
  <si>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</si>
  <si>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</si>
  <si>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</si>
  <si>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</si>
  <si>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</si>
  <si>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</si>
  <si>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</si>
  <si>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</si>
  <si>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</si>
  <si>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</si>
  <si>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</si>
  <si>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</si>
  <si>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</si>
  <si>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</si>
  <si>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</si>
  <si>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</si>
  <si>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</si>
  <si>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</si>
  <si>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</si>
  <si>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</si>
  <si>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</si>
  <si>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</si>
  <si>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</si>
  <si>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</si>
  <si>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</si>
  <si>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</si>
  <si>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</si>
  <si>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</si>
  <si>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</si>
  <si>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</si>
  <si>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</si>
  <si>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</si>
  <si>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</si>
  <si>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</si>
  <si>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</si>
  <si>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</si>
  <si>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</si>
  <si>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</si>
  <si>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</si>
  <si>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</si>
  <si>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</si>
  <si>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</si>
  <si>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</si>
  <si>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</si>
  <si>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</si>
  <si>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</si>
  <si>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</si>
  <si>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</si>
  <si>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</si>
  <si>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</si>
  <si>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</si>
  <si>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</si>
  <si>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</si>
  <si>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</si>
  <si>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</si>
  <si>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</si>
  <si>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</si>
  <si>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</si>
  <si>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</si>
  <si>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</si>
  <si>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</si>
  <si>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</si>
  <si>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</si>
  <si>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</si>
  <si>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</si>
  <si>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</si>
  <si>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</si>
  <si>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</si>
  <si>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</si>
  <si>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</si>
  <si>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</si>
  <si>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</si>
  <si>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</si>
  <si>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</si>
  <si>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</si>
  <si>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</si>
  <si>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</si>
  <si>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</si>
  <si>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</si>
  <si>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</si>
  <si>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</si>
  <si>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</si>
  <si>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</si>
  <si>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</si>
  <si>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</si>
  <si>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</si>
  <si>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</si>
  <si>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</si>
  <si>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</si>
  <si>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</si>
  <si>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</si>
  <si>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</si>
  <si>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</si>
  <si>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</si>
  <si>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</si>
  <si>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</si>
  <si>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</si>
  <si>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</si>
  <si>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</si>
  <si>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</si>
  <si>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</si>
  <si>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</si>
  <si>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</si>
  <si>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</si>
  <si>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</si>
  <si>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</si>
  <si>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</si>
  <si>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</si>
  <si>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</si>
  <si>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</si>
  <si>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</si>
  <si>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</si>
  <si>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</si>
  <si>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</si>
  <si>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</si>
  <si>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</si>
  <si>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</si>
  <si>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</si>
  <si>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</si>
  <si>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</si>
  <si>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</si>
  <si>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</si>
  <si>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</si>
  <si>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</si>
  <si>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</si>
  <si>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</si>
  <si>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</si>
  <si>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</si>
  <si>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</si>
  <si>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</si>
  <si>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</si>
  <si>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</si>
  <si>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</si>
  <si>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</si>
  <si>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</si>
  <si>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</si>
  <si>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</si>
  <si>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</si>
  <si>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</si>
  <si>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</si>
  <si>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</si>
  <si>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</si>
  <si>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</si>
  <si>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</si>
  <si>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</si>
  <si>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</si>
  <si>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</si>
  <si>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</si>
  <si>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</si>
  <si>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</si>
  <si>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</si>
  <si>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</si>
  <si>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</si>
  <si>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</si>
  <si>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</si>
  <si>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</si>
  <si>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</si>
  <si>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</si>
  <si>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</si>
  <si>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</si>
  <si>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</si>
  <si>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</si>
  <si>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</si>
  <si>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</si>
  <si>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</si>
  <si>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</si>
  <si>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</si>
  <si>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</si>
  <si>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</si>
  <si>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</si>
  <si>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</si>
  <si>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</si>
  <si>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</si>
  <si>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</si>
  <si>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</si>
  <si>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</si>
  <si>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</si>
  <si>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</si>
  <si>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</si>
  <si>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</si>
  <si>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</si>
  <si>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</si>
  <si>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</si>
  <si>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</si>
  <si>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</si>
  <si>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</si>
  <si>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</si>
  <si>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</si>
  <si>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</si>
  <si>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</si>
  <si>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</si>
  <si>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</si>
  <si>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</si>
  <si>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</si>
  <si>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</si>
  <si>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</si>
  <si>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</si>
  <si>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</si>
  <si>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</si>
  <si>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</si>
  <si>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</si>
  <si>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</si>
  <si>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</si>
  <si>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</si>
  <si>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</si>
  <si>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</si>
  <si>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</si>
  <si>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</si>
  <si>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</si>
  <si>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</si>
  <si>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</si>
  <si>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</si>
  <si>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</si>
  <si>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</si>
  <si>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</si>
  <si>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</si>
  <si>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</si>
  <si>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</si>
  <si>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</si>
  <si>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</si>
  <si>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</si>
  <si>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</si>
  <si>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</si>
  <si>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</si>
  <si>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</si>
  <si>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</si>
  <si>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</si>
  <si>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</si>
  <si>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</si>
  <si>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</si>
  <si>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</si>
  <si>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</si>
  <si>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</si>
  <si>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</si>
  <si>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</si>
  <si>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</si>
  <si>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</si>
  <si>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</si>
  <si>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</si>
  <si>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</si>
  <si>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</si>
  <si>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</si>
  <si>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</si>
  <si>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</si>
  <si>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</si>
  <si>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</si>
  <si>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</si>
  <si>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</si>
  <si>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</si>
  <si>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</si>
  <si>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</si>
  <si>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</si>
  <si>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</si>
  <si>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</si>
  <si>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</si>
  <si>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</si>
  <si>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</si>
  <si>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</si>
  <si>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</si>
  <si>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</si>
  <si>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</si>
  <si>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</si>
  <si>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</si>
  <si>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</si>
  <si>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</si>
  <si>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</si>
  <si>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</si>
  <si>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</si>
  <si>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</si>
  <si>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</si>
  <si>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</si>
  <si>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</si>
  <si>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</si>
  <si>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</si>
  <si>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</si>
  <si>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</si>
  <si>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</si>
  <si>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</si>
  <si>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</si>
  <si>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</si>
  <si>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</si>
  <si>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</si>
  <si>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</si>
  <si>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</si>
  <si>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</si>
  <si>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</si>
  <si>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</si>
  <si>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</si>
  <si>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</si>
  <si>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</si>
  <si>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</si>
  <si>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</si>
  <si>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</si>
  <si>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</si>
  <si>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</si>
  <si>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</si>
  <si>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</si>
  <si>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</si>
  <si>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</si>
  <si>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</si>
  <si>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</si>
  <si>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</si>
  <si>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</si>
  <si>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</si>
  <si>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</si>
  <si>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</si>
  <si>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</si>
  <si>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</si>
  <si>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</si>
  <si>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</si>
  <si>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</si>
  <si>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</si>
  <si>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</si>
  <si>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</si>
  <si>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</si>
  <si>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</si>
  <si>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</si>
  <si>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</si>
  <si>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</si>
  <si>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</si>
  <si>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</si>
  <si>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</si>
  <si>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</si>
  <si>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</si>
  <si>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</si>
  <si>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</si>
  <si>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</si>
  <si>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</si>
  <si>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</si>
  <si>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</si>
  <si>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</si>
  <si>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</si>
  <si>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</si>
  <si>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</si>
  <si>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</si>
  <si>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</si>
  <si>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</si>
  <si>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</si>
  <si>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</si>
  <si>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</si>
  <si>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</si>
  <si>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</si>
  <si>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</si>
  <si>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</si>
  <si>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</si>
  <si>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</si>
  <si>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</si>
  <si>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</si>
  <si>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</si>
  <si>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</si>
  <si>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</si>
  <si>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</si>
  <si>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</si>
  <si>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</si>
  <si>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</si>
  <si>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</si>
  <si>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</si>
  <si>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</si>
  <si>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</si>
  <si>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</si>
  <si>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</si>
  <si>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</si>
  <si>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</si>
  <si>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</si>
  <si>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</si>
  <si>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</si>
  <si>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</si>
  <si>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</si>
  <si>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</si>
  <si>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</si>
  <si>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</si>
  <si>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</si>
  <si>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</si>
  <si>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</si>
  <si>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</si>
  <si>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</si>
  <si>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</si>
  <si>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</si>
  <si>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</si>
  <si>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</si>
  <si>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</si>
  <si>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</si>
  <si>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</si>
  <si>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</si>
  <si>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</si>
  <si>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</si>
  <si>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</si>
  <si>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</si>
  <si>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</si>
  <si>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</si>
  <si>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</si>
  <si>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</si>
  <si>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</si>
  <si>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</si>
  <si>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</si>
  <si>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</si>
  <si>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</si>
  <si>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</si>
  <si>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</si>
  <si>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</si>
  <si>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</si>
  <si>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</si>
  <si>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</si>
  <si>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</si>
  <si>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</si>
  <si>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</si>
  <si>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</si>
  <si>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</si>
  <si>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</si>
  <si>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</si>
  <si>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</si>
  <si>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</si>
  <si>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</si>
  <si>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</si>
  <si>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</si>
  <si>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</si>
  <si>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</si>
  <si>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</si>
  <si>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</si>
  <si>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</si>
  <si>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</si>
  <si>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</si>
  <si>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</si>
  <si>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</si>
  <si>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</si>
  <si>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</si>
  <si>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</si>
  <si>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</si>
  <si>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</si>
  <si>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</si>
  <si>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</si>
  <si>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</si>
  <si>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</si>
  <si>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</si>
  <si>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</si>
  <si>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</si>
  <si>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</si>
  <si>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</si>
  <si>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</si>
  <si>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</si>
  <si>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</si>
  <si>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</si>
  <si>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</si>
  <si>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</si>
  <si>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</si>
  <si>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</si>
  <si>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</si>
  <si>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</si>
  <si>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</si>
  <si>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</si>
  <si>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</si>
  <si>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</si>
  <si>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</si>
  <si>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</si>
  <si>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</si>
  <si>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</si>
  <si>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</si>
  <si>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</si>
  <si>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</si>
  <si>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</si>
  <si>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</si>
  <si>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</si>
  <si>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</si>
  <si>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</si>
  <si>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</si>
  <si>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</si>
  <si>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</si>
  <si>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</si>
  <si>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</si>
  <si>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</si>
  <si>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</si>
  <si>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</si>
  <si>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</si>
  <si>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</si>
  <si>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</si>
  <si>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</si>
  <si>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</si>
  <si>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</si>
  <si>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</si>
  <si>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</si>
  <si>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</si>
  <si>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</si>
  <si>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</si>
  <si>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</si>
  <si>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</si>
  <si>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</si>
  <si>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</si>
  <si>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</si>
  <si>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</si>
  <si>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</si>
  <si>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</si>
  <si>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</si>
  <si>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</si>
  <si>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</si>
  <si>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</si>
  <si>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</si>
  <si>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</si>
  <si>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</si>
  <si>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</si>
  <si>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</si>
  <si>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</si>
  <si>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</si>
  <si>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</si>
  <si>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</si>
  <si>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</si>
  <si>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</si>
  <si>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</si>
  <si>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</si>
  <si>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</si>
  <si>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</si>
  <si>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</si>
  <si>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</si>
  <si>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</si>
  <si>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</si>
  <si>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</si>
  <si>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</si>
  <si>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</si>
  <si>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</si>
  <si>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</si>
  <si>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</si>
  <si>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</si>
  <si>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</si>
  <si>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</si>
  <si>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</si>
  <si>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</si>
  <si>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</si>
  <si>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</si>
  <si>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</si>
  <si>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</si>
  <si>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</si>
  <si>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</si>
  <si>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</si>
  <si>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</si>
  <si>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</si>
  <si>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</si>
  <si>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</si>
  <si>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</si>
  <si>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</si>
  <si>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</si>
  <si>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</si>
  <si>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</si>
  <si>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</si>
  <si>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</si>
  <si>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</si>
  <si>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</si>
  <si>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地上</t>
  </si>
  <si>
    <t>是</t>
  </si>
  <si>
    <t>商业</t>
    <phoneticPr fontId="7" type="noConversion"/>
  </si>
  <si>
    <t>成新度</t>
  </si>
  <si>
    <t>收益法</t>
  </si>
  <si>
    <t>押一</t>
  </si>
  <si>
    <t>钢混</t>
  </si>
  <si>
    <t>非生产用房</t>
  </si>
  <si>
    <t>否</t>
  </si>
  <si>
    <t>自定义容积率</t>
  </si>
  <si>
    <t>楼层修正</t>
  </si>
  <si>
    <t>中心城区以外</t>
  </si>
  <si>
    <t>一般</t>
  </si>
  <si>
    <t>好</t>
  </si>
  <si>
    <t>与级别开发程度不一致</t>
  </si>
  <si>
    <t>通路</t>
  </si>
  <si>
    <t>通电</t>
  </si>
  <si>
    <t>通讯</t>
  </si>
  <si>
    <t>通下水</t>
  </si>
  <si>
    <t>通上水</t>
  </si>
  <si>
    <t>通热</t>
  </si>
  <si>
    <t>平整</t>
  </si>
  <si>
    <t>不临65条商业街</t>
  </si>
  <si>
    <t>未包含在土地购买价格中</t>
  </si>
  <si>
    <t>全部缴纳</t>
  </si>
  <si>
    <t>已包含在土地取得成本中</t>
  </si>
  <si>
    <t>成本法</t>
  </si>
  <si>
    <t>总价</t>
  </si>
  <si>
    <t>成本比率</t>
  </si>
  <si>
    <t>自然人</t>
  </si>
  <si>
    <t>总4层</t>
    <phoneticPr fontId="3" type="noConversion"/>
  </si>
  <si>
    <r>
      <t>1-3</t>
    </r>
    <r>
      <rPr>
        <sz val="10"/>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</si>
</sst>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0" borderId="1" xfId="0" applyFont="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0" borderId="1" xfId="0"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646505</xdr:colOff>
      <xdr:row>24</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61905" cy="4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估价对象为北京市房地产，为所有。根据《国有土地使用证》[]，估价对象（分摊）出让国有建设用地使用权面积为0平方米，建筑面积为175.15平方米。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估价对象为北京市房地产,属开发建设的，该项目尚在开发建设中。根据《国有土地使用证》[]，估价对象（分摊）出让国有建设用地使用权面积为0平方米，规划建筑面积为175.15平方米。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2024年1月19日</v>
      </c>
    </row>
    <row r="13" spans="1:2" s="1203" customFormat="1">
      <c r="A13" s="1201" t="s">
        <v>529</v>
      </c>
      <c r="B13" s="1202" t="str">
        <f>'预评函-1'!A18</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193</v>
      </c>
    </row>
    <row r="21" spans="1:2" s="1203" customFormat="1">
      <c r="A21" s="1201" t="s">
        <v>537</v>
      </c>
      <c r="B21" s="1202">
        <f ca="1">'预评函-2'!D7</f>
        <v>11019</v>
      </c>
    </row>
    <row r="22" spans="1:2" s="1203" customFormat="1">
      <c r="A22" s="1201" t="s">
        <v>538</v>
      </c>
      <c r="B22" s="1202" t="str">
        <f ca="1">'预评函-2'!D6</f>
        <v>壹佰玖拾叁万元整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193</v>
      </c>
    </row>
    <row r="31" spans="1:2" s="1203" customFormat="1">
      <c r="A31" s="1201" t="s">
        <v>576</v>
      </c>
      <c r="B31" s="1202">
        <f ca="1">'预评函-2'!D15</f>
        <v>11019</v>
      </c>
    </row>
    <row r="32" spans="1:2" s="1203" customFormat="1">
      <c r="A32" s="1201" t="s">
        <v>543</v>
      </c>
      <c r="B32" s="1202" t="str">
        <f ca="1">'预评函-2'!D14</f>
        <v>壹佰玖拾叁万元整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175.15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131</v>
      </c>
    </row>
    <row r="48" spans="1:2" s="1203" customFormat="1">
      <c r="A48" s="1201" t="s">
        <v>549</v>
      </c>
      <c r="B48" s="1202">
        <f ca="1">'预评函-3'!E4</f>
        <v>7479</v>
      </c>
    </row>
    <row r="49" spans="1:2" s="1203" customFormat="1">
      <c r="A49" s="1201" t="s">
        <v>550</v>
      </c>
      <c r="B49" s="1202" t="str">
        <f ca="1">'预评函-3'!D5</f>
        <v>壹佰叁拾壹万元整</v>
      </c>
    </row>
    <row r="50" spans="1:2" s="1203" customFormat="1">
      <c r="A50" s="1201" t="s">
        <v>574</v>
      </c>
      <c r="B50" s="1202" t="str">
        <f>'预评函-3'!F2</f>
        <v>在建建筑物价值</v>
      </c>
    </row>
    <row r="51" spans="1:2" s="1203" customFormat="1">
      <c r="A51" s="1201" t="s">
        <v>551</v>
      </c>
      <c r="B51" s="1202">
        <f ca="1">'预评函-3'!F4</f>
        <v>62</v>
      </c>
    </row>
    <row r="52" spans="1:2" s="1203" customFormat="1">
      <c r="A52" s="1201" t="s">
        <v>552</v>
      </c>
      <c r="B52" s="1202">
        <f ca="1">'预评函-3'!G4</f>
        <v>3540</v>
      </c>
    </row>
    <row r="53" spans="1:2" s="1203" customFormat="1">
      <c r="A53" s="1201" t="s">
        <v>580</v>
      </c>
      <c r="B53" s="1202" t="str">
        <f ca="1">'预评函-3'!F5</f>
        <v>陆拾贰万元整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45310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2.91</v>
      </c>
      <c r="D5" s="3025">
        <f>IF(ISERROR(ROUND(POWER(1+E5,A5-C5)*(POWER(1+E5,C5)-1)/(POWER(1+E5,A5)-1),3)),0,ROUND(POWER(1+E5,A5-C5)*(POWER(1+E5,C5)-1)/(POWER(1+E5,A5)-1),4))</f>
        <v>0.13619999999999999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12.92</v>
      </c>
      <c r="D6" s="3025">
        <f>IF(ISERROR(ROUND(POWER(1+E6,A6-C6)*(POWER(1+E6,C6)-1)/(POWER(1+E6,A6)-1),3)),0,ROUND(POWER(1+E6,A6-C6)*(POWER(1+E6,C6)-1)/(POWER(1+E6,A6)-1),4))</f>
        <v>0.46260000000000001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32.93</v>
      </c>
      <c r="D7" s="3025">
        <f>IF(ISERROR(ROUND(POWER(1+E7,A7-C7)*(POWER(1+E7,C7)-1)/(POWER(1+E7,A7)-1),3)),0,ROUND(POWER(1+E7,A7-C7)*(POWER(1+E7,C7)-1)/(POWER(1+E7,A7)-1),4))</f>
        <v>0.77490000000000003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2" sqref="E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45310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503"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504"/>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v>55168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175.15</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2939</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175.15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175.15</v>
      </c>
      <c r="H5" s="13">
        <f t="shared" ref="H5:AT5" si="0">SUM(H13:H656)</f>
        <v>175.15</v>
      </c>
      <c r="I5" s="13">
        <f t="shared" si="0"/>
        <v>175.15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175.15</v>
      </c>
      <c r="BA5" s="15">
        <f t="shared" si="1"/>
        <v>175.15</v>
      </c>
      <c r="BB5" s="15">
        <f t="shared" si="1"/>
        <v>175.15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3789" t="s">
        <v>3414</v>
      </c>
      <c r="C13" s="3449" t="s">
        <v>3415</v>
      </c>
      <c r="D13" s="1625" t="s">
        <v>3385</v>
      </c>
      <c r="E13" s="13">
        <f>IF($C$3="是",ROUND($A$3*G13/$B$3,2),ROUND($A$3*(G13-AT13)/$B$3,2))</f>
        <v>0</v>
      </c>
      <c r="F13" s="29"/>
      <c r="G13" s="30">
        <f>H13+AC13+AT13</f>
        <v>175.15</v>
      </c>
      <c r="H13" s="17">
        <f>SUMIF(I$12:AB$12,"总值",I13:AB13)</f>
        <v>175.15</v>
      </c>
      <c r="I13" s="1626">
        <v>175.15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总4层</v>
      </c>
      <c r="AX13" s="8" t="str">
        <f t="shared" si="6"/>
        <v>1-3层</v>
      </c>
      <c r="AY13" s="1349">
        <f>ROUND($AY$6*AZ13/$AZ$5,2)</f>
        <v>0</v>
      </c>
      <c r="AZ13" s="13">
        <f>BA13+BL13</f>
        <v>175.15</v>
      </c>
      <c r="BA13" s="13">
        <f>SUM(BB13:BK13)</f>
        <v>175.15</v>
      </c>
      <c r="BB13" s="13">
        <f>IF($D13="是",I13-J13,0)</f>
        <v>175.15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9"/>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9"/>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9"/>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49"/>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9"/>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7" sqref="I5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175.15</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175.15</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175.15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175.15</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175.15</v>
      </c>
      <c r="F19" s="2795">
        <f>'数据-基础表'!I5</f>
        <v>175.15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175.15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175.15</v>
      </c>
      <c r="F27" s="1140">
        <f>IF(SUM(F19:F26)=E8,SUM(F19:F26),"地上面积有误")</f>
        <v>175.15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175.15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175.15</v>
      </c>
      <c r="F31" s="677">
        <f>F27+F30</f>
        <v>175.15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Z29" sqref="Z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45310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55168</v>
      </c>
      <c r="F6" s="64">
        <f>SUMIF(项目基本情况!C$12:I$12,C6,项目基本情况!C$15:I$15)</f>
        <v>27</v>
      </c>
      <c r="G6" s="65">
        <f>IF(ISERROR(ROUND(POWER(1+H6,D6-F6)*(POWER(1+H6,F6)-1)/(POWER(1+H6,D6)-1),3)),0,ROUND(POWER(1+H6,D6-F6)*(POWER(1+H6,F6)-1)/(POWER(1+H6,D6)-1),3))</f>
        <v>0.85299999999999998</v>
      </c>
      <c r="H6" s="732">
        <v>0.05</v>
      </c>
      <c r="I6" s="732">
        <v>5.5E-2</v>
      </c>
      <c r="J6" s="66">
        <v>7.0000000000000007E-2</v>
      </c>
      <c r="K6" s="1030">
        <f>SUMIF('数据-汇总表'!C$19:C$33,A6,'数据-汇总表'!E$19:E$33)</f>
        <v>175.15</v>
      </c>
      <c r="L6" s="733">
        <v>3500</v>
      </c>
      <c r="M6" s="67">
        <f t="shared" ref="M6:M14" si="0">ROUND(K6*L6/10000,0)</f>
        <v>61</v>
      </c>
      <c r="N6" s="731">
        <f>N19</f>
        <v>0.82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1.5</v>
      </c>
      <c r="V6" s="70">
        <v>2.5000000000000001E-2</v>
      </c>
      <c r="W6" s="70">
        <v>0.1</v>
      </c>
      <c r="X6" s="1040"/>
      <c r="Y6" s="71">
        <f>N6</f>
        <v>0.82</v>
      </c>
      <c r="Z6" s="72"/>
      <c r="AA6" s="66"/>
      <c r="AB6" s="66"/>
      <c r="AC6" s="1040"/>
      <c r="AD6" s="73"/>
      <c r="AE6" s="1041">
        <f ca="1">IF(AN6="",0,SUMIF(INDIRECT("'"&amp;AN6&amp;"'"&amp;"!E:E"),$AE$5,INDIRECT("'"&amp;AN6&amp;"'"&amp;"!F:F")))</f>
        <v>27</v>
      </c>
      <c r="AF6" s="1348"/>
      <c r="AG6" s="138">
        <f>IF(AF6="",0,AE6-AF6)</f>
        <v>0</v>
      </c>
      <c r="AH6" s="74"/>
      <c r="AI6" s="76">
        <v>365</v>
      </c>
      <c r="AJ6" s="77"/>
      <c r="AK6" s="78">
        <v>5.0000000000000001E-3</v>
      </c>
      <c r="AL6" s="79">
        <v>0.01</v>
      </c>
      <c r="AM6" s="80">
        <v>5.0000000000000001E-3</v>
      </c>
      <c r="AN6" s="1715" t="s">
        <v>3388</v>
      </c>
      <c r="AO6" s="52">
        <f ca="1">SUMIF(INDIRECT("'"&amp;AN6&amp;"'"&amp;"!A:A"),"总价",INDIRECT("'"&amp;AN6&amp;"'"&amp;"!B:B"))</f>
        <v>131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0.85299999999999998</v>
      </c>
      <c r="H16" s="90">
        <f>ROUND(SUMPRODUCT(H6:H13,K6:K13)/SUMPRODUCT((H6:H13&gt;0)*(K6:K13)),3)</f>
        <v>0.05</v>
      </c>
      <c r="I16" s="91"/>
      <c r="J16" s="91"/>
      <c r="K16" s="92">
        <f>SUM(K6:K15)</f>
        <v>175.15</v>
      </c>
      <c r="L16" s="93">
        <f>ROUND(M16*10000/SUM(K6:K14),0)</f>
        <v>3483</v>
      </c>
      <c r="M16" s="93">
        <f>SUM(M6:M14)</f>
        <v>61</v>
      </c>
      <c r="N16" s="94">
        <f>ROUND(SUMPRODUCT(M6:M14,N6:N14)/M16,3)</f>
        <v>0.82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2013</v>
      </c>
      <c r="O18" s="2671"/>
      <c r="P18" s="2671"/>
      <c r="Q18" s="2671"/>
      <c r="R18" s="2671"/>
      <c r="S18" s="2671"/>
      <c r="T18" s="2671"/>
      <c r="U18" s="2671"/>
      <c r="V18" s="2671"/>
      <c r="W18" s="2671"/>
      <c r="X18" s="2671"/>
      <c r="Y18" s="2671">
        <v>2008</v>
      </c>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ROUND(1-(2024-N18)/60,2)</f>
        <v>0.82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ROUND((N20+N19)/2,2)</f>
        <v>0.84</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9" sqref="C3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175.15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45310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193</v>
      </c>
      <c r="C5" s="2512">
        <f ca="1">IF(B5=D14,结果表!H102,ROUND(B5*10000/$B$1,0))</f>
        <v>11019</v>
      </c>
      <c r="D5" s="2512" t="e">
        <f ca="1">ROUND(B5*10000/$B$2,0)</f>
        <v>#DIV/0!</v>
      </c>
      <c r="E5" s="2686"/>
      <c r="F5" s="2687"/>
      <c r="G5" s="2687"/>
      <c r="H5" s="2688"/>
      <c r="I5" s="2688"/>
      <c r="J5" s="2688"/>
      <c r="K5" s="2688"/>
    </row>
    <row r="6" spans="1:11" ht="16.5">
      <c r="A6" s="2512" t="s">
        <v>656</v>
      </c>
      <c r="B6" s="2512">
        <f>SUM(G14:G23)</f>
        <v>0</v>
      </c>
      <c r="C6" s="2512">
        <f ca="1">IF(B6=G14,结果表!H108,ROUND(B6*10000/$B$1,0))</f>
        <v>11019</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175.15</v>
      </c>
      <c r="C14" s="2518"/>
      <c r="D14" s="2518">
        <f ca="1">结果表!H118</f>
        <v>193</v>
      </c>
      <c r="E14" s="2518">
        <f ca="1">ROUND(D14*10000/B14,0)</f>
        <v>11019</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M26" sqref="M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3410</v>
      </c>
      <c r="D4" s="1756" t="s">
        <v>3388</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6</v>
      </c>
      <c r="D14" s="3576">
        <v>4</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3" t="s">
        <v>2131</v>
      </c>
      <c r="F18" s="3564"/>
      <c r="G18" s="3564"/>
      <c r="H18" s="3564"/>
      <c r="I18" s="3564"/>
      <c r="K18" s="302" t="s">
        <v>1289</v>
      </c>
      <c r="L18" s="302">
        <f>IF(C1="",'数据-汇总表'!E3,SUMIF(项目类型,C1,'数据-汇总表'!E17:E26)+SUMIF(项目类型,C1,'数据-汇总表'!I17:I26))</f>
        <v>175.15</v>
      </c>
      <c r="M18" s="302">
        <f>IF(C1="",'数据-汇总表'!E3,SUMIF(项目类型,C1,'数据-汇总表'!E17:E26))</f>
        <v>175.15</v>
      </c>
    </row>
    <row r="19" spans="1:36" ht="15">
      <c r="A19" s="1761" t="s">
        <v>1290</v>
      </c>
      <c r="B19" s="1762" t="s">
        <v>1291</v>
      </c>
      <c r="C19" s="134">
        <f ca="1">SUMIF(INDIRECT("'"&amp;C4&amp;"'"&amp;"!A:A"),结果表!B19,INDIRECT("'"&amp;C4&amp;"'"&amp;"!B:B"))</f>
        <v>234</v>
      </c>
      <c r="D19" s="135">
        <f ca="1">SUMIF(INDIRECT("'"&amp;D4&amp;"'"&amp;"!A:A"),结果表!B19,INDIRECT("'"&amp;D4&amp;"'"&amp;"!B:B"))</f>
        <v>131</v>
      </c>
      <c r="E19" s="1761" t="s">
        <v>1292</v>
      </c>
      <c r="F19" s="1762" t="s">
        <v>1291</v>
      </c>
      <c r="G19" s="136">
        <f ca="1">ROUND(C19*$C$18+D19*$D$18,0)</f>
        <v>193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13360</v>
      </c>
      <c r="D20" s="138">
        <f ca="1">SUMIF(INDIRECT("'"&amp;D4&amp;"'"&amp;"!A:A"),结果表!B20,INDIRECT("'"&amp;D4&amp;"'"&amp;"!B:B"))</f>
        <v>7479</v>
      </c>
      <c r="E20" s="1764"/>
      <c r="F20" s="1026" t="s">
        <v>1295</v>
      </c>
      <c r="G20" s="139">
        <f ca="1">ROUND(C20*$C$18+D20*$D$18,0)</f>
        <v>11008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0.78625954198473291</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193</v>
      </c>
      <c r="D32" s="1775" t="s">
        <v>3411</v>
      </c>
      <c r="E32" s="129"/>
      <c r="F32" s="129"/>
      <c r="G32" s="129"/>
      <c r="H32" s="129"/>
      <c r="I32" s="129"/>
    </row>
    <row r="33" spans="1:15" ht="15">
      <c r="A33" s="786" t="s">
        <v>1306</v>
      </c>
      <c r="B33" s="1776"/>
      <c r="C33" s="1777" t="s">
        <v>3412</v>
      </c>
      <c r="D33" s="1778" t="s">
        <v>3410</v>
      </c>
      <c r="E33" s="1779" t="s">
        <v>1307</v>
      </c>
      <c r="F33" s="1780" t="str">
        <f>IF(D32="楼面单价","取值（单价）","取值（总价）")</f>
        <v>取值（总价）</v>
      </c>
      <c r="G33" s="129"/>
      <c r="H33" s="129"/>
      <c r="I33" s="129"/>
    </row>
    <row r="34" spans="1:15" ht="15">
      <c r="A34" s="1781"/>
      <c r="B34" s="1782" t="s">
        <v>1308</v>
      </c>
      <c r="C34" s="148">
        <f ca="1">IF(C33="自定义",F34,C32-C35)</f>
        <v>131</v>
      </c>
      <c r="D34" s="861">
        <f ca="1">IF(C33="自定义",ROUND(C34/C32,3),IF(C33="收益比率",SUMIF(INDIRECT("'"&amp;D33&amp;"'"&amp;"!b:b"),"土地收益比率",INDIRECT("'"&amp;D33&amp;"'"&amp;"!c:c")),SUMIF(INDIRECT("'"&amp;D33&amp;"'"&amp;"!b:b"),"土地成本比率",INDIRECT("'"&amp;D33&amp;"'"&amp;"!c:c"))))</f>
        <v>0.67900000000000005</v>
      </c>
      <c r="E34" s="1783" t="s">
        <v>1309</v>
      </c>
      <c r="F34" s="1330"/>
      <c r="G34" s="129"/>
      <c r="H34" s="129"/>
      <c r="I34" s="129"/>
    </row>
    <row r="35" spans="1:15" ht="15.75" thickBot="1">
      <c r="A35" s="1784"/>
      <c r="B35" s="1785" t="s">
        <v>1310</v>
      </c>
      <c r="C35" s="1170">
        <f ca="1">IF(C33="自定义",F35,ROUND(C32*D35,0))</f>
        <v>62</v>
      </c>
      <c r="D35" s="1171">
        <f ca="1">IF(C33="自定义",ROUND(C35/C32,3),IF(C33="收益比率",SUMIF(INDIRECT("'"&amp;D33&amp;"'"&amp;"!b:b"),"建筑物收益比率",INDIRECT("'"&amp;D33&amp;"'"&amp;"!c:c")),SUMIF(INDIRECT("'"&amp;D33&amp;"'"&amp;"!b:b"),"建筑物成本比率",INDIRECT("'"&amp;D33&amp;"'"&amp;"!c:c"))))</f>
        <v>0.32100000000000001</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193</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45310</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193</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193</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10</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10</v>
      </c>
      <c r="E53" s="2334" t="s">
        <v>1354</v>
      </c>
      <c r="F53" s="2554">
        <f>'数据-取费表'!B41</f>
        <v>5.5000000000000007E-2</v>
      </c>
      <c r="G53" s="2555"/>
      <c r="H53" s="2544"/>
      <c r="I53" s="1807"/>
      <c r="J53" s="2523">
        <v>2</v>
      </c>
      <c r="K53" s="3604" t="s">
        <v>1357</v>
      </c>
      <c r="L53" s="3604"/>
      <c r="M53" s="2525">
        <f t="shared" ref="M53:O54" ca="1" si="0">D55</f>
        <v>0</v>
      </c>
      <c r="N53" s="2523" t="str">
        <f t="shared" si="0"/>
        <v>销售额×税（费）率</v>
      </c>
      <c r="O53" s="2526" t="str">
        <f t="shared" si="0"/>
        <v>免征</v>
      </c>
    </row>
    <row r="54" spans="1:35" ht="12" customHeight="1">
      <c r="A54" s="2335" t="s">
        <v>1358</v>
      </c>
      <c r="B54" s="3565" t="s">
        <v>2292</v>
      </c>
      <c r="C54" s="3566"/>
      <c r="D54" s="1087">
        <f ca="1">C68</f>
        <v>10</v>
      </c>
      <c r="E54" s="327" t="s">
        <v>1359</v>
      </c>
      <c r="F54" s="2554">
        <f>'数据-取费表'!B41</f>
        <v>5.5000000000000007E-2</v>
      </c>
      <c r="G54" s="2555"/>
      <c r="H54" s="2556"/>
      <c r="I54" s="1807"/>
      <c r="J54" s="2523">
        <v>3</v>
      </c>
      <c r="K54" s="3604" t="s">
        <v>1360</v>
      </c>
      <c r="L54" s="3604"/>
      <c r="M54" s="2525">
        <f t="shared" ca="1" si="0"/>
        <v>109</v>
      </c>
      <c r="N54" s="2523" t="str">
        <f t="shared" si="0"/>
        <v>增值额×税（费）率</v>
      </c>
      <c r="O54" s="2527" t="str">
        <f t="shared" si="0"/>
        <v>免征</v>
      </c>
    </row>
    <row r="55" spans="1:35" ht="24" customHeight="1">
      <c r="A55" s="3554" t="s">
        <v>1361</v>
      </c>
      <c r="B55" s="3555"/>
      <c r="C55" s="3555"/>
      <c r="D55" s="2324">
        <f ca="1">IF(H55="个人住宅",0,ROUND(D45*I55,0))</f>
        <v>0</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2</v>
      </c>
      <c r="N55" s="2040" t="str">
        <f>E59</f>
        <v>差额计税</v>
      </c>
      <c r="O55" s="2529">
        <f>F59</f>
        <v>0.01</v>
      </c>
    </row>
    <row r="56" spans="1:35" ht="24.75">
      <c r="A56" s="3554" t="s">
        <v>1363</v>
      </c>
      <c r="B56" s="3555"/>
      <c r="C56" s="3555"/>
      <c r="D56" s="2324">
        <f ca="1">IF(H56="个人住宅",D57,D58)</f>
        <v>109</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111</v>
      </c>
      <c r="O57" s="2533"/>
      <c r="P57" s="2690">
        <f ca="1">N57/M49</f>
        <v>0.57512953367875652</v>
      </c>
    </row>
    <row r="58" spans="1:35" ht="24.75">
      <c r="A58" s="2335" t="s">
        <v>1352</v>
      </c>
      <c r="B58" s="3565" t="s">
        <v>1369</v>
      </c>
      <c r="C58" s="3539"/>
      <c r="D58" s="2324">
        <f ca="1">IF(H58="转让取得",C81,C97)</f>
        <v>109</v>
      </c>
      <c r="E58" s="2334" t="s">
        <v>1364</v>
      </c>
      <c r="F58" s="302" t="s">
        <v>28</v>
      </c>
      <c r="G58" s="2555"/>
      <c r="H58" s="2558"/>
      <c r="I58" s="1808"/>
      <c r="J58" s="3604"/>
      <c r="K58" s="3604"/>
      <c r="L58" s="2530" t="s">
        <v>1370</v>
      </c>
      <c r="M58" s="2534"/>
      <c r="N58" s="2535" t="str">
        <f ca="1">NUMBERSTRING(INT(N57*10000),2)&amp;"元整"</f>
        <v>壹佰壹拾壹万元整</v>
      </c>
      <c r="O58" s="2536"/>
    </row>
    <row r="59" spans="1:35" ht="24.75" thickBot="1">
      <c r="A59" s="3607" t="s">
        <v>1371</v>
      </c>
      <c r="B59" s="3608"/>
      <c r="C59" s="3608"/>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82</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捌拾贰万元整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4682</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184</v>
      </c>
      <c r="D63" s="167"/>
      <c r="E63" s="168"/>
      <c r="F63" s="1808"/>
      <c r="G63" s="1808"/>
      <c r="H63" s="1810"/>
      <c r="I63" s="129"/>
      <c r="J63" s="3629" t="s">
        <v>1379</v>
      </c>
      <c r="K63" s="1332" t="s">
        <v>1380</v>
      </c>
      <c r="L63" s="1332">
        <f ca="1">IF(M49&gt;10000,M49*0.5%,IF(AND(M49&gt;1000,M49&lt;=10000),M49*1%,IF(AND(M49&gt;100,M49&lt;=1000),M49*3%,IF(AND(M49&gt;10,M49&lt;=100),M49*5%,M49*8%))))</f>
        <v>5.79</v>
      </c>
      <c r="M63" s="302">
        <f ca="1">ROUND(L63,1)</f>
        <v>5.8</v>
      </c>
      <c r="N63" s="2543"/>
      <c r="Z63" s="1752"/>
      <c r="AI63" s="1753"/>
    </row>
    <row r="64" spans="1:35" ht="14.25" customHeight="1">
      <c r="A64" s="169" t="s">
        <v>325</v>
      </c>
      <c r="B64" s="170" t="s">
        <v>1381</v>
      </c>
      <c r="C64" s="2565">
        <f ca="1">D45</f>
        <v>193</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1.7370000000000001</v>
      </c>
      <c r="M64" s="302">
        <f t="shared" ref="M64:M65" ca="1" si="1">ROUND(L64,1)</f>
        <v>1.7</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1.93</v>
      </c>
      <c r="M65" s="302">
        <f t="shared" ca="1" si="1"/>
        <v>1.9</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0.96499999999999997</v>
      </c>
      <c r="M66" s="302">
        <f ca="1">IF(L66&gt;0.5,0.5,ROUND(L66,0))</f>
        <v>0.5</v>
      </c>
      <c r="N66" s="2544" t="s">
        <v>1388</v>
      </c>
      <c r="Z66" s="1752"/>
      <c r="AI66" s="1753"/>
    </row>
    <row r="67" spans="1:35" ht="14.25" customHeight="1">
      <c r="A67" s="173" t="s">
        <v>328</v>
      </c>
      <c r="B67" s="174" t="s">
        <v>1389</v>
      </c>
      <c r="C67" s="2568">
        <f ca="1">C63-C66</f>
        <v>184</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0.73250000000000004</v>
      </c>
      <c r="M67" s="302">
        <f ca="1">ROUND(L67*0.9,1)</f>
        <v>0.7</v>
      </c>
      <c r="N67" s="2543"/>
      <c r="Z67" s="1752"/>
      <c r="AI67" s="1753"/>
    </row>
    <row r="68" spans="1:35" ht="14.25" customHeight="1" thickBot="1">
      <c r="A68" s="176" t="s">
        <v>329</v>
      </c>
      <c r="B68" s="177" t="s">
        <v>1391</v>
      </c>
      <c r="C68" s="2569">
        <f ca="1">IF(C67&lt;=0,0,ROUND(C67*D68,0))</f>
        <v>10</v>
      </c>
      <c r="D68" s="2570">
        <f>'数据-取费表'!B41</f>
        <v>5.5000000000000007E-2</v>
      </c>
      <c r="E68" s="178"/>
      <c r="F68" s="1808"/>
      <c r="G68" s="1808"/>
      <c r="H68" s="1810"/>
      <c r="I68" s="129"/>
      <c r="J68" s="3629"/>
      <c r="K68" s="1332" t="s">
        <v>1392</v>
      </c>
      <c r="L68" s="1332">
        <f ca="1">IF(M49&gt;10000,M49*0.5%,IF(AND(M49&gt;5000,M49&lt;=10000),M49*1%,IF(AND(M49&gt;1000,M49&lt;=5000),M49*2%,IF(AND(M49&gt;200,M49&lt;=1000),M49*3%,M49*5%))))</f>
        <v>9.65</v>
      </c>
      <c r="M68" s="302">
        <f ca="1">ROUND(L68,1)</f>
        <v>9.6999999999999993</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20</v>
      </c>
      <c r="N69" s="2545">
        <f ca="1">M69/M49</f>
        <v>0.10362694300518134</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f ca="1">H118</f>
        <v>193</v>
      </c>
      <c r="I101" s="129"/>
    </row>
    <row r="102" spans="1:35" ht="18.75" customHeight="1">
      <c r="A102" s="3585" t="s">
        <v>1433</v>
      </c>
      <c r="B102" s="2584" t="s">
        <v>1432</v>
      </c>
      <c r="C102" s="2585">
        <f ca="1">IF(D32="楼面单价",ROUND(C19,0),C19)</f>
        <v>234</v>
      </c>
      <c r="D102" s="2586">
        <f ca="1">IF(D32="楼面单价",ROUND(D19,0),D19)</f>
        <v>131</v>
      </c>
      <c r="E102" s="3626"/>
      <c r="F102" s="3583"/>
      <c r="G102" s="1827" t="s">
        <v>1434</v>
      </c>
      <c r="H102" s="2555">
        <f ca="1">I118</f>
        <v>11019</v>
      </c>
      <c r="I102" s="129"/>
    </row>
    <row r="103" spans="1:35" ht="42.75" customHeight="1">
      <c r="A103" s="3585"/>
      <c r="B103" s="2584" t="s">
        <v>1434</v>
      </c>
      <c r="C103" s="2587">
        <f ca="1">C20</f>
        <v>13360</v>
      </c>
      <c r="D103" s="2588">
        <f ca="1">D20</f>
        <v>7479</v>
      </c>
      <c r="E103" s="3620" t="s">
        <v>1435</v>
      </c>
      <c r="F103" s="3621"/>
      <c r="G103" s="1828" t="s">
        <v>1436</v>
      </c>
      <c r="H103" s="2595">
        <f>IF(D36="正常操作",H104+H105+H106,H105+H106)</f>
        <v>0</v>
      </c>
      <c r="I103" s="129"/>
    </row>
    <row r="104" spans="1:35" ht="18.75" customHeight="1">
      <c r="A104" s="3585" t="s">
        <v>1437</v>
      </c>
      <c r="B104" s="2589" t="s">
        <v>1432</v>
      </c>
      <c r="C104" s="2590">
        <f ca="1">H118</f>
        <v>193</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11019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193</v>
      </c>
      <c r="I107" s="129"/>
    </row>
    <row r="108" spans="1:35" ht="18.75" customHeight="1">
      <c r="A108" s="129"/>
      <c r="B108" s="129"/>
      <c r="C108" s="129"/>
      <c r="D108" s="129"/>
      <c r="E108" s="3582"/>
      <c r="F108" s="3583"/>
      <c r="G108" s="1827" t="s">
        <v>1434</v>
      </c>
      <c r="H108" s="2555">
        <f ca="1">IF(H107=H101,H102,ROUND(H107*10000/'数据-汇总表'!E3,0))</f>
        <v>11019</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175.15</v>
      </c>
      <c r="C118" s="2329">
        <f>M19</f>
        <v>0</v>
      </c>
      <c r="D118" s="2329">
        <f ca="1">ROUND(IF(D32="总价",C34,E118*B118/10000),0)</f>
        <v>131</v>
      </c>
      <c r="E118" s="2329">
        <f ca="1">ROUND(IF(C33="自定义",IF(D32="楼面单价",C34,D118*10000/B118),I118-G118),0)</f>
        <v>7479</v>
      </c>
      <c r="F118" s="2329">
        <f ca="1">ROUND(IF(D32="总价",C35,G118*B118/10000),0)</f>
        <v>62</v>
      </c>
      <c r="G118" s="2329">
        <f ca="1">ROUND(IF(D32="楼面单价",C35,F118*10000/B118),0)</f>
        <v>3540</v>
      </c>
      <c r="H118" s="2329">
        <f ca="1">ROUND(IF(D32="总价",C32,I118*B118/10000),0)</f>
        <v>193</v>
      </c>
      <c r="I118" s="2329">
        <f ca="1">ROUND(IF(D32="楼面单价",C32,H118*10000/B118),0)</f>
        <v>11019</v>
      </c>
    </row>
    <row r="119" spans="1:27" ht="18.75" customHeight="1">
      <c r="A119" s="3553" t="s">
        <v>1452</v>
      </c>
      <c r="B119" s="3553"/>
      <c r="C119" s="3553"/>
      <c r="D119" s="3593" t="str">
        <f ca="1">NUMBERSTRING(INT(D118*10000),2)&amp;"元整"</f>
        <v>壹佰叁拾壹万元整</v>
      </c>
      <c r="E119" s="3595"/>
      <c r="F119" s="3593" t="str">
        <f ca="1">NUMBERSTRING(INT(F118*10000),2)&amp;"元整"</f>
        <v>陆拾贰万元整</v>
      </c>
      <c r="G119" s="3595"/>
      <c r="H119" s="3593" t="str">
        <f ca="1">NUMBERSTRING(INT(H118*10000),2)&amp;"元整"</f>
        <v>壹佰玖拾叁万元整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193</v>
      </c>
      <c r="E122" s="3618"/>
      <c r="F122" s="3618"/>
      <c r="G122" s="3618"/>
      <c r="H122" s="3618"/>
      <c r="I122" s="3619"/>
      <c r="AA122" s="725"/>
    </row>
    <row r="123" spans="1:27" ht="18.75" customHeight="1">
      <c r="A123" s="3553" t="s">
        <v>1452</v>
      </c>
      <c r="B123" s="3553"/>
      <c r="C123" s="3553"/>
      <c r="D123" s="3593" t="str">
        <f ca="1">NUMBERSTRING(INT(D122*10000),2)&amp;"元整"</f>
        <v>壹佰玖拾叁万元整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50" sqref="J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234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13360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114</v>
      </c>
      <c r="D5" s="211" t="s">
        <v>1469</v>
      </c>
      <c r="E5" s="212" t="s">
        <v>1470</v>
      </c>
      <c r="F5" s="212" t="s">
        <v>1471</v>
      </c>
      <c r="G5" s="213"/>
    </row>
    <row r="6" spans="1:9" s="214" customFormat="1" ht="13.5" customHeight="1">
      <c r="A6" s="778" t="s">
        <v>1472</v>
      </c>
      <c r="B6" s="215" t="s">
        <v>1473</v>
      </c>
      <c r="C6" s="216">
        <f>基准地价修正!B2</f>
        <v>108</v>
      </c>
      <c r="D6" s="217"/>
      <c r="E6" s="218"/>
      <c r="F6" s="218"/>
      <c r="G6" s="219"/>
    </row>
    <row r="7" spans="1:9" s="214" customFormat="1" ht="13.5" customHeight="1">
      <c r="A7" s="778" t="s">
        <v>1474</v>
      </c>
      <c r="B7" s="215" t="s">
        <v>1475</v>
      </c>
      <c r="C7" s="220">
        <f>ROUND(C6*F7,0)</f>
        <v>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v>
      </c>
      <c r="D8" s="222"/>
      <c r="E8" s="220"/>
      <c r="F8" s="221"/>
      <c r="G8" s="1856" t="s">
        <v>3407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3408</v>
      </c>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175.15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175.15</v>
      </c>
      <c r="E19" s="211">
        <f>'数据-取费表'!B31</f>
        <v>200</v>
      </c>
      <c r="F19" s="231"/>
      <c r="G19" s="1856" t="s">
        <v>3409</v>
      </c>
    </row>
    <row r="20" spans="1:7" s="214" customFormat="1" ht="13.5" customHeight="1">
      <c r="A20" s="255" t="s">
        <v>1493</v>
      </c>
      <c r="B20" s="210" t="s">
        <v>1494</v>
      </c>
      <c r="C20" s="232">
        <f ca="1">ROUND((C5+C19)*F20,0)</f>
        <v>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61</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175.15</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14</v>
      </c>
      <c r="D45" s="235">
        <f ca="1">C47</f>
        <v>4.0000000000000001E-3</v>
      </c>
      <c r="E45" s="236" t="s">
        <v>1539</v>
      </c>
      <c r="F45" s="246">
        <f ca="1">F27</f>
        <v>0.2</v>
      </c>
      <c r="G45" s="247" t="s">
        <v>1548</v>
      </c>
    </row>
    <row r="46" spans="1:7" s="214" customFormat="1" ht="13.5" customHeight="1">
      <c r="A46" s="780" t="s">
        <v>346</v>
      </c>
      <c r="B46" s="248" t="s">
        <v>1549</v>
      </c>
      <c r="C46" s="249">
        <f ca="1">ROUND((C33+C39)*F27,0)</f>
        <v>14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92</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75</v>
      </c>
      <c r="D51" s="232"/>
      <c r="E51" s="232"/>
      <c r="F51" s="264"/>
      <c r="G51" s="234" t="s">
        <v>1560</v>
      </c>
    </row>
    <row r="52" spans="1:7" s="208" customFormat="1" ht="16.5" thickBot="1">
      <c r="A52" s="265" t="s">
        <v>1561</v>
      </c>
      <c r="B52" s="266"/>
      <c r="C52" s="267">
        <f ca="1">C31+C51</f>
        <v>234</v>
      </c>
      <c r="D52" s="266"/>
      <c r="E52" s="266"/>
      <c r="F52" s="266"/>
      <c r="G52" s="268"/>
    </row>
    <row r="55" spans="1:7" ht="15">
      <c r="B55" s="270" t="s">
        <v>1562</v>
      </c>
      <c r="C55" s="271"/>
    </row>
    <row r="56" spans="1:7">
      <c r="B56" s="273" t="s">
        <v>802</v>
      </c>
      <c r="C56" s="275">
        <f ca="1">1-C57</f>
        <v>0.67900000000000005</v>
      </c>
    </row>
    <row r="57" spans="1:7">
      <c r="B57" s="273" t="s">
        <v>803</v>
      </c>
      <c r="C57" s="274">
        <f ca="1">ROUND(C51/C52,3)</f>
        <v>0.32100000000000001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85.174499999999995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4863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33279</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33279</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33279</v>
      </c>
      <c r="D10" s="845">
        <f ca="1">IF(B1="",'数据-汇总表'!E6,IF(INDIRECT("'数据-取费表'!c"&amp;$G$1)="住宅",INDIRECT("'数据-取费表'!s"&amp;$G$1),INDIRECT("'数据-取费表'!k"&amp;$G$1)+INDIRECT("'数据-取费表'!s"&amp;$G$1)))</f>
        <v>175.15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35030</v>
      </c>
      <c r="D19" s="849">
        <f ca="1">D9+D10</f>
        <v>175.15</v>
      </c>
      <c r="E19" s="211">
        <f>'数据-取费表'!B31</f>
        <v>200</v>
      </c>
      <c r="F19" s="231"/>
      <c r="G19" s="1856"/>
    </row>
    <row r="20" spans="1:7" s="214" customFormat="1" ht="13.5" customHeight="1">
      <c r="A20" s="255" t="s">
        <v>1574</v>
      </c>
      <c r="B20" s="210" t="s">
        <v>1575</v>
      </c>
      <c r="C20" s="232">
        <f ca="1">ROUND((C5+C19)*F20,0)</f>
        <v>1366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4842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2336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2459</v>
      </c>
      <c r="D24" s="238"/>
      <c r="E24" s="238"/>
      <c r="F24" s="239"/>
      <c r="G24" s="240" t="s">
        <v>1586</v>
      </c>
    </row>
    <row r="25" spans="1:7" s="214" customFormat="1" ht="24">
      <c r="A25" s="780" t="s">
        <v>1476</v>
      </c>
      <c r="B25" s="215" t="s">
        <v>1587</v>
      </c>
      <c r="C25" s="1128">
        <f ca="1">ROUND(IF('数据-取费表'!B22&lt;=1,C20*F22*'数据-取费表'!B22/2,C20*(POWER((1+F22),'数据-取费表'!B22/2)-1)),0)</f>
        <v>47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13935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13935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95841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675641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613025</v>
      </c>
      <c r="D34" s="217"/>
      <c r="E34" s="220"/>
      <c r="F34" s="257"/>
      <c r="G34" s="219"/>
    </row>
    <row r="35" spans="1:7" ht="13.5" customHeight="1">
      <c r="A35" s="780" t="s">
        <v>351</v>
      </c>
      <c r="B35" s="215" t="s">
        <v>1527</v>
      </c>
      <c r="C35" s="220">
        <f ca="1">ROUND(C34*F35,0)</f>
        <v>18391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35030</v>
      </c>
      <c r="D37" s="217">
        <f ca="1">D19</f>
        <v>175.15</v>
      </c>
      <c r="E37" s="249">
        <f>'数据-取费表'!B35</f>
        <v>200</v>
      </c>
      <c r="F37" s="259"/>
      <c r="G37" s="261"/>
    </row>
    <row r="38" spans="1:7" ht="13.5" customHeight="1">
      <c r="A38" s="780" t="s">
        <v>354</v>
      </c>
      <c r="B38" s="215" t="s">
        <v>1533</v>
      </c>
      <c r="C38" s="220">
        <f ca="1">ROUND(C34*F38,0)</f>
        <v>9195</v>
      </c>
      <c r="D38" s="220"/>
      <c r="E38" s="220"/>
      <c r="F38" s="259">
        <f>'数据-取费表'!B36</f>
        <v>1.4999999999999999E-2</v>
      </c>
      <c r="G38" s="219" t="s">
        <v>1528</v>
      </c>
    </row>
    <row r="39" spans="1:7" s="214" customFormat="1" ht="13.5" customHeight="1">
      <c r="A39" s="255" t="s">
        <v>1534</v>
      </c>
      <c r="B39" s="210" t="s">
        <v>1535</v>
      </c>
      <c r="C39" s="232">
        <f ca="1">ROUND(C33*F20,0)</f>
        <v>13513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23776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23310</v>
      </c>
      <c r="D42" s="238"/>
      <c r="E42" s="238"/>
      <c r="F42" s="239"/>
      <c r="G42" s="3633" t="s">
        <v>1591</v>
      </c>
    </row>
    <row r="43" spans="1:7" ht="13.5" customHeight="1">
      <c r="A43" s="780" t="s">
        <v>347</v>
      </c>
      <c r="B43" s="215" t="s">
        <v>1545</v>
      </c>
      <c r="C43" s="238">
        <f ca="1">ROUND(IF('数据-取费表'!B22&lt;=1,C39*F22*'数据-取费表'!B20/2,C39*(POWER((1+F22),'数据-取费表'!B20/2)-1)),0)</f>
        <v>466</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137831</v>
      </c>
      <c r="D45" s="235">
        <f ca="1">C47</f>
        <v>4.0000000000000001E-3</v>
      </c>
      <c r="E45" s="236" t="s">
        <v>1539</v>
      </c>
      <c r="F45" s="246">
        <f ca="1">F27</f>
        <v>0.2</v>
      </c>
      <c r="G45" s="247" t="s">
        <v>1548</v>
      </c>
    </row>
    <row r="46" spans="1:7" s="214" customFormat="1" ht="13.5" customHeight="1">
      <c r="A46" s="780" t="s">
        <v>346</v>
      </c>
      <c r="B46" s="248" t="s">
        <v>1549</v>
      </c>
      <c r="C46" s="249">
        <f ca="1">ROUND((C33+C39)*F27,0)</f>
        <v>137831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921834</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755904</v>
      </c>
      <c r="D51" s="232"/>
      <c r="E51" s="232"/>
      <c r="F51" s="264"/>
      <c r="G51" s="234" t="s">
        <v>1560</v>
      </c>
    </row>
    <row r="52" spans="1:7" s="208" customFormat="1" ht="16.5" thickBot="1">
      <c r="A52" s="265" t="s">
        <v>1561</v>
      </c>
      <c r="B52" s="266"/>
      <c r="C52" s="267">
        <f ca="1">C31+C51</f>
        <v>851745</v>
      </c>
      <c r="D52" s="266"/>
      <c r="E52" s="266"/>
      <c r="F52" s="266"/>
      <c r="G52" s="268"/>
    </row>
    <row r="55" spans="1:7" ht="15">
      <c r="B55" s="270" t="s">
        <v>1562</v>
      </c>
      <c r="C55" s="271"/>
    </row>
    <row r="56" spans="1:7">
      <c r="B56" s="273" t="s">
        <v>802</v>
      </c>
      <c r="C56" s="275">
        <f ca="1">1-C57</f>
        <v>0.11299999999999999</v>
      </c>
    </row>
    <row r="57" spans="1:7">
      <c r="B57" s="273" t="s">
        <v>803</v>
      </c>
      <c r="C57" s="274">
        <f ca="1">ROUND(C51/C52,3)</f>
        <v>0.88700000000000001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175.15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175.15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175.15</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131</v>
      </c>
      <c r="C2" s="1387" t="s">
        <v>805</v>
      </c>
      <c r="D2" s="1387"/>
      <c r="E2" s="1388"/>
      <c r="F2" s="1389"/>
      <c r="G2" s="2706"/>
      <c r="H2" s="2695"/>
      <c r="I2" s="2695"/>
      <c r="J2" s="2695"/>
      <c r="K2" s="2696"/>
      <c r="L2" s="2695"/>
      <c r="M2" s="2695"/>
    </row>
    <row r="3" spans="1:37" ht="18" customHeight="1" thickBot="1">
      <c r="A3" s="1390" t="s">
        <v>806</v>
      </c>
      <c r="B3" s="1391">
        <f ca="1">IF(ISERROR(B2*10000/F43),0,ROUND(B2*10000/F43,0))</f>
        <v>7479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9</v>
      </c>
      <c r="D6" s="155" t="s">
        <v>2109</v>
      </c>
      <c r="E6" s="302" t="s">
        <v>696</v>
      </c>
      <c r="F6" s="303">
        <f ca="1">INDIRECT("'数据-取费表'!u"&amp;$G$1)</f>
        <v>1.5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175.15</v>
      </c>
      <c r="G7" s="1384"/>
      <c r="H7" s="304"/>
      <c r="I7" s="3639"/>
      <c r="J7" s="306"/>
      <c r="K7" s="307"/>
      <c r="L7" s="302" t="s">
        <v>697</v>
      </c>
      <c r="M7" s="303">
        <f ca="1">F7</f>
        <v>175.15</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75</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61</v>
      </c>
      <c r="D14" s="1345" t="s">
        <v>708</v>
      </c>
      <c r="E14" s="1342"/>
      <c r="F14" s="319"/>
      <c r="G14" s="1384"/>
      <c r="H14" s="982" t="s">
        <v>398</v>
      </c>
      <c r="I14" s="302" t="s">
        <v>709</v>
      </c>
      <c r="J14" s="21">
        <f ca="1">C29</f>
        <v>92</v>
      </c>
      <c r="K14" s="12"/>
      <c r="L14" s="807"/>
      <c r="M14" s="808"/>
    </row>
    <row r="15" spans="1:37" s="1397" customFormat="1" ht="18" customHeight="1" thickBot="1">
      <c r="A15" s="982" t="s">
        <v>399</v>
      </c>
      <c r="B15" s="302" t="s">
        <v>710</v>
      </c>
      <c r="C15" s="21">
        <f ca="1">ROUND(C14*F15,0)</f>
        <v>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68</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0.46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0.01</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14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92</v>
      </c>
      <c r="D29" s="1092"/>
      <c r="E29" s="1090"/>
      <c r="F29" s="1093"/>
      <c r="G29" s="1396"/>
      <c r="H29" s="334" t="s">
        <v>396</v>
      </c>
      <c r="I29" s="335" t="s">
        <v>768</v>
      </c>
      <c r="J29" s="336">
        <f ca="1">ROUND(J26/(1+F40)^F41,0)</f>
        <v>0</v>
      </c>
      <c r="K29" s="337" t="s">
        <v>769</v>
      </c>
      <c r="L29" s="338"/>
      <c r="M29" s="339">
        <f ca="1">INDIRECT("'数据-取费表'!k"&amp;$G$1)</f>
        <v>175.15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0.6</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0.46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0.75</v>
      </c>
      <c r="D37" s="1344" t="s">
        <v>743</v>
      </c>
      <c r="E37" s="302" t="s">
        <v>744</v>
      </c>
      <c r="F37" s="330">
        <f ca="1">INDIRECT("'数据-取费表'!Al"&amp;$G$1)</f>
        <v>0.01</v>
      </c>
      <c r="G37" s="1384"/>
      <c r="H37" s="2700"/>
      <c r="I37" s="1398"/>
      <c r="J37" s="1399"/>
      <c r="K37" s="2544"/>
      <c r="L37" s="2700"/>
      <c r="M37" s="2700"/>
    </row>
    <row r="38" spans="1:18" ht="18" customHeight="1" thickBot="1">
      <c r="A38" s="1089" t="s">
        <v>684</v>
      </c>
      <c r="B38" s="1090" t="s">
        <v>728</v>
      </c>
      <c r="C38" s="1091">
        <f ca="1">ROUND(C5*F38,2)</f>
        <v>0.05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7194</v>
      </c>
      <c r="D43" s="337" t="s">
        <v>777</v>
      </c>
      <c r="E43" s="338" t="s">
        <v>778</v>
      </c>
      <c r="F43" s="339">
        <f ca="1">INDIRECT("'数据-取费表'!k"&amp;$G$1)</f>
        <v>175.15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-140</v>
      </c>
      <c r="D46" s="1406" t="str">
        <f>C2</f>
        <v>万元</v>
      </c>
      <c r="E46" s="1400"/>
      <c r="F46" s="1400"/>
      <c r="I46" s="1407" t="s">
        <v>810</v>
      </c>
      <c r="J46" s="1408"/>
      <c r="K46" s="1409"/>
      <c r="L46" s="1410">
        <f ca="1">IF(M47="住宅",0,IF(L48&gt;J51,L60,J60))</f>
        <v>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126</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27</v>
      </c>
      <c r="O48" s="1418" t="s">
        <v>404</v>
      </c>
      <c r="P48" s="1419" t="s">
        <v>821</v>
      </c>
      <c r="Q48" s="1420">
        <f ca="1">J60</f>
        <v>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2008</v>
      </c>
      <c r="K49" s="1423" t="s">
        <v>824</v>
      </c>
      <c r="L49" s="1427"/>
      <c r="O49" s="1428" t="s">
        <v>405</v>
      </c>
      <c r="P49" s="1419" t="s">
        <v>825</v>
      </c>
      <c r="Q49" s="1420">
        <f ca="1">C29</f>
        <v>92</v>
      </c>
      <c r="R49" s="1420" t="s">
        <v>818</v>
      </c>
    </row>
    <row r="50" spans="1:18" s="1384" customFormat="1" ht="13.5" thickBot="1">
      <c r="A50" s="976"/>
      <c r="B50" s="979"/>
      <c r="C50" s="1118"/>
      <c r="D50" s="953"/>
      <c r="E50" s="1056" t="s">
        <v>697</v>
      </c>
      <c r="F50" s="1057">
        <f ca="1">F7</f>
        <v>175.15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31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v>
      </c>
      <c r="K53" s="3636" t="s">
        <v>837</v>
      </c>
      <c r="L53" s="3637"/>
      <c r="O53" s="1418" t="s">
        <v>409</v>
      </c>
      <c r="P53" s="1419" t="s">
        <v>838</v>
      </c>
      <c r="Q53" s="1420">
        <f ca="1">Q47+Q48</f>
        <v>131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0.28299999999999997</v>
      </c>
      <c r="K55" s="1445" t="s">
        <v>841</v>
      </c>
      <c r="L55" s="1446"/>
      <c r="O55" s="1411" t="s">
        <v>811</v>
      </c>
      <c r="P55" s="1412" t="s">
        <v>812</v>
      </c>
      <c r="Q55" s="1413" t="s">
        <v>813</v>
      </c>
      <c r="R55" s="1413" t="s">
        <v>814</v>
      </c>
    </row>
    <row r="56" spans="1:18" s="1384" customFormat="1" ht="25.5" thickTop="1" thickBot="1">
      <c r="A56" s="957">
        <v>2</v>
      </c>
      <c r="B56" s="958" t="s">
        <v>704</v>
      </c>
      <c r="C56" s="232">
        <f ca="1">C13</f>
        <v>75</v>
      </c>
      <c r="D56" s="1447"/>
      <c r="E56" s="1448"/>
      <c r="F56" s="1440"/>
      <c r="I56" s="1449" t="s">
        <v>842</v>
      </c>
      <c r="J56" s="1450" t="s">
        <v>3392</v>
      </c>
      <c r="K56" s="1421" t="s">
        <v>843</v>
      </c>
      <c r="L56" s="1424" t="str">
        <f ca="1">IF(L48&lt;J51,"——",L48-J53)</f>
        <v>——</v>
      </c>
      <c r="O56" s="1418" t="s">
        <v>403</v>
      </c>
      <c r="P56" s="1419" t="s">
        <v>817</v>
      </c>
      <c r="Q56" s="1420">
        <f ca="1">C40+J29</f>
        <v>126</v>
      </c>
      <c r="R56" s="1420" t="s">
        <v>818</v>
      </c>
    </row>
    <row r="57" spans="1:18" s="1384" customFormat="1" ht="24.75" thickBot="1">
      <c r="A57" s="1451"/>
      <c r="B57" s="950" t="s">
        <v>767</v>
      </c>
      <c r="C57" s="238">
        <f ca="1">C29</f>
        <v>92</v>
      </c>
      <c r="D57" s="1452"/>
      <c r="E57" s="1453"/>
      <c r="F57" s="1454"/>
      <c r="I57" s="1455" t="s">
        <v>844</v>
      </c>
      <c r="J57" s="1456">
        <f ca="1">IF(OR(M47="住宅",J51&lt;L48,J56="是"),"——",J51-L48)</f>
        <v>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f ca="1">IF(OR(M47="住宅",J51&lt;L48,J56="是"),"0",ROUND(J59/(1+J52)^J53,0))</f>
        <v>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126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0.46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0.75</v>
      </c>
      <c r="D65" s="964" t="s">
        <v>743</v>
      </c>
      <c r="E65" s="950" t="s">
        <v>744</v>
      </c>
      <c r="F65" s="330">
        <f t="shared" ca="1" si="0"/>
        <v>0.01</v>
      </c>
      <c r="I65" s="1462" t="s">
        <v>867</v>
      </c>
      <c r="J65" s="1463">
        <v>40</v>
      </c>
      <c r="K65" s="1463">
        <v>30</v>
      </c>
      <c r="L65" s="1463">
        <v>50</v>
      </c>
      <c r="M65" s="1465">
        <v>0.02</v>
      </c>
      <c r="O65" s="1418" t="s">
        <v>403</v>
      </c>
      <c r="P65" s="1419" t="s">
        <v>868</v>
      </c>
      <c r="Q65" s="1420">
        <f ca="1">C40+J29</f>
        <v>126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31</v>
      </c>
      <c r="R67" s="1420" t="s">
        <v>870</v>
      </c>
    </row>
    <row r="68" spans="1:18" s="1384" customFormat="1" ht="16.5" thickBot="1">
      <c r="A68" s="947" t="s">
        <v>395</v>
      </c>
      <c r="B68" s="948" t="s">
        <v>774</v>
      </c>
      <c r="C68" s="301">
        <f ca="1">ROUND(C67*(1-((1+F70)/(1+F68))^F69)/(F68-F70),0)</f>
        <v>-14</v>
      </c>
      <c r="D68" s="965" t="s">
        <v>758</v>
      </c>
      <c r="E68" s="950" t="s">
        <v>759</v>
      </c>
      <c r="F68" s="312">
        <f ca="1">F40</f>
        <v>5.5E-2</v>
      </c>
      <c r="O68" s="1428" t="s">
        <v>406</v>
      </c>
      <c r="P68" s="1467" t="s">
        <v>871</v>
      </c>
      <c r="Q68" s="1420">
        <f ca="1">ROUND(Q69-Q70*Q71,0)</f>
        <v>2</v>
      </c>
      <c r="R68" s="1420" t="s">
        <v>414</v>
      </c>
    </row>
    <row r="69" spans="1:18" s="1384" customFormat="1" ht="13.5" thickBot="1">
      <c r="A69" s="951"/>
      <c r="B69" s="952"/>
      <c r="C69" s="306"/>
      <c r="D69" s="970" t="s">
        <v>762</v>
      </c>
      <c r="E69" s="950" t="s">
        <v>763</v>
      </c>
      <c r="F69" s="333">
        <f ca="1">F41</f>
        <v>27</v>
      </c>
      <c r="O69" s="1428" t="s">
        <v>411</v>
      </c>
      <c r="P69" s="1467" t="s">
        <v>872</v>
      </c>
      <c r="Q69" s="1420">
        <f ca="1">C39</f>
        <v>7</v>
      </c>
      <c r="R69" s="1420" t="s">
        <v>818</v>
      </c>
    </row>
    <row r="70" spans="1:18" s="1384" customFormat="1" ht="13.5" thickBot="1">
      <c r="A70" s="954"/>
      <c r="B70" s="955"/>
      <c r="C70" s="310"/>
      <c r="D70" s="966"/>
      <c r="E70" s="950" t="s">
        <v>766</v>
      </c>
      <c r="F70" s="1054"/>
      <c r="O70" s="1428" t="s">
        <v>412</v>
      </c>
      <c r="P70" s="1467" t="s">
        <v>873</v>
      </c>
      <c r="Q70" s="1420">
        <f ca="1">C13</f>
        <v>75</v>
      </c>
      <c r="R70" s="1420" t="s">
        <v>818</v>
      </c>
    </row>
    <row r="71" spans="1:18" s="1384" customFormat="1" ht="13.5" thickBot="1">
      <c r="A71" s="971" t="s">
        <v>396</v>
      </c>
      <c r="B71" s="972" t="s">
        <v>776</v>
      </c>
      <c r="C71" s="336">
        <f ca="1">ROUND(C68*10000/F71,0)</f>
        <v>-799</v>
      </c>
      <c r="D71" s="973" t="s">
        <v>777</v>
      </c>
      <c r="E71" s="974" t="s">
        <v>778</v>
      </c>
      <c r="F71" s="339">
        <f ca="1">F43</f>
        <v>175.15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v>
      </c>
      <c r="D75" s="1384"/>
      <c r="E75" s="1384"/>
      <c r="F75" s="1384"/>
      <c r="K75" s="1402"/>
      <c r="L75" s="1384"/>
      <c r="O75" s="1418" t="s">
        <v>409</v>
      </c>
      <c r="P75" s="1419" t="s">
        <v>838</v>
      </c>
      <c r="Q75" s="1420">
        <f ca="1">Q65+Q66</f>
        <v>126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0.28600000000000003</v>
      </c>
    </row>
    <row r="80" spans="1:18">
      <c r="B80" s="340" t="s">
        <v>800</v>
      </c>
      <c r="C80" s="274">
        <f ca="1">ROUND(C75/C39,3)</f>
        <v>0.71399999999999997</v>
      </c>
    </row>
    <row r="81" spans="2:3">
      <c r="B81" s="270" t="s">
        <v>801</v>
      </c>
      <c r="C81" s="238"/>
    </row>
    <row r="82" spans="2:3">
      <c r="B82" s="273" t="s">
        <v>802</v>
      </c>
      <c r="C82" s="275">
        <f ca="1">1-C83</f>
        <v>0.40500000000000003</v>
      </c>
    </row>
    <row r="83" spans="2:3">
      <c r="B83" s="273" t="s">
        <v>803</v>
      </c>
      <c r="C83" s="274">
        <f ca="1">ROUND(C13/C40,3)</f>
        <v>0.59499999999999997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3361</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37" sqref="B3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131</v>
      </c>
      <c r="C2" s="1872" t="s">
        <v>1651</v>
      </c>
      <c r="D2" s="1873" t="s">
        <v>1652</v>
      </c>
      <c r="E2" s="2607">
        <f>SUM(E6:E13)</f>
        <v>175.15</v>
      </c>
      <c r="F2" s="2707"/>
      <c r="G2" s="1489"/>
      <c r="H2" s="1489"/>
      <c r="I2" s="1489"/>
      <c r="J2" s="1489"/>
      <c r="K2" s="1489"/>
      <c r="L2" s="1489"/>
      <c r="M2" s="1489"/>
      <c r="N2" s="1489"/>
      <c r="O2" s="1489"/>
      <c r="P2" s="1489"/>
      <c r="Q2" s="1489"/>
      <c r="R2" s="1489"/>
      <c r="S2" s="1489"/>
    </row>
    <row r="3" spans="1:22" ht="15.75">
      <c r="A3" s="1870" t="s">
        <v>686</v>
      </c>
      <c r="B3" s="2601">
        <f ca="1">ROUND(B2*10000/E2,0)</f>
        <v>7479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131</v>
      </c>
      <c r="C6" s="1872" t="s">
        <v>1651</v>
      </c>
      <c r="D6" s="2709"/>
      <c r="E6" s="2606">
        <f>IF(OR(A6=0,F6="否"),0,'数据-取费表'!K6+'数据-取费表'!S6)</f>
        <v>175.15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37" sqref="B3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175.15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45310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37" sqref="B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175.15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45310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37" sqref="B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175.15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45310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175.15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45310</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估价对象为北京市房地产，为所有。根据《国有土地使用证》[]，估价对象（分摊）出让国有建设用地使用权面积为0平方米，建筑面积为175.15平方米。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估价对象为北京市房地产,属开发建设的，该项目尚在开发建设中。根据《国有土地使用证》[]，估价对象（分摊）出让国有建设用地使用权面积为0平方米，规划建筑面积为175.15平方米。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2024年1月19日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45310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45310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45310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665"/>
      <c r="Q10" s="1343" t="str">
        <f t="shared" si="6"/>
        <v>土地使用年限（年）</v>
      </c>
      <c r="R10" s="701" t="s">
        <v>14</v>
      </c>
      <c r="S10" s="702">
        <f t="shared" si="0"/>
        <v>117</v>
      </c>
      <c r="T10" s="701" t="s">
        <v>14</v>
      </c>
      <c r="U10" s="702">
        <f t="shared" si="1"/>
        <v>117</v>
      </c>
      <c r="V10" s="701" t="s">
        <v>14</v>
      </c>
      <c r="W10" s="702">
        <f t="shared" si="2"/>
        <v>117</v>
      </c>
      <c r="X10" s="703"/>
      <c r="Y10" s="3540"/>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175.15</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175.15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45310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665"/>
      <c r="Q10" s="1343" t="str">
        <f t="shared" si="6"/>
        <v>土地使用年限（年）</v>
      </c>
      <c r="R10" s="701" t="s">
        <v>14</v>
      </c>
      <c r="S10" s="702">
        <f t="shared" si="0"/>
        <v>117</v>
      </c>
      <c r="T10" s="701" t="s">
        <v>14</v>
      </c>
      <c r="U10" s="702">
        <f t="shared" si="1"/>
        <v>117</v>
      </c>
      <c r="V10" s="701" t="s">
        <v>14</v>
      </c>
      <c r="W10" s="702">
        <f t="shared" si="2"/>
        <v>117</v>
      </c>
      <c r="X10" s="703"/>
      <c r="Y10" s="3540"/>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175.15</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37" sqref="B37"/>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108</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108</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F1" zoomScale="70" zoomScaleNormal="80" zoomScaleSheetLayoutView="70" workbookViewId="0">
      <selection activeCell="T37" sqref="T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108</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Ⅸ-兴1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7668</v>
      </c>
      <c r="U2" s="1213">
        <v>58.38</v>
      </c>
      <c r="V2" s="3361">
        <f>ROUND(T2*U2/10000,0)</f>
        <v>45</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2443</v>
      </c>
      <c r="F3" s="2004" t="s">
        <v>3393</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5910</v>
      </c>
      <c r="U3" s="1213">
        <v>58.38</v>
      </c>
      <c r="V3" s="3361">
        <f t="shared" ref="V3:V16" si="1">ROUND(T3*U3/10000,0)</f>
        <v>35</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4821</v>
      </c>
      <c r="U4" s="1213">
        <v>58.39</v>
      </c>
      <c r="V4" s="3361">
        <f t="shared" si="1"/>
        <v>28</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5450</v>
      </c>
      <c r="D5" s="1339">
        <f>ROUND(C6*C17+C20,0)</f>
        <v>5450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4093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5430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3729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0</v>
      </c>
      <c r="AA7" s="1216"/>
      <c r="AB7" s="1216"/>
      <c r="AC7" s="1217"/>
      <c r="AD7" s="1218"/>
      <c r="AE7" s="1218"/>
      <c r="AF7" s="1218"/>
      <c r="AG7" s="1218"/>
      <c r="AH7" s="1218"/>
      <c r="AI7" s="1218"/>
      <c r="AJ7" s="1219"/>
    </row>
    <row r="8" spans="1:36" ht="25.5">
      <c r="A8" s="3299"/>
      <c r="B8" s="170" t="s">
        <v>1957</v>
      </c>
      <c r="C8" s="2026" t="s">
        <v>3406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5430</v>
      </c>
      <c r="N9" s="866">
        <f>SUMPRODUCT((因素修正幅度!B277:B326=I2)*(因素修正幅度!C3:G3=E2)*(因素修正幅度!C277:G326))</f>
        <v>0.15</v>
      </c>
      <c r="O9" s="1119"/>
      <c r="P9" s="1119"/>
      <c r="Q9" s="1119"/>
      <c r="R9" s="1212">
        <v>8</v>
      </c>
      <c r="S9" s="1213"/>
      <c r="T9" s="3361">
        <f t="shared" si="0"/>
        <v>0</v>
      </c>
      <c r="U9" s="1213"/>
      <c r="V9" s="3361">
        <f t="shared" si="1"/>
        <v>0</v>
      </c>
      <c r="W9" s="3744"/>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3258</v>
      </c>
      <c r="B20" s="167" t="s">
        <v>1994</v>
      </c>
      <c r="C20" s="3325">
        <f>ROUND(IF(F21="与级别开发程度一致",0,(G21-E21)/C21),0)</f>
        <v>20</v>
      </c>
      <c r="D20" s="3341" t="s">
        <v>1998</v>
      </c>
      <c r="E20" s="3342"/>
      <c r="F20" s="3755" t="s">
        <v>1995</v>
      </c>
      <c r="G20" s="3756"/>
      <c r="H20" s="3326" t="s">
        <v>3399</v>
      </c>
      <c r="I20" s="3326" t="s">
        <v>3400</v>
      </c>
      <c r="J20" s="3327" t="s">
        <v>3401</v>
      </c>
      <c r="K20" s="2047" t="s">
        <v>3402</v>
      </c>
      <c r="L20" s="2047" t="s">
        <v>3403</v>
      </c>
      <c r="M20" s="2047" t="s">
        <v>3404</v>
      </c>
      <c r="N20" s="2047" t="s">
        <v>3405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3398</v>
      </c>
      <c r="G21" s="2157">
        <f>SUM(H21:O21)</f>
        <v>225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35</v>
      </c>
      <c r="L21" s="2165">
        <f>SUMPRODUCT((七通一平=L20)*(修正!B1:M1=G2)*(修正!B8:M16))</f>
        <v>20</v>
      </c>
      <c r="M21" s="2165">
        <f>SUMPRODUCT((七通一平=M20)*(修正!B1:M1=G2)*(修正!B8:M16))</f>
        <v>40</v>
      </c>
      <c r="N21" s="2165">
        <f>SUMPRODUCT((七通一平=N20)*(修正!B1:M1=G2)*(修正!B8:M16))</f>
        <v>10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2002</v>
      </c>
      <c r="E23" s="761">
        <v>44197</v>
      </c>
      <c r="F23" s="2054" t="s">
        <v>2003</v>
      </c>
      <c r="G23" s="762">
        <f>'数据-取费表'!B2</f>
        <v>45310</v>
      </c>
      <c r="H23" s="3343" t="s">
        <v>3259</v>
      </c>
      <c r="I23" s="3344" t="str">
        <f>IF(H23="季度增幅（自定义）",SUMIF(N25:N28,E2,O25:O28),"")</f>
        <v/>
      </c>
      <c r="J23" s="3446" t="s">
        <v>3395</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0.86609999999999998</v>
      </c>
      <c r="D24" s="2060" t="s">
        <v>2007</v>
      </c>
      <c r="E24" s="1335">
        <f>存贷款利率!E24/100</f>
        <v>4.3499999999999997E-2</v>
      </c>
      <c r="F24" s="2060" t="s">
        <v>1999</v>
      </c>
      <c r="G24" s="768">
        <f>SUMIF(M30:Q30,E2,M33:Q33)</f>
        <v>5.5E-2</v>
      </c>
      <c r="H24" s="2060" t="s">
        <v>2008</v>
      </c>
      <c r="I24" s="769">
        <f>SUMIF('数据-取费表'!C6:C15,E2,'数据-取费表'!F6:F15)/COUNTIF('数据-取费表'!C6:C15,E2)</f>
        <v>27</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3394</v>
      </c>
      <c r="C25" s="771">
        <f>IF(B25="容积率修正",IF(G3&lt;10,D26,J26),C27)</f>
        <v>1.5418000000000001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108</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7668</v>
      </c>
      <c r="D33" s="2098">
        <f>U5</f>
        <v>0</v>
      </c>
      <c r="E33" s="773">
        <f>ROUND(C33*D33/10000,0)</f>
        <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2487</v>
      </c>
      <c r="D37" s="2098"/>
      <c r="E37" s="171">
        <f>ROUND(C37*D37/10000,0)</f>
        <v>0</v>
      </c>
      <c r="F37" s="171">
        <f>SUMIF(修正!A57:A68,G2,修正!B57:B68)</f>
        <v>0.5</v>
      </c>
      <c r="G37" s="171">
        <f>ROUND(IF(E2="工业",C37*$M$42,C37*$M$41),0)</f>
        <v>622</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995</v>
      </c>
      <c r="D38" s="2098"/>
      <c r="E38" s="171">
        <f t="shared" ref="E38:E42" si="4">ROUND(C38*D38/10000,0)</f>
        <v>0</v>
      </c>
      <c r="F38" s="171">
        <f>SUMIF(修正!A57:A68,G2,修正!C57:C68)</f>
        <v>0.2</v>
      </c>
      <c r="G38" s="171">
        <f>ROUND(IF(E2="工业",C38*$M$42,C38*$M$41),0)</f>
        <v>249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3262</v>
      </c>
      <c r="C39" s="175">
        <f>ROUND(D5*C22*C23*C24*C28*F39,0)</f>
        <v>995</v>
      </c>
      <c r="D39" s="2098"/>
      <c r="E39" s="171">
        <f t="shared" si="4"/>
        <v>0</v>
      </c>
      <c r="F39" s="171">
        <f>SUMIF(修正!A57:A68,G2,修正!D57:D68)</f>
        <v>0.2</v>
      </c>
      <c r="G39" s="171">
        <f>ROUND(IF(E2="工业",C39*$M$42,C39*$M$41),0)</f>
        <v>249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995</v>
      </c>
      <c r="D40" s="2098"/>
      <c r="E40" s="171">
        <f t="shared" si="4"/>
        <v>0</v>
      </c>
      <c r="F40" s="175">
        <f>SUMIF(修正!A57:A68,G2,修正!E57:E68)</f>
        <v>0.2</v>
      </c>
      <c r="G40" s="171">
        <f>ROUND(IF(E2="工业",C40*$M$42,C40*$M$41),0)</f>
        <v>249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3396</v>
      </c>
      <c r="D50" s="1065">
        <f t="shared" ref="D50:D58" si="7">SUMIF($J$49:$N$49,C50,J50:N50)</f>
        <v>0</v>
      </c>
      <c r="E50" s="744">
        <f>ROUND(SUM(D50:D58),4)</f>
        <v>0.01</v>
      </c>
      <c r="F50" s="1814">
        <f>IF(E2="商业",SUMIF(L1:L12,G2,N1:N12),"——")</f>
        <v>0.15</v>
      </c>
      <c r="G50" s="1063">
        <v>1.9E-2</v>
      </c>
      <c r="H50" s="1066">
        <f t="shared" ref="H50:H58" si="8">IFERROR(ROUNDDOWN($F$50*I50/2,4),"——")</f>
        <v>2.2499999999999999E-2</v>
      </c>
      <c r="I50" s="3367">
        <v>0.3</v>
      </c>
      <c r="J50" s="1064">
        <f t="shared" ref="J50:J58" si="9">K50+$G50</f>
        <v>3.7999999999999999E-2</v>
      </c>
      <c r="K50" s="1064">
        <f t="shared" ref="K50:K58" si="10">$L50+$G50</f>
        <v>1.9E-2</v>
      </c>
      <c r="L50" s="1064">
        <v>0</v>
      </c>
      <c r="M50" s="1064">
        <f t="shared" ref="M50:N58" si="11">L50-$G50</f>
        <v>-1.9E-2</v>
      </c>
      <c r="N50" s="1064">
        <f t="shared" si="11"/>
        <v>-3.7999999999999999E-2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3396</v>
      </c>
      <c r="D51" s="1065">
        <f t="shared" si="7"/>
        <v>0</v>
      </c>
      <c r="E51" s="745"/>
      <c r="F51" s="1814"/>
      <c r="G51" s="1063">
        <v>1.3899999999999999E-2</v>
      </c>
      <c r="H51" s="1066">
        <f t="shared" si="8"/>
        <v>1.6500000000000001E-2</v>
      </c>
      <c r="I51" s="3367">
        <v>0.22</v>
      </c>
      <c r="J51" s="1064">
        <f t="shared" si="9"/>
        <v>2.7799999999999998E-2</v>
      </c>
      <c r="K51" s="1064">
        <f t="shared" si="10"/>
        <v>1.3899999999999999E-2</v>
      </c>
      <c r="L51" s="1064">
        <v>0</v>
      </c>
      <c r="M51" s="1064">
        <f t="shared" si="11"/>
        <v>-1.3899999999999999E-2</v>
      </c>
      <c r="N51" s="1064">
        <f t="shared" si="11"/>
        <v>-2.7799999999999998E-2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3396</v>
      </c>
      <c r="D52" s="1065">
        <f t="shared" si="7"/>
        <v>0</v>
      </c>
      <c r="E52" s="745"/>
      <c r="F52" s="1814"/>
      <c r="G52" s="1063">
        <v>7.6E-3</v>
      </c>
      <c r="H52" s="1066">
        <f t="shared" si="8"/>
        <v>8.9999999999999993E-3</v>
      </c>
      <c r="I52" s="3367">
        <v>0.12</v>
      </c>
      <c r="J52" s="1064">
        <f t="shared" si="9"/>
        <v>1.52E-2</v>
      </c>
      <c r="K52" s="1064">
        <f t="shared" si="10"/>
        <v>7.6E-3</v>
      </c>
      <c r="L52" s="1064">
        <v>0</v>
      </c>
      <c r="M52" s="1064">
        <f t="shared" si="11"/>
        <v>-7.6E-3</v>
      </c>
      <c r="N52" s="1064">
        <f t="shared" si="11"/>
        <v>-1.52E-2</v>
      </c>
      <c r="AA52" s="1120"/>
      <c r="AB52" s="1120"/>
      <c r="AC52" s="1120"/>
      <c r="AD52" s="1120"/>
      <c r="AE52" s="1120"/>
      <c r="AF52" s="1120"/>
      <c r="AG52" s="1120"/>
      <c r="AH52" s="1120"/>
      <c r="AI52" s="1120"/>
      <c r="AJ52" s="1120"/>
      <c r="AK52" s="1120"/>
    </row>
    <row r="53" spans="1:37" s="1119" customFormat="1" ht="36.75">
      <c r="A53" s="2130" t="s">
        <v>2054</v>
      </c>
      <c r="B53" s="2135" t="s">
        <v>2055</v>
      </c>
      <c r="C53" s="2044" t="s">
        <v>3396</v>
      </c>
      <c r="D53" s="1065">
        <f t="shared" si="7"/>
        <v>0</v>
      </c>
      <c r="E53" s="745"/>
      <c r="F53" s="1814"/>
      <c r="G53" s="1063">
        <v>3.0999999999999999E-3</v>
      </c>
      <c r="H53" s="1066">
        <f t="shared" si="8"/>
        <v>3.7000000000000002E-3</v>
      </c>
      <c r="I53" s="3367">
        <v>0.05</v>
      </c>
      <c r="J53" s="1064">
        <f t="shared" si="9"/>
        <v>6.1999999999999998E-3</v>
      </c>
      <c r="K53" s="1064">
        <f t="shared" si="10"/>
        <v>3.0999999999999999E-3</v>
      </c>
      <c r="L53" s="1064">
        <v>0</v>
      </c>
      <c r="M53" s="1064">
        <f t="shared" si="11"/>
        <v>-3.0999999999999999E-3</v>
      </c>
      <c r="N53" s="1064">
        <f t="shared" si="11"/>
        <v>-6.1999999999999998E-3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3396</v>
      </c>
      <c r="D54" s="1065">
        <f t="shared" si="7"/>
        <v>0</v>
      </c>
      <c r="E54" s="745"/>
      <c r="F54" s="1814"/>
      <c r="G54" s="1063">
        <v>5.0000000000000001E-3</v>
      </c>
      <c r="H54" s="1066">
        <f t="shared" si="8"/>
        <v>6.0000000000000001E-3</v>
      </c>
      <c r="I54" s="3367">
        <v>0.08</v>
      </c>
      <c r="J54" s="1064">
        <f t="shared" si="9"/>
        <v>0.01</v>
      </c>
      <c r="K54" s="1064">
        <f t="shared" si="10"/>
        <v>5.0000000000000001E-3</v>
      </c>
      <c r="L54" s="1064">
        <v>0</v>
      </c>
      <c r="M54" s="1064">
        <f t="shared" si="11"/>
        <v>-5.0000000000000001E-3</v>
      </c>
      <c r="N54" s="1064">
        <f t="shared" si="11"/>
        <v>-0.01</v>
      </c>
      <c r="AA54" s="1120"/>
      <c r="AB54" s="1120"/>
      <c r="AC54" s="1120"/>
      <c r="AD54" s="1120"/>
      <c r="AE54" s="1120"/>
      <c r="AF54" s="1120"/>
      <c r="AG54" s="1120"/>
      <c r="AH54" s="1120"/>
      <c r="AI54" s="1120"/>
      <c r="AJ54" s="1120"/>
      <c r="AK54" s="1120"/>
    </row>
    <row r="55" spans="1:37" s="1119" customFormat="1" ht="24">
      <c r="A55" s="2130" t="s">
        <v>2057</v>
      </c>
      <c r="B55" s="2136" t="s">
        <v>2058</v>
      </c>
      <c r="C55" s="2044" t="s">
        <v>3396</v>
      </c>
      <c r="D55" s="1065">
        <f t="shared" si="7"/>
        <v>0</v>
      </c>
      <c r="E55" s="745"/>
      <c r="F55" s="1814"/>
      <c r="G55" s="1063">
        <v>3.0999999999999999E-3</v>
      </c>
      <c r="H55" s="1066">
        <f t="shared" si="8"/>
        <v>3.7000000000000002E-3</v>
      </c>
      <c r="I55" s="3367">
        <v>0.05</v>
      </c>
      <c r="J55" s="1064">
        <f t="shared" si="9"/>
        <v>6.1999999999999998E-3</v>
      </c>
      <c r="K55" s="1064">
        <f t="shared" si="10"/>
        <v>3.0999999999999999E-3</v>
      </c>
      <c r="L55" s="1064">
        <v>0</v>
      </c>
      <c r="M55" s="1064">
        <f t="shared" si="11"/>
        <v>-3.0999999999999999E-3</v>
      </c>
      <c r="N55" s="1064">
        <f t="shared" si="11"/>
        <v>-6.1999999999999998E-3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3396</v>
      </c>
      <c r="D56" s="1065">
        <f t="shared" si="7"/>
        <v>0</v>
      </c>
      <c r="E56" s="745"/>
      <c r="F56" s="1814"/>
      <c r="G56" s="1063">
        <v>3.0999999999999999E-3</v>
      </c>
      <c r="H56" s="1066">
        <f t="shared" si="8"/>
        <v>3.7000000000000002E-3</v>
      </c>
      <c r="I56" s="3367">
        <v>0.05</v>
      </c>
      <c r="J56" s="1064">
        <f t="shared" si="9"/>
        <v>6.1999999999999998E-3</v>
      </c>
      <c r="K56" s="1064">
        <f t="shared" si="10"/>
        <v>3.0999999999999999E-3</v>
      </c>
      <c r="L56" s="1064">
        <v>0</v>
      </c>
      <c r="M56" s="1064">
        <f t="shared" si="11"/>
        <v>-3.0999999999999999E-3</v>
      </c>
      <c r="N56" s="1064">
        <f t="shared" si="11"/>
        <v>-6.1999999999999998E-3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3397</v>
      </c>
      <c r="D57" s="1065">
        <f t="shared" si="7"/>
        <v>0.01</v>
      </c>
      <c r="E57" s="745"/>
      <c r="F57" s="1814"/>
      <c r="G57" s="1063">
        <v>5.0000000000000001E-3</v>
      </c>
      <c r="H57" s="1066">
        <f t="shared" si="8"/>
        <v>6.0000000000000001E-3</v>
      </c>
      <c r="I57" s="3367">
        <v>0.08</v>
      </c>
      <c r="J57" s="1064">
        <f t="shared" si="9"/>
        <v>0.01</v>
      </c>
      <c r="K57" s="1064">
        <f t="shared" si="10"/>
        <v>5.0000000000000001E-3</v>
      </c>
      <c r="L57" s="1064">
        <v>0</v>
      </c>
      <c r="M57" s="1064">
        <f t="shared" si="11"/>
        <v>-5.0000000000000001E-3</v>
      </c>
      <c r="N57" s="1064">
        <f t="shared" si="11"/>
        <v>-0.01</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3396</v>
      </c>
      <c r="D58" s="1065">
        <f t="shared" si="7"/>
        <v>0</v>
      </c>
      <c r="E58" s="746"/>
      <c r="F58" s="1814"/>
      <c r="G58" s="1063">
        <v>3.0999999999999999E-3</v>
      </c>
      <c r="H58" s="1066">
        <f t="shared" si="8"/>
        <v>3.7000000000000002E-3</v>
      </c>
      <c r="I58" s="3368">
        <v>0.05</v>
      </c>
      <c r="J58" s="1064">
        <f t="shared" si="9"/>
        <v>6.1999999999999998E-3</v>
      </c>
      <c r="K58" s="1064">
        <f t="shared" si="10"/>
        <v>3.0999999999999999E-3</v>
      </c>
      <c r="L58" s="1064">
        <v>0</v>
      </c>
      <c r="M58" s="1064">
        <f t="shared" si="11"/>
        <v>-3.0999999999999999E-3</v>
      </c>
      <c r="N58" s="1064">
        <f t="shared" si="11"/>
        <v>-6.1999999999999998E-3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3297</v>
      </c>
      <c r="B103" s="3751"/>
      <c r="C103" s="3751"/>
      <c r="D103" s="3751"/>
      <c r="E103" s="3751"/>
      <c r="F103" s="3751"/>
      <c r="G103" s="3751"/>
      <c r="H103" s="3751"/>
      <c r="I103" s="3751"/>
      <c r="J103" s="3751"/>
      <c r="K103" s="3390"/>
      <c r="L103" s="3390"/>
      <c r="M103" s="3390"/>
      <c r="N103" s="3390"/>
    </row>
    <row r="104" spans="1:14">
      <c r="A104" s="3752" t="s">
        <v>3298</v>
      </c>
      <c r="B104" s="3752" t="s">
        <v>3299</v>
      </c>
      <c r="C104" s="3391" t="s">
        <v>3300</v>
      </c>
      <c r="D104" s="3392"/>
      <c r="E104" s="3392"/>
      <c r="F104" s="3392"/>
      <c r="G104" s="3392"/>
      <c r="H104" s="3392"/>
      <c r="I104" s="3392"/>
      <c r="J104" s="3393"/>
      <c r="K104" s="3394"/>
      <c r="L104" s="3394"/>
      <c r="M104" s="3394"/>
      <c r="N104" s="3394"/>
    </row>
    <row r="105" spans="1:14">
      <c r="A105" s="3752"/>
      <c r="B105" s="3752"/>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38"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3271</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40"/>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41" t="s">
        <v>3314</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0.84860000000000002</v>
      </c>
      <c r="E116" s="2000" t="s">
        <v>3317</v>
      </c>
      <c r="F116" s="3402" t="str">
        <f>E2</f>
        <v>商业</v>
      </c>
      <c r="G116" s="2000" t="s">
        <v>3318</v>
      </c>
      <c r="H116" s="3402" t="str">
        <f>G2</f>
        <v>九级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3332</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3333</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28996</v>
      </c>
      <c r="C2" s="2" t="s">
        <v>106</v>
      </c>
      <c r="D2" s="199"/>
      <c r="E2" s="199"/>
      <c r="F2" s="199"/>
      <c r="G2" s="199"/>
    </row>
    <row r="3" spans="1:7" s="200" customFormat="1" ht="18" customHeight="1" thickBot="1">
      <c r="A3" s="203" t="s">
        <v>58</v>
      </c>
      <c r="B3" s="204">
        <f ca="1">ROUND(B2*10000/'数据-汇总表'!E3,0)</f>
        <v>1655495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3</v>
      </c>
      <c r="D10" s="845">
        <f>'数据-汇总表'!E6</f>
        <v>175.15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175.15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61</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175.15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14</v>
      </c>
      <c r="D45" s="235">
        <f>C47</f>
        <v>4.0000000000000001E-3</v>
      </c>
      <c r="E45" s="236" t="s">
        <v>102</v>
      </c>
      <c r="F45" s="246"/>
      <c r="G45" s="247" t="s">
        <v>434</v>
      </c>
    </row>
    <row r="46" spans="1:7" s="214" customFormat="1" ht="13.5" customHeight="1">
      <c r="A46" s="780" t="s">
        <v>349</v>
      </c>
      <c r="B46" s="248" t="s">
        <v>427</v>
      </c>
      <c r="C46" s="249">
        <f>ROUND((C33+C39)*F27,0)</f>
        <v>14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92</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75</v>
      </c>
      <c r="D51" s="232"/>
      <c r="E51" s="232"/>
      <c r="F51" s="264"/>
      <c r="G51" s="234" t="s">
        <v>37</v>
      </c>
    </row>
    <row r="52" spans="1:7" s="208" customFormat="1" ht="16.5" thickBot="1">
      <c r="A52" s="265" t="s">
        <v>38</v>
      </c>
      <c r="B52" s="266"/>
      <c r="C52" s="267">
        <f ca="1">C31+C51</f>
        <v>28996</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193</v>
      </c>
      <c r="E5" s="1491"/>
    </row>
    <row r="6" spans="1:5" ht="15.75">
      <c r="A6" s="1491"/>
      <c r="B6" s="3452"/>
      <c r="C6" s="1494" t="s">
        <v>911</v>
      </c>
      <c r="D6" s="850" t="str">
        <f ca="1">NUMBERSTRING(INT(D5*10000),2)&amp;"元整"</f>
        <v>壹佰玖拾叁万元整</v>
      </c>
      <c r="E6" s="1491"/>
    </row>
    <row r="7" spans="1:5" ht="15.75">
      <c r="A7" s="1491"/>
      <c r="B7" s="3457"/>
      <c r="C7" s="1495" t="s">
        <v>912</v>
      </c>
      <c r="D7" s="851">
        <f ca="1">结果表!H102</f>
        <v>11019</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193</v>
      </c>
      <c r="E13" s="1491"/>
    </row>
    <row r="14" spans="1:5" ht="15.75">
      <c r="A14" s="1491"/>
      <c r="B14" s="3452"/>
      <c r="C14" s="1494" t="s">
        <v>911</v>
      </c>
      <c r="D14" s="850" t="str">
        <f ca="1">NUMBERSTRING(INT(D13*10000),2)&amp;"元整"</f>
        <v>壹佰玖拾叁万元整</v>
      </c>
      <c r="E14" s="1491"/>
    </row>
    <row r="15" spans="1:5" ht="15">
      <c r="A15" s="1491"/>
      <c r="B15" s="3457"/>
      <c r="C15" s="1495" t="s">
        <v>921</v>
      </c>
      <c r="D15" s="859">
        <f ca="1">结果表!H108</f>
        <v>11019</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2843</v>
      </c>
      <c r="B1" s="3771"/>
      <c r="C1" s="3771"/>
      <c r="D1" s="3771"/>
      <c r="E1" s="3771"/>
      <c r="F1" s="3771"/>
      <c r="G1" s="377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9"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3185</v>
      </c>
      <c r="B1" s="3773"/>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3236</v>
      </c>
      <c r="B1" s="3774"/>
      <c r="C1" s="3774"/>
      <c r="D1" s="3774"/>
      <c r="E1" s="3774"/>
      <c r="F1" s="3775"/>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21">
        <f>基准地价修正!G23</f>
        <v>45310</v>
      </c>
      <c r="B1" s="3210" t="s">
        <v>3374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76" t="s">
        <v>2831</v>
      </c>
      <c r="S23" s="3777"/>
      <c r="T23" s="3777"/>
      <c r="U23" s="3777"/>
      <c r="V23" s="3777"/>
      <c r="W23" s="3777"/>
      <c r="X23" s="3165"/>
      <c r="Y23" s="3776" t="s">
        <v>2832</v>
      </c>
      <c r="Z23" s="3777"/>
      <c r="AA23" s="3777"/>
      <c r="AB23" s="3777"/>
      <c r="AC23" s="3777"/>
      <c r="AD23" s="3777"/>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45310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40" sqref="J40"/>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175.15</v>
      </c>
      <c r="C4" s="854">
        <f>项目基本情况!C18</f>
        <v>0</v>
      </c>
      <c r="D4" s="854">
        <f ca="1">结果表!D118</f>
        <v>131</v>
      </c>
      <c r="E4" s="854">
        <f ca="1">结果表!E118</f>
        <v>7479</v>
      </c>
      <c r="F4" s="854">
        <f ca="1">结果表!F118</f>
        <v>62</v>
      </c>
      <c r="G4" s="854">
        <f ca="1">结果表!G118</f>
        <v>3540</v>
      </c>
      <c r="H4" s="854">
        <f ca="1">结果表!H118</f>
        <v>193</v>
      </c>
      <c r="I4" s="854">
        <f ca="1">结果表!I118</f>
        <v>11019</v>
      </c>
    </row>
    <row r="5" spans="1:9" ht="30" customHeight="1">
      <c r="A5" s="3464" t="s">
        <v>927</v>
      </c>
      <c r="B5" s="3464"/>
      <c r="C5" s="3464"/>
      <c r="D5" s="3464" t="str">
        <f ca="1">结果表!D119</f>
        <v>壹佰叁拾壹万元整</v>
      </c>
      <c r="E5" s="3464"/>
      <c r="F5" s="3464" t="str">
        <f ca="1">结果表!F119</f>
        <v>陆拾贰万元整</v>
      </c>
      <c r="G5" s="3464"/>
      <c r="H5" s="3464" t="str">
        <f ca="1">结果表!H119</f>
        <v>壹佰玖拾叁万元整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193</v>
      </c>
      <c r="E8" s="3463"/>
      <c r="F8" s="3463"/>
      <c r="G8" s="3463"/>
      <c r="H8" s="3463"/>
      <c r="I8" s="3463"/>
    </row>
    <row r="9" spans="1:9" ht="15">
      <c r="A9" s="3464" t="s">
        <v>927</v>
      </c>
      <c r="B9" s="3464"/>
      <c r="C9" s="3464"/>
      <c r="D9" s="3464" t="str">
        <f ca="1">结果表!D123</f>
        <v>壹佰玖拾叁万元整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45310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2024-01-19T09:19:00Z</dcterms:modified>
</cp:coreProperties>
</file>