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2)" sheetId="81" state="hidden" r:id="rId28"/>
    <sheet name="比较法-商业" sheetId="33"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及位置" sheetId="80" r:id="rId46"/>
    <sheet name="取费依据" sheetId="77" r:id="rId47"/>
    <sheet name="案例位置" sheetId="78" r:id="rId48"/>
    <sheet name="Sheet3" sheetId="79"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 (2)'!$A$1:$L$49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 (2)'!$B$116:$M$116</definedName>
    <definedName name="商业层高">'比较法-商业'!$B$116:$M$116</definedName>
    <definedName name="商业成新度" localSheetId="27">'比较法-商业 (2)'!$B$109:$M$109</definedName>
    <definedName name="商业成新度">'比较法-商业'!$B$109:$M$109</definedName>
    <definedName name="商业繁华度">定义!$L$1:$L$6</definedName>
    <definedName name="商业公共部分装修" localSheetId="27">'比较法-商业 (2)'!$B$107:$M$107</definedName>
    <definedName name="商业公共部分装修">'比较法-商业'!$B$107:$M$107</definedName>
    <definedName name="商业基础设施水平" localSheetId="27">'比较法-商业 (2)'!$B$112:$M$112</definedName>
    <definedName name="商业基础设施水平">'比较法-商业'!$B$112:$M$112</definedName>
    <definedName name="商业建筑结构" localSheetId="27">'比较法-商业 (2)'!$B$105:$M$105</definedName>
    <definedName name="商业建筑结构">'比较法-商业'!$B$105:$M$105</definedName>
    <definedName name="商业交易情况" localSheetId="27">'比较法-商业 (2)'!$A$61:$M$61</definedName>
    <definedName name="商业交易情况">'比较法-商业'!$A$61:$M$61</definedName>
    <definedName name="商业街名称">修正!$C$59:$C$119</definedName>
    <definedName name="商业进深比" localSheetId="27">'比较法-商业 (2)'!$B$120:$M$120</definedName>
    <definedName name="商业进深比">'比较法-商业'!$B$120:$M$120</definedName>
    <definedName name="商业类型" localSheetId="27">'比较法-商业 (2)'!$B$100:$M$100</definedName>
    <definedName name="商业类型">'比较法-商业'!$B$100:$M$100</definedName>
    <definedName name="商业临街状况" localSheetId="27">'比较法-商业 (2)'!$B$86:$M$86</definedName>
    <definedName name="商业临街状况">'比较法-商业'!$B$86:$M$86</definedName>
    <definedName name="商业楼层" localSheetId="27">'比较法-商业 (2)'!$B$92:$M$92</definedName>
    <definedName name="商业楼层">'比较法-商业'!$B$92:$M$92</definedName>
    <definedName name="商业内部装修" localSheetId="27">'比较法-商业 (2)'!$B$122:$M$122</definedName>
    <definedName name="商业内部装修">'比较法-商业'!$B$122:$M$122</definedName>
    <definedName name="商业人流量" localSheetId="27">'比较法-商业 (2)'!$B$90:$M$90</definedName>
    <definedName name="商业人流量">'比较法-商业'!$B$90:$M$90</definedName>
    <definedName name="商业业态" localSheetId="27">'比较法-商业 (2)'!$B$114:$M$114</definedName>
    <definedName name="商业业态">'比较法-商业'!$B$114:$M$114</definedName>
    <definedName name="商业用途" localSheetId="27">'比较法-商业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J20" i="9" l="1"/>
  <c r="G16" i="74" l="1"/>
  <c r="D16" i="74" l="1"/>
  <c r="D15" i="74" l="1"/>
  <c r="G15" i="74" l="1"/>
  <c r="I47" i="33" l="1"/>
  <c r="I47" i="21" l="1"/>
  <c r="G47" i="21"/>
  <c r="E47" i="21"/>
  <c r="I37" i="35"/>
  <c r="G37" i="35"/>
  <c r="E37" i="35"/>
  <c r="G47" i="33"/>
  <c r="E47" i="33"/>
  <c r="D9" i="79" l="1"/>
  <c r="D8" i="79"/>
  <c r="C9" i="79"/>
  <c r="C8" i="79"/>
  <c r="C7" i="79"/>
  <c r="C10" i="79" l="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G66" i="81"/>
  <c r="H66" i="81" s="1"/>
  <c r="I66" i="81" s="1"/>
  <c r="C63" i="81"/>
  <c r="I54" i="81"/>
  <c r="J54" i="81" s="1"/>
  <c r="G54" i="81"/>
  <c r="H54" i="81" s="1"/>
  <c r="E54" i="81"/>
  <c r="F54" i="81" s="1"/>
  <c r="P49" i="81"/>
  <c r="P48" i="81"/>
  <c r="V47" i="81"/>
  <c r="T47" i="81"/>
  <c r="R47" i="81"/>
  <c r="P47" i="81"/>
  <c r="Q46" i="81"/>
  <c r="Z46" i="81" s="1"/>
  <c r="J46" i="81"/>
  <c r="AC46" i="81" s="1"/>
  <c r="H46" i="8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D2" i="81"/>
  <c r="W8" i="81" l="1"/>
  <c r="AB8" i="81"/>
  <c r="S9" i="81"/>
  <c r="W9" i="81"/>
  <c r="U10" i="81"/>
  <c r="S11" i="81"/>
  <c r="W11" i="81"/>
  <c r="U12" i="81"/>
  <c r="S13" i="81"/>
  <c r="W13" i="81"/>
  <c r="U14" i="81"/>
  <c r="U15" i="81"/>
  <c r="U17" i="81"/>
  <c r="U19" i="81"/>
  <c r="U9" i="81"/>
  <c r="S10" i="81"/>
  <c r="W10" i="81"/>
  <c r="U11" i="81"/>
  <c r="S12" i="81"/>
  <c r="W12" i="81"/>
  <c r="U13" i="81"/>
  <c r="S14" i="81"/>
  <c r="W14" i="81"/>
  <c r="S15" i="81"/>
  <c r="W15" i="81"/>
  <c r="S17" i="81"/>
  <c r="W17" i="81"/>
  <c r="S19" i="81"/>
  <c r="W19" i="81"/>
  <c r="U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S45" i="81"/>
  <c r="W45" i="81"/>
  <c r="AB46" i="81"/>
  <c r="U46" i="81"/>
  <c r="W46" i="8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S46" i="81"/>
  <c r="K20" i="1"/>
  <c r="L20" i="1" s="1"/>
  <c r="F20" i="6"/>
  <c r="AN13" i="3"/>
  <c r="AL13" i="3"/>
  <c r="G21" i="6" l="1"/>
  <c r="F19" i="6" l="1"/>
  <c r="C33" i="21" s="1"/>
  <c r="N6" i="71" l="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B7" i="71" s="1"/>
  <c r="B6" i="71" s="1"/>
  <c r="B5" i="71" s="1"/>
  <c r="Q7" i="71"/>
  <c r="P7" i="71"/>
  <c r="O7" i="71"/>
  <c r="C7" i="71"/>
  <c r="C6" i="71" s="1"/>
  <c r="Q8" i="71"/>
  <c r="F7" i="71"/>
  <c r="F6" i="71" s="1"/>
  <c r="F5" i="71" s="1"/>
  <c r="P8" i="71"/>
  <c r="E7" i="71"/>
  <c r="E6" i="71" s="1"/>
  <c r="E5" i="71" s="1"/>
  <c r="O8" i="71"/>
  <c r="N8" i="71"/>
  <c r="V7"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N56" i="9"/>
  <c r="K56" i="9"/>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s="1"/>
  <c r="E65" i="71" s="1"/>
  <c r="C67" i="71"/>
  <c r="D67" i="71" s="1"/>
  <c r="B67" i="71"/>
  <c r="B66" i="71" s="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E34" i="7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s="1"/>
  <c r="E26" i="71"/>
  <c r="E27" i="71" s="1"/>
  <c r="U27" i="71" s="1"/>
  <c r="O24" i="71"/>
  <c r="C25" i="71"/>
  <c r="N24" i="71"/>
  <c r="B25" i="71"/>
  <c r="B26" i="71" s="1"/>
  <c r="B27" i="71" s="1"/>
  <c r="S27" i="71" s="1"/>
  <c r="D24" i="71"/>
  <c r="Q23" i="71"/>
  <c r="P23" i="71"/>
  <c r="O23" i="71"/>
  <c r="N23" i="71"/>
  <c r="Q22" i="71"/>
  <c r="AB22" i="71" s="1"/>
  <c r="P22" i="71"/>
  <c r="AA22" i="71" s="1"/>
  <c r="O22" i="71"/>
  <c r="Y22" i="71" s="1"/>
  <c r="Z22" i="71" s="1"/>
  <c r="N22" i="71"/>
  <c r="X22" i="71" s="1"/>
  <c r="Q21" i="71"/>
  <c r="AB21" i="71" s="1"/>
  <c r="P21" i="71"/>
  <c r="O21" i="71"/>
  <c r="Y21" i="71" s="1"/>
  <c r="Z21" i="71" s="1"/>
  <c r="N21" i="71"/>
  <c r="Q20" i="71"/>
  <c r="F21" i="71" s="1"/>
  <c r="F22" i="71" s="1"/>
  <c r="F23" i="71" s="1"/>
  <c r="V23" i="71" s="1"/>
  <c r="P20" i="71"/>
  <c r="O20" i="71"/>
  <c r="N20" i="71"/>
  <c r="D20" i="71"/>
  <c r="Q19" i="71"/>
  <c r="AB19" i="71" s="1"/>
  <c r="P19" i="71"/>
  <c r="O19" i="71"/>
  <c r="Y19" i="71" s="1"/>
  <c r="Z19" i="71" s="1"/>
  <c r="N19" i="71"/>
  <c r="Q18" i="71"/>
  <c r="AB18" i="71"/>
  <c r="P18" i="71"/>
  <c r="O18" i="71"/>
  <c r="Y18" i="71" s="1"/>
  <c r="Z18" i="71" s="1"/>
  <c r="N18" i="71"/>
  <c r="Q17" i="71"/>
  <c r="AB17" i="71" s="1"/>
  <c r="P17" i="71"/>
  <c r="O17" i="71"/>
  <c r="Y17" i="71" s="1"/>
  <c r="Z17" i="71" s="1"/>
  <c r="N17" i="71"/>
  <c r="Q16" i="71"/>
  <c r="F17" i="71" s="1"/>
  <c r="P16" i="71"/>
  <c r="O16" i="71"/>
  <c r="N16" i="71"/>
  <c r="D16" i="71"/>
  <c r="Q15" i="71"/>
  <c r="AB15" i="71" s="1"/>
  <c r="P15" i="71"/>
  <c r="O15" i="71"/>
  <c r="N15" i="71"/>
  <c r="Q14" i="71"/>
  <c r="P14" i="71"/>
  <c r="O14" i="71"/>
  <c r="Y14" i="71"/>
  <c r="Z14" i="71" s="1"/>
  <c r="N14" i="71"/>
  <c r="Q13" i="71"/>
  <c r="AB13" i="71" s="1"/>
  <c r="P13" i="71"/>
  <c r="O13" i="71"/>
  <c r="Y13" i="71" s="1"/>
  <c r="Z13" i="71" s="1"/>
  <c r="N13" i="71"/>
  <c r="Q12" i="71"/>
  <c r="F13" i="71" s="1"/>
  <c r="F14" i="71" s="1"/>
  <c r="F15" i="71" s="1"/>
  <c r="V15" i="71" s="1"/>
  <c r="P12" i="71"/>
  <c r="O12" i="71"/>
  <c r="N12" i="71"/>
  <c r="D12" i="71"/>
  <c r="O11" i="71"/>
  <c r="N11" i="71"/>
  <c r="B13" i="71"/>
  <c r="B14" i="71"/>
  <c r="B15" i="71" s="1"/>
  <c r="S15" i="71" s="1"/>
  <c r="E13" i="71"/>
  <c r="E14" i="71" s="1"/>
  <c r="E15" i="71" s="1"/>
  <c r="U15" i="71" s="1"/>
  <c r="AA12" i="71"/>
  <c r="B17" i="71"/>
  <c r="B18" i="71"/>
  <c r="B19" i="71" s="1"/>
  <c r="S19" i="71" s="1"/>
  <c r="X16" i="71"/>
  <c r="B21" i="71"/>
  <c r="B22" i="71" s="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4" i="71"/>
  <c r="D33" i="71"/>
  <c r="P11" i="71"/>
  <c r="E38" i="71"/>
  <c r="E39" i="71" s="1"/>
  <c r="U39" i="71" s="1"/>
  <c r="E42" i="71"/>
  <c r="E43" i="71" s="1"/>
  <c r="U43" i="71" s="1"/>
  <c r="E46" i="71"/>
  <c r="E47" i="71"/>
  <c r="U47" i="71" s="1"/>
  <c r="Q48" i="71"/>
  <c r="U51" i="71"/>
  <c r="E50" i="71"/>
  <c r="Q11" i="71"/>
  <c r="AB8" i="71" s="1"/>
  <c r="C38" i="71"/>
  <c r="D37" i="71"/>
  <c r="C42" i="71"/>
  <c r="D41" i="71"/>
  <c r="C46" i="71"/>
  <c r="D45" i="71"/>
  <c r="Q50" i="71"/>
  <c r="T51" i="71"/>
  <c r="O51" i="71"/>
  <c r="D51" i="71"/>
  <c r="C50" i="71"/>
  <c r="Q51" i="71"/>
  <c r="C54" i="71"/>
  <c r="E54" i="71"/>
  <c r="E53" i="71" s="1"/>
  <c r="D55" i="71"/>
  <c r="C58" i="71"/>
  <c r="E58" i="71"/>
  <c r="E57" i="71" s="1"/>
  <c r="D59" i="71"/>
  <c r="C62" i="71"/>
  <c r="E62" i="71"/>
  <c r="E61" i="71" s="1"/>
  <c r="D63" i="71"/>
  <c r="C66" i="71"/>
  <c r="C70" i="71"/>
  <c r="C69" i="71" s="1"/>
  <c r="D69" i="71" s="1"/>
  <c r="T11" i="71"/>
  <c r="C10" i="71"/>
  <c r="S11" i="71"/>
  <c r="F11" i="71"/>
  <c r="F10" i="71" s="1"/>
  <c r="F9" i="71" s="1"/>
  <c r="AB3" i="71"/>
  <c r="AB9" i="71"/>
  <c r="AB11" i="71"/>
  <c r="E11" i="71"/>
  <c r="E10" i="71"/>
  <c r="E9" i="71" s="1"/>
  <c r="AA3" i="71"/>
  <c r="AA8" i="71"/>
  <c r="AA9" i="71"/>
  <c r="AA10" i="71"/>
  <c r="AA11" i="71"/>
  <c r="D11" i="71"/>
  <c r="U11" i="71" s="1"/>
  <c r="C49" i="71"/>
  <c r="O49" i="71" s="1"/>
  <c r="O50" i="71"/>
  <c r="D50" i="71"/>
  <c r="C47" i="71"/>
  <c r="D47" i="71" s="1"/>
  <c r="D46" i="71"/>
  <c r="D66" i="71"/>
  <c r="C65" i="71"/>
  <c r="D65" i="71" s="1"/>
  <c r="D58" i="71"/>
  <c r="C57" i="71"/>
  <c r="D57" i="71" s="1"/>
  <c r="D70" i="71"/>
  <c r="D62" i="71"/>
  <c r="C61" i="71"/>
  <c r="D61" i="71" s="1"/>
  <c r="D54" i="71"/>
  <c r="C53" i="71"/>
  <c r="D53" i="71" s="1"/>
  <c r="C43" i="71"/>
  <c r="D43" i="71" s="1"/>
  <c r="D42" i="71"/>
  <c r="C39" i="71"/>
  <c r="D39" i="71" s="1"/>
  <c r="D38" i="71"/>
  <c r="P50" i="71"/>
  <c r="E49" i="71"/>
  <c r="P48" i="71" s="1"/>
  <c r="C35" i="71"/>
  <c r="D35" i="71" s="1"/>
  <c r="D34" i="71"/>
  <c r="C27" i="71"/>
  <c r="D27" i="71" s="1"/>
  <c r="D26" i="71"/>
  <c r="C23" i="71"/>
  <c r="D23" i="71" s="1"/>
  <c r="D22" i="71"/>
  <c r="C15" i="71"/>
  <c r="D15" i="71" s="1"/>
  <c r="D14" i="71"/>
  <c r="C9" i="71"/>
  <c r="D9" i="71" s="1"/>
  <c r="D10" i="71"/>
  <c r="V11" i="71"/>
  <c r="P49" i="71"/>
  <c r="D49" i="71"/>
  <c r="T15" i="71"/>
  <c r="T23" i="71"/>
  <c r="T27" i="71"/>
  <c r="T35" i="71"/>
  <c r="T39" i="71"/>
  <c r="T43"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D83" i="21"/>
  <c r="D81" i="21"/>
  <c r="H19" i="21" s="1"/>
  <c r="G20" i="20"/>
  <c r="B86" i="43"/>
  <c r="C22" i="20"/>
  <c r="B75" i="43" s="1"/>
  <c r="C25" i="40"/>
  <c r="S29" i="39"/>
  <c r="U18" i="36"/>
  <c r="H25" i="40"/>
  <c r="J25" i="40"/>
  <c r="H29" i="39"/>
  <c r="J29" i="39"/>
  <c r="W29" i="39" s="1"/>
  <c r="J18" i="36"/>
  <c r="H21" i="37"/>
  <c r="F21" i="37"/>
  <c r="AA21" i="37" s="1"/>
  <c r="H21" i="34"/>
  <c r="AB21" i="34" s="1"/>
  <c r="F83" i="33"/>
  <c r="H21" i="33"/>
  <c r="U21" i="33" s="1"/>
  <c r="F21" i="33"/>
  <c r="S21" i="33" s="1"/>
  <c r="E83" i="21"/>
  <c r="F21" i="21" s="1"/>
  <c r="AA21" i="21" s="1"/>
  <c r="H1" i="69"/>
  <c r="AC25" i="40"/>
  <c r="W25" i="40"/>
  <c r="AB25" i="40"/>
  <c r="U25" i="40"/>
  <c r="AB29" i="39"/>
  <c r="U29" i="39"/>
  <c r="AC29" i="39"/>
  <c r="AC18" i="36"/>
  <c r="W18" i="36"/>
  <c r="AB21" i="37"/>
  <c r="U21" i="37"/>
  <c r="S21" i="37"/>
  <c r="U21" i="34"/>
  <c r="AA21" i="33"/>
  <c r="J21" i="37"/>
  <c r="W21" i="37" s="1"/>
  <c r="J21" i="34"/>
  <c r="W21" i="34" s="1"/>
  <c r="G83" i="33"/>
  <c r="J21" i="33"/>
  <c r="W21" i="33" s="1"/>
  <c r="H21" i="21"/>
  <c r="U21" i="21" s="1"/>
  <c r="F38" i="69"/>
  <c r="E37" i="69"/>
  <c r="F36" i="69"/>
  <c r="F35" i="69"/>
  <c r="F21" i="69"/>
  <c r="C21" i="69" s="1"/>
  <c r="F20" i="69"/>
  <c r="E10" i="69"/>
  <c r="E9" i="69"/>
  <c r="F7" i="69"/>
  <c r="C7" i="69" s="1"/>
  <c r="AC21" i="37"/>
  <c r="AC21" i="34"/>
  <c r="AC21" i="33"/>
  <c r="F38" i="68"/>
  <c r="E37" i="68"/>
  <c r="F36" i="68"/>
  <c r="F35" i="68"/>
  <c r="F21" i="68"/>
  <c r="C21" i="68" s="1"/>
  <c r="F20" i="68"/>
  <c r="E10" i="68"/>
  <c r="E9" i="68"/>
  <c r="F7" i="68"/>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8" i="81"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G7" i="1" s="1"/>
  <c r="L21" i="4"/>
  <c r="F19" i="4"/>
  <c r="F2" i="52"/>
  <c r="B50" i="72" s="1"/>
  <c r="D2" i="52"/>
  <c r="B46" i="72" s="1"/>
  <c r="B8" i="53"/>
  <c r="B23" i="72" s="1"/>
  <c r="L4" i="9"/>
  <c r="B17" i="72"/>
  <c r="B15" i="72"/>
  <c r="A3" i="51"/>
  <c r="C8" i="11"/>
  <c r="B2" i="49"/>
  <c r="B23" i="49" s="1"/>
  <c r="B40" i="48"/>
  <c r="B3" i="72" s="1"/>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3" i="81" s="1"/>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AB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D120" i="39"/>
  <c r="E120" i="39" s="1"/>
  <c r="B114" i="39"/>
  <c r="J37" i="39" s="1"/>
  <c r="D109" i="39"/>
  <c r="F34" i="39"/>
  <c r="AA34" i="39" s="1"/>
  <c r="D107" i="39"/>
  <c r="E107" i="39" s="1"/>
  <c r="F107" i="39" s="1"/>
  <c r="G107" i="39" s="1"/>
  <c r="H107" i="39" s="1"/>
  <c r="I107" i="39" s="1"/>
  <c r="J107" i="39" s="1"/>
  <c r="K107" i="39" s="1"/>
  <c r="L107" i="39" s="1"/>
  <c r="M107" i="39" s="1"/>
  <c r="D105" i="39"/>
  <c r="E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D93" i="39"/>
  <c r="E93" i="39" s="1"/>
  <c r="D91" i="39"/>
  <c r="E91" i="39" s="1"/>
  <c r="D89" i="39"/>
  <c r="E89" i="39" s="1"/>
  <c r="F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Q27" i="35"/>
  <c r="Z27" i="35" s="1"/>
  <c r="Q26" i="35"/>
  <c r="Z26" i="35" s="1"/>
  <c r="Q25" i="35"/>
  <c r="Z25" i="35" s="1"/>
  <c r="Q24" i="35"/>
  <c r="Z24" i="35"/>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H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Q39" i="33"/>
  <c r="Z39" i="33" s="1"/>
  <c r="J39" i="33"/>
  <c r="AC39" i="33" s="1"/>
  <c r="Q38" i="33"/>
  <c r="Z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F19" i="21"/>
  <c r="AA19" i="21" s="1"/>
  <c r="E81" i="21"/>
  <c r="F81" i="21" s="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J40" i="21"/>
  <c r="W40" i="21" s="1"/>
  <c r="H35" i="21"/>
  <c r="AB35" i="21" s="1"/>
  <c r="J8" i="21"/>
  <c r="AC8" i="21" s="1"/>
  <c r="H8" i="21"/>
  <c r="U8" i="21" s="1"/>
  <c r="J34" i="21"/>
  <c r="W34" i="21" s="1"/>
  <c r="F35" i="21"/>
  <c r="AA35"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J33" i="36"/>
  <c r="W33" i="36" s="1"/>
  <c r="H22" i="35"/>
  <c r="AB22" i="35" s="1"/>
  <c r="AC27" i="35"/>
  <c r="U31" i="35"/>
  <c r="S31" i="35"/>
  <c r="F36" i="34"/>
  <c r="J35" i="34"/>
  <c r="S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U34" i="40"/>
  <c r="S38" i="40"/>
  <c r="F42" i="39"/>
  <c r="AA42" i="39" s="1"/>
  <c r="H40" i="39"/>
  <c r="AB40" i="39"/>
  <c r="S38" i="39"/>
  <c r="S34" i="39"/>
  <c r="H34" i="39"/>
  <c r="U34" i="39"/>
  <c r="E109" i="39"/>
  <c r="E101" i="39"/>
  <c r="H27" i="39" s="1"/>
  <c r="H19" i="39"/>
  <c r="AB19" i="39" s="1"/>
  <c r="J23" i="40"/>
  <c r="AC23" i="40" s="1"/>
  <c r="F21" i="40"/>
  <c r="AA21" i="40" s="1"/>
  <c r="J21" i="40"/>
  <c r="W21" i="40" s="1"/>
  <c r="H42" i="39"/>
  <c r="AB42" i="39" s="1"/>
  <c r="J34" i="39"/>
  <c r="AC34" i="39" s="1"/>
  <c r="F109" i="39"/>
  <c r="G109" i="39" s="1"/>
  <c r="H109" i="39" s="1"/>
  <c r="I109" i="39" s="1"/>
  <c r="J109" i="39" s="1"/>
  <c r="K109" i="39" s="1"/>
  <c r="L109" i="39" s="1"/>
  <c r="M109" i="39" s="1"/>
  <c r="F27" i="39"/>
  <c r="F11" i="21"/>
  <c r="S11" i="21" s="1"/>
  <c r="S40" i="21"/>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23" i="35"/>
  <c r="AA23" i="35" s="1"/>
  <c r="J32" i="35"/>
  <c r="AC32" i="35" s="1"/>
  <c r="J16" i="35"/>
  <c r="AC16" i="35" s="1"/>
  <c r="H33" i="35"/>
  <c r="AB33" i="35" s="1"/>
  <c r="AC8" i="35"/>
  <c r="F35" i="37"/>
  <c r="S35" i="37" s="1"/>
  <c r="E101" i="37"/>
  <c r="F101" i="37" s="1"/>
  <c r="G101" i="37"/>
  <c r="H101" i="37" s="1"/>
  <c r="I101" i="37" s="1"/>
  <c r="J101" i="37" s="1"/>
  <c r="K101" i="37" s="1"/>
  <c r="L101" i="37" s="1"/>
  <c r="M101" i="37" s="1"/>
  <c r="J34" i="37"/>
  <c r="W34" i="37"/>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37"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H33" i="37"/>
  <c r="AB33" i="37" s="1"/>
  <c r="F33" i="37"/>
  <c r="AA33" i="37" s="1"/>
  <c r="U34"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4" i="34"/>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AB13" i="33"/>
  <c r="F13" i="33"/>
  <c r="S13" i="33"/>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J36" i="37"/>
  <c r="AC36" i="37" s="1"/>
  <c r="G105" i="37"/>
  <c r="AB11" i="36"/>
  <c r="J10" i="36"/>
  <c r="AC10" i="36" s="1"/>
  <c r="AA14" i="37"/>
  <c r="AC13" i="36"/>
  <c r="W13" i="36"/>
  <c r="S11" i="36"/>
  <c r="W11" i="36"/>
  <c r="W11" i="35"/>
  <c r="AC30" i="34"/>
  <c r="S45" i="33"/>
  <c r="AB45" i="33"/>
  <c r="AB31" i="33"/>
  <c r="U31" i="33"/>
  <c r="W29" i="33"/>
  <c r="U13" i="33"/>
  <c r="AC28" i="21"/>
  <c r="BA586" i="3"/>
  <c r="BA585" i="3"/>
  <c r="F15" i="21"/>
  <c r="S15" i="21"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J42" i="33" s="1"/>
  <c r="AC42" i="33" s="1"/>
  <c r="H42" i="33"/>
  <c r="AB42" i="33" s="1"/>
  <c r="J43" i="33"/>
  <c r="AC43" i="33" s="1"/>
  <c r="U43" i="33"/>
  <c r="S28" i="31"/>
  <c r="S27" i="31"/>
  <c r="S26" i="31"/>
  <c r="U14" i="40"/>
  <c r="AC32" i="36"/>
  <c r="AC33" i="36"/>
  <c r="AA12" i="35"/>
  <c r="W14" i="37"/>
  <c r="AB28" i="37"/>
  <c r="U33" i="37"/>
  <c r="U39"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s="1"/>
  <c r="I107" i="37" s="1"/>
  <c r="J107" i="37" s="1"/>
  <c r="K107" i="37" s="1"/>
  <c r="L107" i="37" s="1"/>
  <c r="M107" i="37" s="1"/>
  <c r="H19" i="34"/>
  <c r="AB19" i="34"/>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H37" i="39"/>
  <c r="AB37" i="39" s="1"/>
  <c r="AC37" i="39"/>
  <c r="W37" i="39"/>
  <c r="H15" i="39"/>
  <c r="U15" i="39" s="1"/>
  <c r="J15" i="39"/>
  <c r="W15" i="39" s="1"/>
  <c r="AB34" i="39"/>
  <c r="U40" i="39"/>
  <c r="W14" i="39"/>
  <c r="W9" i="39"/>
  <c r="W8" i="39"/>
  <c r="J19" i="40"/>
  <c r="AC19" i="40" s="1"/>
  <c r="J50" i="40"/>
  <c r="H103" i="9"/>
  <c r="D8" i="53" s="1"/>
  <c r="B16" i="53"/>
  <c r="B33" i="72" s="1"/>
  <c r="C7" i="37"/>
  <c r="C7" i="34"/>
  <c r="C7" i="36"/>
  <c r="W35" i="40"/>
  <c r="A118" i="9"/>
  <c r="A4" i="52"/>
  <c r="B41" i="72" s="1"/>
  <c r="G4" i="4"/>
  <c r="I4" i="4"/>
  <c r="K5" i="4"/>
  <c r="B47" i="48" s="1"/>
  <c r="A2" i="9"/>
  <c r="N2" i="43"/>
  <c r="F59" i="43"/>
  <c r="AZ24" i="3"/>
  <c r="AZ28"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67" i="3"/>
  <c r="AZ75" i="3"/>
  <c r="AZ79" i="3"/>
  <c r="AZ83" i="3"/>
  <c r="AZ136" i="3"/>
  <c r="AZ144" i="3"/>
  <c r="AZ160" i="3"/>
  <c r="AZ176" i="3"/>
  <c r="AZ192" i="3"/>
  <c r="AZ85" i="3"/>
  <c r="AZ93" i="3"/>
  <c r="AZ97" i="3"/>
  <c r="AZ101" i="3"/>
  <c r="AZ109"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4" i="3"/>
  <c r="AZ170" i="3"/>
  <c r="AZ186" i="3"/>
  <c r="AZ202" i="3"/>
  <c r="AZ206"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AZ380" i="3" s="1"/>
  <c r="G381" i="3"/>
  <c r="BA383" i="3"/>
  <c r="BL384" i="3"/>
  <c r="G385" i="3"/>
  <c r="BA387" i="3"/>
  <c r="AZ387" i="3" s="1"/>
  <c r="BL388" i="3"/>
  <c r="G389" i="3"/>
  <c r="BA391" i="3"/>
  <c r="AZ391" i="3" s="1"/>
  <c r="BL392" i="3"/>
  <c r="AZ392" i="3" s="1"/>
  <c r="G393" i="3"/>
  <c r="AZ263" i="3"/>
  <c r="AZ279" i="3"/>
  <c r="AZ283" i="3"/>
  <c r="AZ291" i="3"/>
  <c r="BO5" i="3"/>
  <c r="BM5" i="3"/>
  <c r="F29" i="6"/>
  <c r="BJ5" i="3"/>
  <c r="BH5" i="3"/>
  <c r="BF5" i="3"/>
  <c r="BD5" i="3"/>
  <c r="AZ333" i="3"/>
  <c r="BQ5" i="3"/>
  <c r="AC5" i="3"/>
  <c r="AZ506" i="3"/>
  <c r="AZ496" i="3"/>
  <c r="G548" i="3"/>
  <c r="G538" i="3"/>
  <c r="G520" i="3"/>
  <c r="G502" i="3"/>
  <c r="BS5" i="3"/>
  <c r="BP5" i="3"/>
  <c r="BN5" i="3"/>
  <c r="BK5" i="3"/>
  <c r="BI5" i="3"/>
  <c r="BG5" i="3"/>
  <c r="BE5" i="3"/>
  <c r="BC5" i="3"/>
  <c r="G17" i="3"/>
  <c r="BA17" i="3"/>
  <c r="BT5" i="3"/>
  <c r="AZ350" i="3"/>
  <c r="AZ360" i="3"/>
  <c r="BA15" i="3"/>
  <c r="BB5" i="3"/>
  <c r="E8" i="6" s="1"/>
  <c r="BR5" i="3"/>
  <c r="G28" i="6" s="1"/>
  <c r="AZ384" i="3"/>
  <c r="AZ396" i="3"/>
  <c r="AZ509" i="3"/>
  <c r="G509" i="3"/>
  <c r="BL493" i="3"/>
  <c r="AZ493" i="3" s="1"/>
  <c r="AZ390" i="3"/>
  <c r="U36" i="40"/>
  <c r="N4" i="43"/>
  <c r="F81" i="43"/>
  <c r="H83" i="43" s="1"/>
  <c r="H113" i="43"/>
  <c r="F48" i="43"/>
  <c r="H52" i="43" s="1"/>
  <c r="F70" i="43"/>
  <c r="H73" i="43" s="1"/>
  <c r="M6" i="43"/>
  <c r="E17" i="43"/>
  <c r="I17" i="43"/>
  <c r="J17" i="43"/>
  <c r="F6" i="1"/>
  <c r="U35" i="21"/>
  <c r="AC35"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H35" i="37"/>
  <c r="U35" i="37"/>
  <c r="H20" i="35"/>
  <c r="U20" i="35" s="1"/>
  <c r="F20" i="35"/>
  <c r="AA20" i="35" s="1"/>
  <c r="AB29" i="36"/>
  <c r="U29" i="36"/>
  <c r="H32" i="37"/>
  <c r="AB32"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E97" i="39"/>
  <c r="J23" i="39" s="1"/>
  <c r="AZ353" i="3"/>
  <c r="AZ386" i="3"/>
  <c r="C40" i="11"/>
  <c r="AZ223" i="3"/>
  <c r="AZ227" i="3"/>
  <c r="AZ232" i="3"/>
  <c r="AZ243" i="3"/>
  <c r="AZ248" i="3"/>
  <c r="AZ259" i="3"/>
  <c r="AZ271" i="3"/>
  <c r="AZ280" i="3"/>
  <c r="AZ288" i="3"/>
  <c r="AZ114" i="3"/>
  <c r="AZ130" i="3"/>
  <c r="AZ29" i="3"/>
  <c r="AZ31" i="3"/>
  <c r="AZ33" i="3"/>
  <c r="AZ37" i="3"/>
  <c r="AZ45" i="3"/>
  <c r="AZ50" i="3"/>
  <c r="AZ61" i="3"/>
  <c r="AZ66" i="3"/>
  <c r="AZ69" i="3"/>
  <c r="AZ77" i="3"/>
  <c r="AZ82" i="3"/>
  <c r="AZ86" i="3"/>
  <c r="AZ94" i="3"/>
  <c r="AZ102" i="3"/>
  <c r="AZ110" i="3"/>
  <c r="H74" i="43"/>
  <c r="H50" i="43"/>
  <c r="H48" i="43"/>
  <c r="I20" i="43"/>
  <c r="C20" i="43" s="1"/>
  <c r="F23" i="39"/>
  <c r="AA23" i="39" s="1"/>
  <c r="H27" i="36"/>
  <c r="U27" i="36"/>
  <c r="F27" i="36"/>
  <c r="AA27" i="36"/>
  <c r="H33" i="34"/>
  <c r="U33" i="34"/>
  <c r="F32" i="37"/>
  <c r="AA32" i="37"/>
  <c r="F20" i="36"/>
  <c r="AA20" i="36" s="1"/>
  <c r="J33" i="34"/>
  <c r="AC33" i="34" s="1"/>
  <c r="H23" i="39"/>
  <c r="U23" i="39" s="1"/>
  <c r="D48" i="9"/>
  <c r="M52" i="9" s="1"/>
  <c r="H86" i="43"/>
  <c r="H87" i="43"/>
  <c r="K9" i="1"/>
  <c r="M9" i="1" s="1"/>
  <c r="AE9" i="1"/>
  <c r="D93" i="9"/>
  <c r="K6" i="1"/>
  <c r="N19" i="1" s="1"/>
  <c r="N21" i="1" s="1"/>
  <c r="L22" i="1" s="1"/>
  <c r="N6" i="1" s="1"/>
  <c r="E13" i="6"/>
  <c r="E58" i="40" s="1"/>
  <c r="G29" i="6"/>
  <c r="E29" i="6" s="1"/>
  <c r="W27" i="34"/>
  <c r="AC27" i="34"/>
  <c r="AB34" i="36"/>
  <c r="U34" i="36"/>
  <c r="AB33" i="36"/>
  <c r="U33" i="36"/>
  <c r="AC39" i="40"/>
  <c r="W39" i="40"/>
  <c r="AZ401" i="3"/>
  <c r="AA32" i="36"/>
  <c r="S32" i="36"/>
  <c r="AZ437" i="3"/>
  <c r="F28" i="6"/>
  <c r="BL14" i="3"/>
  <c r="U30" i="33"/>
  <c r="AC13" i="34"/>
  <c r="AA47" i="34"/>
  <c r="W28" i="37"/>
  <c r="F12" i="33"/>
  <c r="H12" i="39"/>
  <c r="AB12" i="39" s="1"/>
  <c r="F39" i="40"/>
  <c r="BA14" i="3"/>
  <c r="AZ14" i="3" s="1"/>
  <c r="AZ367" i="3"/>
  <c r="AZ224" i="3"/>
  <c r="AZ234" i="3"/>
  <c r="AZ250" i="3"/>
  <c r="AZ281" i="3"/>
  <c r="AZ286" i="3"/>
  <c r="AZ149" i="3"/>
  <c r="AZ165" i="3"/>
  <c r="AZ181" i="3"/>
  <c r="AZ197" i="3"/>
  <c r="AZ26" i="3"/>
  <c r="AZ35" i="3"/>
  <c r="AZ41" i="3"/>
  <c r="S12" i="1"/>
  <c r="R12" i="1"/>
  <c r="B12" i="1"/>
  <c r="E12" i="1"/>
  <c r="S10" i="1"/>
  <c r="AQ10" i="1" s="1"/>
  <c r="R10" i="1"/>
  <c r="B10" i="1"/>
  <c r="E10" i="1"/>
  <c r="AZ84" i="3"/>
  <c r="AZ88" i="3"/>
  <c r="AZ111" i="3"/>
  <c r="K12" i="1"/>
  <c r="M12" i="1" s="1"/>
  <c r="S13" i="1"/>
  <c r="AR13" i="1" s="1"/>
  <c r="R13" i="1"/>
  <c r="S11" i="1"/>
  <c r="AQ11" i="1" s="1"/>
  <c r="R11" i="1"/>
  <c r="S9" i="1"/>
  <c r="AR9" i="1" s="1"/>
  <c r="R9" i="1"/>
  <c r="J51" i="67"/>
  <c r="C42" i="1"/>
  <c r="C77" i="9" s="1"/>
  <c r="C74" i="9" s="1"/>
  <c r="H100" i="43"/>
  <c r="C30" i="66"/>
  <c r="E26" i="66" s="1"/>
  <c r="AC34" i="33"/>
  <c r="B41" i="1"/>
  <c r="F53" i="9" s="1"/>
  <c r="J100" i="43"/>
  <c r="AB37" i="40"/>
  <c r="S35" i="40"/>
  <c r="U35" i="40"/>
  <c r="AC36" i="40"/>
  <c r="W38" i="40"/>
  <c r="AA32" i="40"/>
  <c r="S17" i="40"/>
  <c r="S23" i="40"/>
  <c r="AC17" i="40"/>
  <c r="AC15" i="40"/>
  <c r="AB27" i="40"/>
  <c r="S30" i="40"/>
  <c r="AA19" i="40"/>
  <c r="S28" i="40"/>
  <c r="AA27" i="40"/>
  <c r="U21" i="40"/>
  <c r="AB19" i="40"/>
  <c r="W42" i="39"/>
  <c r="S43" i="39"/>
  <c r="U35" i="39"/>
  <c r="F32" i="39"/>
  <c r="U19" i="39"/>
  <c r="AC15" i="39"/>
  <c r="AB15"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AB27" i="35"/>
  <c r="U36" i="35"/>
  <c r="U32" i="35"/>
  <c r="AA33" i="35"/>
  <c r="AC30" i="35"/>
  <c r="S32" i="35"/>
  <c r="AA36" i="35"/>
  <c r="W32" i="35"/>
  <c r="U22" i="35"/>
  <c r="S20" i="35"/>
  <c r="S22" i="35"/>
  <c r="AC10" i="35"/>
  <c r="AB10" i="35"/>
  <c r="AA11" i="35"/>
  <c r="S8" i="35"/>
  <c r="AC9" i="35"/>
  <c r="W9" i="35"/>
  <c r="AC12" i="35"/>
  <c r="W13" i="35"/>
  <c r="F9" i="35"/>
  <c r="H9" i="35"/>
  <c r="U9" i="35" s="1"/>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32" i="33"/>
  <c r="AA29" i="33"/>
  <c r="AB29" i="33"/>
  <c r="H41" i="33"/>
  <c r="F121" i="33"/>
  <c r="G121" i="33" s="1"/>
  <c r="H121" i="33" s="1"/>
  <c r="I121" i="33" s="1"/>
  <c r="J121" i="33" s="1"/>
  <c r="K121" i="33" s="1"/>
  <c r="L121" i="33" s="1"/>
  <c r="M121" i="33" s="1"/>
  <c r="U42" i="33"/>
  <c r="G111" i="33"/>
  <c r="F36" i="33" s="1"/>
  <c r="G108" i="33"/>
  <c r="H108" i="33" s="1"/>
  <c r="I108" i="33" s="1"/>
  <c r="J108" i="33" s="1"/>
  <c r="K108" i="33" s="1"/>
  <c r="L108" i="33" s="1"/>
  <c r="M108" i="33" s="1"/>
  <c r="J35" i="33"/>
  <c r="W35" i="33" s="1"/>
  <c r="S37" i="33"/>
  <c r="AA37" i="33"/>
  <c r="S39" i="33"/>
  <c r="J32" i="33"/>
  <c r="AC32" i="33" s="1"/>
  <c r="S46" i="33"/>
  <c r="W43" i="33"/>
  <c r="S43" i="33"/>
  <c r="J23" i="33"/>
  <c r="W23" i="33" s="1"/>
  <c r="F85" i="33"/>
  <c r="H23" i="33"/>
  <c r="U23" i="33" s="1"/>
  <c r="F81" i="33"/>
  <c r="F19" i="33"/>
  <c r="S19" i="33" s="1"/>
  <c r="W19" i="33"/>
  <c r="J17" i="33"/>
  <c r="AC17" i="33" s="1"/>
  <c r="F79" i="33"/>
  <c r="U9" i="33"/>
  <c r="J10" i="33"/>
  <c r="AC10" i="33" s="1"/>
  <c r="H10" i="33"/>
  <c r="AA10" i="33"/>
  <c r="AC11" i="33"/>
  <c r="AB14" i="33"/>
  <c r="W43" i="21"/>
  <c r="W41" i="21"/>
  <c r="AA43" i="21"/>
  <c r="AA38" i="21"/>
  <c r="AA36" i="21"/>
  <c r="AC40" i="21"/>
  <c r="J15" i="21"/>
  <c r="W15" i="21" s="1"/>
  <c r="F77" i="21"/>
  <c r="G77" i="21" s="1"/>
  <c r="E85" i="21"/>
  <c r="F23" i="21" s="1"/>
  <c r="AC11" i="21"/>
  <c r="AA14" i="21"/>
  <c r="AB8" i="21"/>
  <c r="S8" i="21"/>
  <c r="M3" i="43"/>
  <c r="N10" i="43"/>
  <c r="M1" i="43"/>
  <c r="M8" i="43"/>
  <c r="N8" i="43"/>
  <c r="N9" i="43"/>
  <c r="D120" i="9"/>
  <c r="C18" i="9"/>
  <c r="D18" i="9" s="1"/>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F30" i="6"/>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58" i="21" s="1"/>
  <c r="D58" i="21" s="1"/>
  <c r="E58" i="21" s="1"/>
  <c r="F58" i="21" s="1"/>
  <c r="G58" i="21" s="1"/>
  <c r="H58" i="21" s="1"/>
  <c r="I58" i="21" s="1"/>
  <c r="J58" i="21" s="1"/>
  <c r="C7" i="40"/>
  <c r="C63" i="40" s="1"/>
  <c r="D63" i="40" s="1"/>
  <c r="D65" i="40" s="1"/>
  <c r="M47" i="9"/>
  <c r="G19" i="43"/>
  <c r="C46" i="36"/>
  <c r="D46" i="36" s="1"/>
  <c r="E46" i="36" s="1"/>
  <c r="C59" i="34"/>
  <c r="D59" i="34" s="1"/>
  <c r="E59" i="34" s="1"/>
  <c r="C52" i="37"/>
  <c r="D52" i="37" s="1"/>
  <c r="A4" i="51"/>
  <c r="B6" i="72" s="1"/>
  <c r="C48" i="35"/>
  <c r="D48" i="35" s="1"/>
  <c r="H62" i="43"/>
  <c r="H66" i="43"/>
  <c r="H61" i="43"/>
  <c r="H65" i="43"/>
  <c r="H60" i="43"/>
  <c r="H64" i="43"/>
  <c r="H59" i="43"/>
  <c r="H63" i="43"/>
  <c r="H67" i="43"/>
  <c r="H55" i="43"/>
  <c r="H51" i="43"/>
  <c r="H56" i="43"/>
  <c r="H76" i="43"/>
  <c r="H72" i="43"/>
  <c r="H77" i="43"/>
  <c r="L20" i="6"/>
  <c r="B6" i="1"/>
  <c r="E6" i="1" s="1"/>
  <c r="K11" i="1"/>
  <c r="M11" i="1" s="1"/>
  <c r="AP6" i="1"/>
  <c r="B9" i="1"/>
  <c r="E9" i="1" s="1"/>
  <c r="K7" i="1"/>
  <c r="N25" i="1" s="1"/>
  <c r="N27" i="1" s="1"/>
  <c r="L28" i="1" s="1"/>
  <c r="N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AA14" i="39"/>
  <c r="AB43" i="39"/>
  <c r="AA27" i="39"/>
  <c r="S27" i="39"/>
  <c r="AA45" i="39"/>
  <c r="W34"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W46" i="33"/>
  <c r="U39" i="33"/>
  <c r="S33" i="33"/>
  <c r="AB34" i="33"/>
  <c r="U44" i="33"/>
  <c r="AB44" i="33"/>
  <c r="S30" i="33"/>
  <c r="AA30" i="33"/>
  <c r="AC14" i="33"/>
  <c r="W14" i="33"/>
  <c r="AC30" i="33"/>
  <c r="W30" i="33"/>
  <c r="S31" i="33"/>
  <c r="AA31" i="33"/>
  <c r="W13" i="33"/>
  <c r="AC13" i="33"/>
  <c r="U15" i="33"/>
  <c r="S11" i="33"/>
  <c r="AC28" i="33"/>
  <c r="W9" i="33"/>
  <c r="W8" i="33"/>
  <c r="S44" i="21"/>
  <c r="U28" i="21"/>
  <c r="AA11" i="21"/>
  <c r="S45" i="21"/>
  <c r="F33" i="21"/>
  <c r="AA33" i="21" s="1"/>
  <c r="J33" i="21"/>
  <c r="AC33" i="21" s="1"/>
  <c r="H33" i="21"/>
  <c r="AB33" i="21" s="1"/>
  <c r="AA26" i="21"/>
  <c r="AB14" i="21"/>
  <c r="AB46" i="21"/>
  <c r="U40" i="21"/>
  <c r="AB31" i="21"/>
  <c r="U31" i="21"/>
  <c r="AC15" i="21"/>
  <c r="W8" i="21"/>
  <c r="S35" i="21"/>
  <c r="H15" i="21"/>
  <c r="U15" i="21" s="1"/>
  <c r="AC14" i="21"/>
  <c r="W30" i="21"/>
  <c r="S46" i="21"/>
  <c r="H45" i="21"/>
  <c r="U45" i="21" s="1"/>
  <c r="F29" i="21"/>
  <c r="S29" i="21" s="1"/>
  <c r="F13" i="21"/>
  <c r="AA13" i="21" s="1"/>
  <c r="AC38" i="21"/>
  <c r="H32" i="21"/>
  <c r="H9" i="21"/>
  <c r="U9" i="21" s="1"/>
  <c r="J9" i="21"/>
  <c r="J32" i="21"/>
  <c r="AC32" i="21" s="1"/>
  <c r="F32" i="21"/>
  <c r="AA31" i="21"/>
  <c r="S19" i="21"/>
  <c r="S9" i="21"/>
  <c r="AA9" i="21"/>
  <c r="U27" i="21"/>
  <c r="AB25" i="21"/>
  <c r="AB44" i="21"/>
  <c r="AA30" i="21"/>
  <c r="W13" i="21"/>
  <c r="F10" i="21"/>
  <c r="AA10" i="21" s="1"/>
  <c r="W25" i="21"/>
  <c r="W31" i="21"/>
  <c r="S27" i="21"/>
  <c r="AA15" i="21"/>
  <c r="AC26" i="21"/>
  <c r="AB29" i="21"/>
  <c r="S28" i="21"/>
  <c r="W12" i="21"/>
  <c r="W30" i="40"/>
  <c r="C15" i="40"/>
  <c r="C17" i="40"/>
  <c r="C23" i="40"/>
  <c r="C21" i="40"/>
  <c r="U30" i="40"/>
  <c r="B54" i="43"/>
  <c r="B65" i="43"/>
  <c r="B49" i="43"/>
  <c r="B60" i="43"/>
  <c r="B63" i="43"/>
  <c r="B67" i="43"/>
  <c r="D23" i="15"/>
  <c r="D22" i="15"/>
  <c r="AQ13" i="1"/>
  <c r="AZ13" i="3"/>
  <c r="M6" i="1"/>
  <c r="O6" i="1" s="1"/>
  <c r="F52" i="9"/>
  <c r="E63" i="39"/>
  <c r="T11" i="1"/>
  <c r="AR11" i="1"/>
  <c r="K15" i="1"/>
  <c r="T13" i="1"/>
  <c r="E7" i="70"/>
  <c r="AA39" i="40"/>
  <c r="S39" i="40"/>
  <c r="S12" i="33"/>
  <c r="AA12" i="33"/>
  <c r="J32" i="39"/>
  <c r="AC32" i="39" s="1"/>
  <c r="H32" i="39"/>
  <c r="AA32" i="39"/>
  <c r="S32" i="39"/>
  <c r="AA9" i="35"/>
  <c r="S9"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H111" i="33"/>
  <c r="I111" i="33" s="1"/>
  <c r="J111" i="33" s="1"/>
  <c r="K111" i="33" s="1"/>
  <c r="L111" i="33" s="1"/>
  <c r="M111" i="33" s="1"/>
  <c r="J36" i="33"/>
  <c r="H36" i="33"/>
  <c r="AB36" i="33" s="1"/>
  <c r="F23" i="33"/>
  <c r="AA23" i="33" s="1"/>
  <c r="G85" i="33"/>
  <c r="H19" i="33"/>
  <c r="AB19" i="33" s="1"/>
  <c r="G81" i="33"/>
  <c r="G79" i="33"/>
  <c r="H17" i="33"/>
  <c r="AB17" i="33" s="1"/>
  <c r="F17" i="33"/>
  <c r="AA17" i="33" s="1"/>
  <c r="U10" i="33"/>
  <c r="AB10" i="33"/>
  <c r="J23" i="21"/>
  <c r="W23" i="21" s="1"/>
  <c r="S13" i="21"/>
  <c r="D6" i="52"/>
  <c r="D121" i="9"/>
  <c r="D7" i="52"/>
  <c r="K120" i="9"/>
  <c r="O19" i="43"/>
  <c r="E52" i="37"/>
  <c r="F52" i="37" s="1"/>
  <c r="G52" i="37" s="1"/>
  <c r="C65" i="40"/>
  <c r="AP7" i="1"/>
  <c r="W32" i="21"/>
  <c r="AB9" i="21"/>
  <c r="AA32" i="21"/>
  <c r="S32" i="21"/>
  <c r="W9" i="21"/>
  <c r="AC9" i="21"/>
  <c r="AB32" i="21"/>
  <c r="U32" i="21"/>
  <c r="A18" i="62"/>
  <c r="B64" i="72" s="1"/>
  <c r="U32" i="39"/>
  <c r="AB32" i="39"/>
  <c r="W19" i="37"/>
  <c r="AC19" i="37"/>
  <c r="W23" i="37"/>
  <c r="AB11" i="37"/>
  <c r="U11" i="37"/>
  <c r="H63" i="37"/>
  <c r="I63" i="37" s="1"/>
  <c r="J63" i="37" s="1"/>
  <c r="K63" i="37" s="1"/>
  <c r="L63" i="37" s="1"/>
  <c r="M63" i="37" s="1"/>
  <c r="J11" i="37"/>
  <c r="AC11" i="37" s="1"/>
  <c r="AC10" i="37"/>
  <c r="U11" i="34"/>
  <c r="AB11" i="34"/>
  <c r="W10" i="34"/>
  <c r="J11" i="34"/>
  <c r="W11" i="34" s="1"/>
  <c r="AC36" i="33"/>
  <c r="W36" i="33"/>
  <c r="U17" i="33"/>
  <c r="E63" i="40"/>
  <c r="F63" i="40" s="1"/>
  <c r="F1" i="67"/>
  <c r="Q52" i="67"/>
  <c r="W11" i="37"/>
  <c r="E65" i="40"/>
  <c r="AE7" i="1"/>
  <c r="AE8" i="1"/>
  <c r="AG6" i="1"/>
  <c r="H109" i="9"/>
  <c r="D16" i="53" s="1"/>
  <c r="B34" i="72" s="1"/>
  <c r="H112" i="9"/>
  <c r="D21" i="53" s="1"/>
  <c r="B39" i="72" s="1"/>
  <c r="H111" i="9"/>
  <c r="D126" i="9" s="1"/>
  <c r="D59" i="9"/>
  <c r="M55" i="9" s="1"/>
  <c r="AD3" i="71"/>
  <c r="P21" i="43" s="1"/>
  <c r="P22" i="43"/>
  <c r="P24" i="43"/>
  <c r="B66" i="40" s="1"/>
  <c r="F31" i="15"/>
  <c r="F31" i="67"/>
  <c r="E2" i="69"/>
  <c r="B10" i="76"/>
  <c r="F37" i="67"/>
  <c r="F20" i="31"/>
  <c r="B9" i="76"/>
  <c r="M6" i="67"/>
  <c r="C76" i="15"/>
  <c r="F7" i="67"/>
  <c r="L47" i="15"/>
  <c r="F42" i="67"/>
  <c r="F26" i="15"/>
  <c r="L48" i="15"/>
  <c r="M28" i="15"/>
  <c r="E10" i="76"/>
  <c r="M9" i="67"/>
  <c r="F7" i="15"/>
  <c r="M29" i="67"/>
  <c r="J15" i="67"/>
  <c r="F4" i="73"/>
  <c r="B11" i="76"/>
  <c r="F38" i="15"/>
  <c r="AO8" i="1"/>
  <c r="M22" i="15"/>
  <c r="M8" i="15"/>
  <c r="AO11" i="1"/>
  <c r="D2" i="35"/>
  <c r="E9" i="76"/>
  <c r="M24" i="67"/>
  <c r="E7" i="76"/>
  <c r="E12" i="76"/>
  <c r="F7" i="73"/>
  <c r="B7" i="76"/>
  <c r="D2" i="33"/>
  <c r="B13" i="76"/>
  <c r="D2" i="21"/>
  <c r="M27" i="67"/>
  <c r="M8" i="67"/>
  <c r="F9" i="67"/>
  <c r="F40" i="67"/>
  <c r="AO7" i="1"/>
  <c r="M6" i="15"/>
  <c r="M23" i="67"/>
  <c r="F8" i="15"/>
  <c r="F13" i="15"/>
  <c r="M26" i="67"/>
  <c r="F8" i="67"/>
  <c r="E11" i="76"/>
  <c r="B8" i="76"/>
  <c r="F6" i="15"/>
  <c r="F40" i="15"/>
  <c r="F38" i="67"/>
  <c r="F43" i="15"/>
  <c r="AO13" i="1"/>
  <c r="F13" i="67"/>
  <c r="E13" i="76"/>
  <c r="F37" i="15"/>
  <c r="L47" i="67"/>
  <c r="F35" i="67"/>
  <c r="F41" i="67"/>
  <c r="M29" i="15"/>
  <c r="B12" i="76"/>
  <c r="C76" i="67"/>
  <c r="F16" i="15"/>
  <c r="F16" i="67"/>
  <c r="M9" i="15"/>
  <c r="M24" i="15"/>
  <c r="F36" i="67"/>
  <c r="M27" i="15"/>
  <c r="F36" i="15"/>
  <c r="F3" i="73"/>
  <c r="F42" i="15"/>
  <c r="F9" i="15"/>
  <c r="F6" i="73"/>
  <c r="L48" i="67"/>
  <c r="M23" i="15"/>
  <c r="AO12" i="1"/>
  <c r="F43" i="67"/>
  <c r="F6" i="67"/>
  <c r="D2" i="34"/>
  <c r="J15" i="15"/>
  <c r="F26" i="67"/>
  <c r="M26" i="15"/>
  <c r="D2" i="37"/>
  <c r="M21" i="67"/>
  <c r="F5" i="73"/>
  <c r="AO10" i="1"/>
  <c r="AO9" i="1"/>
  <c r="E2" i="68"/>
  <c r="E8" i="76"/>
  <c r="D2" i="36"/>
  <c r="M22" i="67"/>
  <c r="M28" i="67"/>
  <c r="AC12" i="33" l="1"/>
  <c r="W12" i="33"/>
  <c r="AC24" i="36"/>
  <c r="W24" i="36"/>
  <c r="AC26" i="37"/>
  <c r="W26" i="37"/>
  <c r="P25" i="43"/>
  <c r="P23" i="43"/>
  <c r="B71" i="39" s="1"/>
  <c r="D19" i="53"/>
  <c r="B38" i="72" s="1"/>
  <c r="AC11" i="34"/>
  <c r="U36" i="33"/>
  <c r="AC26" i="33"/>
  <c r="W26" i="33"/>
  <c r="W12" i="36"/>
  <c r="AC12" i="36"/>
  <c r="AB14" i="37"/>
  <c r="U14" i="37"/>
  <c r="U27" i="37"/>
  <c r="AB27" i="37"/>
  <c r="AC12" i="40"/>
  <c r="W12" i="40"/>
  <c r="AB40" i="40"/>
  <c r="U40" i="40"/>
  <c r="S22" i="31"/>
  <c r="R22" i="31" s="1"/>
  <c r="B21" i="31" s="1"/>
  <c r="AA39" i="34"/>
  <c r="H49" i="43"/>
  <c r="AZ373" i="3"/>
  <c r="AZ371" i="3"/>
  <c r="AZ364" i="3"/>
  <c r="AZ356" i="3"/>
  <c r="AZ342" i="3"/>
  <c r="AZ336" i="3"/>
  <c r="AZ321" i="3"/>
  <c r="AZ304" i="3"/>
  <c r="AZ325" i="3"/>
  <c r="U35" i="35"/>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AB11" i="35"/>
  <c r="U31" i="34"/>
  <c r="S41" i="33"/>
  <c r="AB23" i="34"/>
  <c r="BL586" i="3"/>
  <c r="AZ586" i="3" s="1"/>
  <c r="BL585" i="3"/>
  <c r="AZ585" i="3" s="1"/>
  <c r="J38" i="33"/>
  <c r="F9" i="34"/>
  <c r="J23" i="35"/>
  <c r="H28" i="35"/>
  <c r="H34" i="35"/>
  <c r="AB34" i="35" s="1"/>
  <c r="H12" i="36"/>
  <c r="F23" i="36"/>
  <c r="H24" i="36"/>
  <c r="J25" i="37"/>
  <c r="F26" i="37"/>
  <c r="G582" i="3"/>
  <c r="G566" i="3"/>
  <c r="G552" i="3"/>
  <c r="BA551" i="3"/>
  <c r="AZ551" i="3" s="1"/>
  <c r="G551" i="3"/>
  <c r="BL550" i="3"/>
  <c r="BA550" i="3"/>
  <c r="BL548" i="3"/>
  <c r="AZ548" i="3" s="1"/>
  <c r="BL16" i="3"/>
  <c r="AZ16" i="3" s="1"/>
  <c r="BA398" i="3"/>
  <c r="AZ398" i="3" s="1"/>
  <c r="G401" i="3"/>
  <c r="G402" i="3"/>
  <c r="G406" i="3"/>
  <c r="G408" i="3"/>
  <c r="AZ421" i="3"/>
  <c r="AZ440" i="3"/>
  <c r="AZ442" i="3"/>
  <c r="AZ446" i="3"/>
  <c r="AZ587" i="3"/>
  <c r="BL587" i="3"/>
  <c r="BL15" i="3"/>
  <c r="AZ15" i="3" s="1"/>
  <c r="AZ403" i="3"/>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G451" i="3"/>
  <c r="BL451" i="3"/>
  <c r="AZ451" i="3" s="1"/>
  <c r="BA452" i="3"/>
  <c r="AZ452" i="3" s="1"/>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323" i="3"/>
  <c r="AZ323" i="3" s="1"/>
  <c r="BA368" i="3"/>
  <c r="AZ368" i="3" s="1"/>
  <c r="G378" i="3"/>
  <c r="BL383" i="3"/>
  <c r="AZ383" i="3" s="1"/>
  <c r="BA385" i="3"/>
  <c r="AZ385" i="3" s="1"/>
  <c r="BA388" i="3"/>
  <c r="AZ388" i="3" s="1"/>
  <c r="G395" i="3"/>
  <c r="BL395" i="3"/>
  <c r="G208" i="3"/>
  <c r="BL208" i="3"/>
  <c r="BL211" i="3"/>
  <c r="AZ211" i="3" s="1"/>
  <c r="BA212" i="3"/>
  <c r="AZ212" i="3" s="1"/>
  <c r="BA213" i="3"/>
  <c r="AZ213" i="3" s="1"/>
  <c r="BA214" i="3"/>
  <c r="AZ214" i="3" s="1"/>
  <c r="BA215" i="3"/>
  <c r="AZ215" i="3" s="1"/>
  <c r="G218" i="3"/>
  <c r="G219" i="3"/>
  <c r="BL219" i="3"/>
  <c r="BA220" i="3"/>
  <c r="AZ220" i="3" s="1"/>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AZ454" i="3"/>
  <c r="AZ460" i="3"/>
  <c r="AZ476" i="3"/>
  <c r="AZ481" i="3"/>
  <c r="AZ484" i="3"/>
  <c r="G486" i="3"/>
  <c r="BL486" i="3"/>
  <c r="G488" i="3"/>
  <c r="BL488" i="3"/>
  <c r="BA489" i="3"/>
  <c r="AZ489" i="3" s="1"/>
  <c r="BA490" i="3"/>
  <c r="AZ490" i="3" s="1"/>
  <c r="BA491" i="3"/>
  <c r="AZ491" i="3" s="1"/>
  <c r="BA303" i="3"/>
  <c r="AZ303" i="3" s="1"/>
  <c r="BA307" i="3"/>
  <c r="AZ307" i="3" s="1"/>
  <c r="BL312" i="3"/>
  <c r="AZ312" i="3" s="1"/>
  <c r="BL317" i="3"/>
  <c r="AZ317" i="3" s="1"/>
  <c r="BL330" i="3"/>
  <c r="AZ330" i="3" s="1"/>
  <c r="BA332" i="3"/>
  <c r="AZ332" i="3" s="1"/>
  <c r="BA335" i="3"/>
  <c r="AZ335" i="3" s="1"/>
  <c r="BA339" i="3"/>
  <c r="AZ339" i="3" s="1"/>
  <c r="G345" i="3"/>
  <c r="BL348" i="3"/>
  <c r="AZ348" i="3" s="1"/>
  <c r="BA352" i="3"/>
  <c r="AZ352" i="3" s="1"/>
  <c r="BL354" i="3"/>
  <c r="AZ354" i="3" s="1"/>
  <c r="BA358" i="3"/>
  <c r="AZ358" i="3" s="1"/>
  <c r="BL363" i="3"/>
  <c r="AZ363" i="3" s="1"/>
  <c r="AZ395" i="3"/>
  <c r="AZ208" i="3"/>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F18" i="35"/>
  <c r="AA18" i="35" s="1"/>
  <c r="H18" i="35"/>
  <c r="J18" i="35"/>
  <c r="F68" i="35"/>
  <c r="G68" i="35" s="1"/>
  <c r="C30" i="71"/>
  <c r="D30" i="71" s="1"/>
  <c r="D29" i="71"/>
  <c r="G207" i="3"/>
  <c r="BL207" i="3"/>
  <c r="BA18" i="3"/>
  <c r="BA19" i="3"/>
  <c r="AZ19" i="3" s="1"/>
  <c r="BA20" i="3"/>
  <c r="AZ20" i="3" s="1"/>
  <c r="BA21" i="3"/>
  <c r="AZ21" i="3" s="1"/>
  <c r="G24" i="3"/>
  <c r="G5" i="3" s="1"/>
  <c r="B3" i="3" s="1"/>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G66" i="3"/>
  <c r="G67" i="3"/>
  <c r="G68" i="3"/>
  <c r="BL68" i="3"/>
  <c r="AZ68" i="3" s="1"/>
  <c r="BA70" i="3"/>
  <c r="AZ70" i="3" s="1"/>
  <c r="BA71" i="3"/>
  <c r="AZ71" i="3" s="1"/>
  <c r="BA72" i="3"/>
  <c r="AZ72" i="3" s="1"/>
  <c r="BL74" i="3"/>
  <c r="AZ74" i="3" s="1"/>
  <c r="G77" i="3"/>
  <c r="G78" i="3"/>
  <c r="BL78" i="3"/>
  <c r="BL80" i="3"/>
  <c r="AZ80" i="3" s="1"/>
  <c r="G82" i="3"/>
  <c r="G83" i="3"/>
  <c r="G84" i="3"/>
  <c r="G85" i="3"/>
  <c r="G86" i="3"/>
  <c r="G87" i="3"/>
  <c r="BL87" i="3"/>
  <c r="BL89" i="3"/>
  <c r="AZ89" i="3" s="1"/>
  <c r="G91" i="3"/>
  <c r="BL91" i="3"/>
  <c r="G93" i="3"/>
  <c r="G94" i="3"/>
  <c r="G95" i="3"/>
  <c r="BL95" i="3"/>
  <c r="G97" i="3"/>
  <c r="G98" i="3"/>
  <c r="BL98" i="3"/>
  <c r="BA99" i="3"/>
  <c r="AZ99" i="3" s="1"/>
  <c r="G102" i="3"/>
  <c r="G103" i="3"/>
  <c r="BL103" i="3"/>
  <c r="AZ103" i="3" s="1"/>
  <c r="BA104" i="3"/>
  <c r="AZ104" i="3" s="1"/>
  <c r="BA105" i="3"/>
  <c r="AZ105" i="3" s="1"/>
  <c r="BL107" i="3"/>
  <c r="AZ107" i="3" s="1"/>
  <c r="G109" i="3"/>
  <c r="G110" i="3"/>
  <c r="G111" i="3"/>
  <c r="G112" i="3"/>
  <c r="BL112" i="3"/>
  <c r="X12" i="71"/>
  <c r="AB14" i="71"/>
  <c r="Y15" i="71"/>
  <c r="Z15" i="71" s="1"/>
  <c r="F18" i="71"/>
  <c r="F19" i="71" s="1"/>
  <c r="V19" i="71" s="1"/>
  <c r="I15" i="66"/>
  <c r="D1" i="66" s="1"/>
  <c r="E10" i="66" s="1"/>
  <c r="O48" i="71"/>
  <c r="AB10" i="71"/>
  <c r="P74" i="67"/>
  <c r="G63" i="40"/>
  <c r="F65" i="40"/>
  <c r="D58" i="33"/>
  <c r="E58" i="33" s="1"/>
  <c r="F58" i="33" s="1"/>
  <c r="G58" i="33" s="1"/>
  <c r="H58" i="33" s="1"/>
  <c r="I58" i="33" s="1"/>
  <c r="J58" i="33" s="1"/>
  <c r="K58" i="33" s="1"/>
  <c r="L58" i="33" s="1"/>
  <c r="M58" i="33" s="1"/>
  <c r="N58" i="33" s="1"/>
  <c r="O58" i="33" s="1"/>
  <c r="H7" i="33"/>
  <c r="AB7" i="33" s="1"/>
  <c r="S36" i="33"/>
  <c r="AA36" i="33"/>
  <c r="BL5" i="3"/>
  <c r="AZ503" i="3"/>
  <c r="AB15" i="21"/>
  <c r="AA29" i="21"/>
  <c r="F97" i="39"/>
  <c r="G97" i="39" s="1"/>
  <c r="C16" i="43"/>
  <c r="C5" i="43" s="1"/>
  <c r="AZ583" i="3"/>
  <c r="AZ558" i="3"/>
  <c r="AC31" i="34"/>
  <c r="W31" i="34"/>
  <c r="AB46" i="33"/>
  <c r="U46" i="33"/>
  <c r="U46" i="34"/>
  <c r="AB46" i="34"/>
  <c r="S14" i="34"/>
  <c r="AA14" i="34"/>
  <c r="U30" i="21"/>
  <c r="AB30" i="21"/>
  <c r="AA44" i="34"/>
  <c r="S44" i="34"/>
  <c r="F66" i="21"/>
  <c r="G66" i="21" s="1"/>
  <c r="H66" i="21" s="1"/>
  <c r="I66" i="21" s="1"/>
  <c r="H10" i="21"/>
  <c r="J10" i="21"/>
  <c r="AZ416" i="3"/>
  <c r="AZ425" i="3"/>
  <c r="AZ432" i="3"/>
  <c r="AZ445" i="3"/>
  <c r="AC12" i="37"/>
  <c r="G123" i="33"/>
  <c r="H123" i="33" s="1"/>
  <c r="I123" i="33" s="1"/>
  <c r="J123" i="33" s="1"/>
  <c r="K123" i="33" s="1"/>
  <c r="L123" i="33" s="1"/>
  <c r="M123" i="33" s="1"/>
  <c r="AA41" i="34"/>
  <c r="F42" i="33"/>
  <c r="AZ504" i="3"/>
  <c r="AZ534" i="3"/>
  <c r="AZ542" i="3"/>
  <c r="AZ556" i="3"/>
  <c r="S13" i="35"/>
  <c r="AA13" i="35"/>
  <c r="AC33" i="37"/>
  <c r="W33" i="37"/>
  <c r="AB30" i="35"/>
  <c r="U30" i="35"/>
  <c r="J20" i="35"/>
  <c r="W20" i="35" s="1"/>
  <c r="F70" i="35"/>
  <c r="G70" i="35" s="1"/>
  <c r="AC31" i="40"/>
  <c r="W31" i="40"/>
  <c r="H87" i="35"/>
  <c r="H29" i="35" s="1"/>
  <c r="AZ399" i="3"/>
  <c r="AZ404" i="3"/>
  <c r="AZ414" i="3"/>
  <c r="AZ449" i="3"/>
  <c r="AZ453" i="3"/>
  <c r="AZ455" i="3"/>
  <c r="AZ219" i="3"/>
  <c r="AB11" i="21"/>
  <c r="F27" i="34"/>
  <c r="H16" i="35"/>
  <c r="AA12" i="34"/>
  <c r="AB12" i="33"/>
  <c r="U34" i="21"/>
  <c r="F101" i="39"/>
  <c r="G101" i="39" s="1"/>
  <c r="W39" i="33"/>
  <c r="U34" i="34"/>
  <c r="W9" i="34"/>
  <c r="W22" i="35"/>
  <c r="U9" i="36"/>
  <c r="H36" i="21"/>
  <c r="F34" i="21"/>
  <c r="AA34" i="21" s="1"/>
  <c r="J36" i="21"/>
  <c r="H38" i="33"/>
  <c r="H12" i="34"/>
  <c r="F28" i="35"/>
  <c r="J28" i="35"/>
  <c r="AC28" i="35" s="1"/>
  <c r="J36" i="35"/>
  <c r="AZ459" i="3"/>
  <c r="AZ464" i="3"/>
  <c r="AZ467" i="3"/>
  <c r="AZ474" i="3"/>
  <c r="AZ480" i="3"/>
  <c r="AZ482" i="3"/>
  <c r="AZ486" i="3"/>
  <c r="AZ488" i="3"/>
  <c r="AZ216" i="3"/>
  <c r="AZ225" i="3"/>
  <c r="AZ228" i="3"/>
  <c r="AZ231" i="3"/>
  <c r="AZ244" i="3"/>
  <c r="AZ247" i="3"/>
  <c r="AZ260" i="3"/>
  <c r="AZ264" i="3"/>
  <c r="AZ282" i="3"/>
  <c r="AZ285" i="3"/>
  <c r="AZ290" i="3"/>
  <c r="AZ293" i="3"/>
  <c r="AZ153" i="3"/>
  <c r="AZ169" i="3"/>
  <c r="AZ185" i="3"/>
  <c r="AZ201" i="3"/>
  <c r="AZ207" i="3"/>
  <c r="AZ25" i="3"/>
  <c r="AZ30" i="3"/>
  <c r="AZ36" i="3"/>
  <c r="AZ40" i="3"/>
  <c r="AZ46" i="3"/>
  <c r="AZ49" i="3"/>
  <c r="AZ62" i="3"/>
  <c r="AZ73" i="3"/>
  <c r="AZ78" i="3"/>
  <c r="AZ87" i="3"/>
  <c r="AZ91" i="3"/>
  <c r="AZ95" i="3"/>
  <c r="AZ98" i="3"/>
  <c r="AZ112" i="3"/>
  <c r="D58" i="81"/>
  <c r="E58" i="81" s="1"/>
  <c r="F58" i="81" s="1"/>
  <c r="G58" i="81" s="1"/>
  <c r="H58" i="81" s="1"/>
  <c r="I58" i="81" s="1"/>
  <c r="J58" i="81" s="1"/>
  <c r="K58" i="81" s="1"/>
  <c r="L58" i="81" s="1"/>
  <c r="M58" i="81" s="1"/>
  <c r="N58" i="81" s="1"/>
  <c r="O58" i="81" s="1"/>
  <c r="F7" i="81"/>
  <c r="D18" i="71"/>
  <c r="C19" i="71"/>
  <c r="S51" i="71"/>
  <c r="B50" i="71"/>
  <c r="C5" i="71"/>
  <c r="D5" i="71" s="1"/>
  <c r="D6" i="71"/>
  <c r="AA5" i="71"/>
  <c r="X5" i="71"/>
  <c r="J51" i="15"/>
  <c r="D22" i="67"/>
  <c r="J21" i="21"/>
  <c r="AB21" i="21"/>
  <c r="F83" i="21"/>
  <c r="G83" i="21" s="1"/>
  <c r="AB21" i="33"/>
  <c r="S21" i="34"/>
  <c r="S18" i="36"/>
  <c r="S25" i="40"/>
  <c r="Y7" i="71"/>
  <c r="Z7" i="71" s="1"/>
  <c r="X6" i="71"/>
  <c r="Y6" i="71"/>
  <c r="Z6" i="71" s="1"/>
  <c r="AA6" i="71"/>
  <c r="AB6" i="71"/>
  <c r="Y5" i="71"/>
  <c r="Z5" i="71" s="1"/>
  <c r="AB5" i="71"/>
  <c r="AA7" i="71"/>
  <c r="AB7" i="71"/>
  <c r="D7" i="71"/>
  <c r="U7" i="71" s="1"/>
  <c r="S7" i="71"/>
  <c r="T7" i="71"/>
  <c r="X7" i="71"/>
  <c r="H23" i="21"/>
  <c r="AB23" i="21" s="1"/>
  <c r="F85" i="21"/>
  <c r="G85" i="21" s="1"/>
  <c r="B7" i="49"/>
  <c r="C4" i="4" s="1"/>
  <c r="B4" i="62" s="1"/>
  <c r="B71" i="72" s="1"/>
  <c r="U43" i="21"/>
  <c r="U33" i="21"/>
  <c r="S33" i="21"/>
  <c r="B6" i="49"/>
  <c r="U37" i="33"/>
  <c r="AA34" i="33"/>
  <c r="F87" i="33"/>
  <c r="G87" i="33" s="1"/>
  <c r="H87" i="33" s="1"/>
  <c r="I87" i="33" s="1"/>
  <c r="J87" i="33" s="1"/>
  <c r="K87" i="33" s="1"/>
  <c r="L87" i="33" s="1"/>
  <c r="M87" i="33" s="1"/>
  <c r="F25" i="33"/>
  <c r="H25" i="33"/>
  <c r="U25" i="33" s="1"/>
  <c r="J25" i="33"/>
  <c r="AC25" i="33" s="1"/>
  <c r="AB25" i="33"/>
  <c r="W25" i="33"/>
  <c r="AA35" i="33"/>
  <c r="S28" i="33"/>
  <c r="AB28" i="33"/>
  <c r="H27" i="33"/>
  <c r="AB27" i="33" s="1"/>
  <c r="J27" i="33"/>
  <c r="W27" i="33" s="1"/>
  <c r="F27" i="33"/>
  <c r="F91" i="33"/>
  <c r="G91" i="33" s="1"/>
  <c r="H91" i="33" s="1"/>
  <c r="I91" i="33" s="1"/>
  <c r="J91" i="33" s="1"/>
  <c r="K91" i="33" s="1"/>
  <c r="L91" i="33" s="1"/>
  <c r="M91" i="33" s="1"/>
  <c r="U27" i="33"/>
  <c r="S26" i="33"/>
  <c r="AC23" i="33"/>
  <c r="W17" i="33"/>
  <c r="AB23" i="33"/>
  <c r="S23" i="33"/>
  <c r="U19" i="33"/>
  <c r="AA19" i="33"/>
  <c r="S17" i="33"/>
  <c r="W15" i="33"/>
  <c r="S15" i="33"/>
  <c r="AC27" i="33"/>
  <c r="AB26" i="33"/>
  <c r="U13" i="21"/>
  <c r="AB13" i="21"/>
  <c r="S12" i="21"/>
  <c r="AA12" i="21"/>
  <c r="W45" i="21"/>
  <c r="AC45" i="21"/>
  <c r="H113" i="21"/>
  <c r="H37" i="21"/>
  <c r="F37" i="21"/>
  <c r="J37" i="21"/>
  <c r="K141" i="21"/>
  <c r="K143" i="21"/>
  <c r="K145" i="21"/>
  <c r="K144" i="21"/>
  <c r="AB45" i="21"/>
  <c r="AC34" i="21"/>
  <c r="S34" i="21"/>
  <c r="W33" i="21"/>
  <c r="S23" i="21"/>
  <c r="AA23" i="21"/>
  <c r="AC23" i="21"/>
  <c r="F79" i="21"/>
  <c r="G79" i="21" s="1"/>
  <c r="F17" i="21"/>
  <c r="J17" i="21"/>
  <c r="H17" i="21"/>
  <c r="F39" i="21"/>
  <c r="H39" i="21"/>
  <c r="F117" i="21"/>
  <c r="G117" i="21" s="1"/>
  <c r="J39" i="21"/>
  <c r="AC19" i="21"/>
  <c r="U23" i="21"/>
  <c r="S21" i="21"/>
  <c r="G123" i="21"/>
  <c r="H123" i="21" s="1"/>
  <c r="I123" i="21" s="1"/>
  <c r="J123" i="21" s="1"/>
  <c r="K123" i="21" s="1"/>
  <c r="L123" i="21" s="1"/>
  <c r="M123" i="21" s="1"/>
  <c r="H42" i="21"/>
  <c r="U42" i="21" s="1"/>
  <c r="J42" i="21"/>
  <c r="AB42" i="21"/>
  <c r="S42" i="21"/>
  <c r="S10" i="21"/>
  <c r="W27" i="21"/>
  <c r="AC27" i="21"/>
  <c r="AC29" i="21"/>
  <c r="W29" i="21"/>
  <c r="B13" i="49"/>
  <c r="E4" i="4" s="1"/>
  <c r="B5" i="62" s="1"/>
  <c r="B73" i="72" s="1"/>
  <c r="E21" i="49"/>
  <c r="E22" i="49"/>
  <c r="E59" i="40"/>
  <c r="AC23" i="39"/>
  <c r="W23" i="39"/>
  <c r="U27" i="39"/>
  <c r="AB27" i="39"/>
  <c r="AB44" i="39"/>
  <c r="U44" i="39"/>
  <c r="AC43" i="39"/>
  <c r="W43" i="39"/>
  <c r="U45" i="39"/>
  <c r="AB45" i="39"/>
  <c r="J41" i="39"/>
  <c r="W41" i="39" s="1"/>
  <c r="H124" i="39"/>
  <c r="I124" i="39" s="1"/>
  <c r="J124" i="39" s="1"/>
  <c r="K124" i="39" s="1"/>
  <c r="L124" i="39" s="1"/>
  <c r="M124" i="39" s="1"/>
  <c r="F41" i="39"/>
  <c r="H41" i="39"/>
  <c r="W32" i="39"/>
  <c r="S23" i="39"/>
  <c r="AA12" i="39"/>
  <c r="S37" i="39"/>
  <c r="U37" i="39"/>
  <c r="S42" i="39"/>
  <c r="S35" i="39"/>
  <c r="W44" i="39"/>
  <c r="J27" i="39"/>
  <c r="AC27" i="39" s="1"/>
  <c r="C21" i="39"/>
  <c r="F99" i="39"/>
  <c r="H25" i="39"/>
  <c r="J25" i="39"/>
  <c r="B56" i="43"/>
  <c r="C25" i="39"/>
  <c r="H21" i="39"/>
  <c r="U21" i="39" s="1"/>
  <c r="F95" i="39"/>
  <c r="J21" i="39"/>
  <c r="C19" i="39"/>
  <c r="F93" i="39"/>
  <c r="F19" i="39"/>
  <c r="AB21" i="39"/>
  <c r="W27" i="39"/>
  <c r="B55" i="43"/>
  <c r="F91" i="39"/>
  <c r="H17" i="39"/>
  <c r="J17" i="39"/>
  <c r="G89" i="39"/>
  <c r="F15" i="39"/>
  <c r="AA15" i="39" s="1"/>
  <c r="AC41" i="39"/>
  <c r="F120" i="39"/>
  <c r="F39" i="39" s="1"/>
  <c r="F105" i="39"/>
  <c r="G105" i="39" s="1"/>
  <c r="H105" i="39" s="1"/>
  <c r="I105" i="39" s="1"/>
  <c r="J105" i="39" s="1"/>
  <c r="K105" i="39" s="1"/>
  <c r="L105" i="39" s="1"/>
  <c r="M105" i="39" s="1"/>
  <c r="H31" i="39"/>
  <c r="F31" i="39"/>
  <c r="AA31" i="39" s="1"/>
  <c r="J31" i="39"/>
  <c r="S31" i="39"/>
  <c r="H11" i="39"/>
  <c r="F11" i="39"/>
  <c r="AA11" i="39" s="1"/>
  <c r="H81" i="39"/>
  <c r="I81" i="39" s="1"/>
  <c r="J81" i="39" s="1"/>
  <c r="K81" i="39" s="1"/>
  <c r="L81" i="39" s="1"/>
  <c r="M81" i="39" s="1"/>
  <c r="J11" i="39"/>
  <c r="U38" i="39"/>
  <c r="E4" i="49"/>
  <c r="E9" i="49"/>
  <c r="B11" i="49"/>
  <c r="B5" i="49"/>
  <c r="B14" i="49"/>
  <c r="B22" i="49"/>
  <c r="AC12" i="39"/>
  <c r="W12" i="39"/>
  <c r="G16" i="1"/>
  <c r="H10" i="40" s="1"/>
  <c r="AB10" i="40" s="1"/>
  <c r="C36" i="69"/>
  <c r="W10" i="33"/>
  <c r="S38" i="33"/>
  <c r="AC37" i="33"/>
  <c r="U35" i="33"/>
  <c r="AC35" i="33"/>
  <c r="W32" i="33"/>
  <c r="U32" i="33"/>
  <c r="P61" i="15"/>
  <c r="J53" i="15"/>
  <c r="Q52" i="15" s="1"/>
  <c r="E11" i="49"/>
  <c r="B8" i="49"/>
  <c r="B4" i="49"/>
  <c r="E5" i="49"/>
  <c r="E10" i="49"/>
  <c r="E8" i="49"/>
  <c r="E16" i="49"/>
  <c r="B9" i="49"/>
  <c r="E6" i="49"/>
  <c r="E7" i="49"/>
  <c r="B16" i="49"/>
  <c r="B10" i="49"/>
  <c r="AA44" i="33"/>
  <c r="AA14" i="33"/>
  <c r="F16" i="35"/>
  <c r="F66" i="35"/>
  <c r="G66" i="35" s="1"/>
  <c r="AB20" i="35"/>
  <c r="AC20" i="35"/>
  <c r="C29" i="39"/>
  <c r="B66" i="43"/>
  <c r="S18" i="35"/>
  <c r="U34" i="35"/>
  <c r="AC34" i="35"/>
  <c r="W34" i="35"/>
  <c r="F34" i="35"/>
  <c r="W28" i="35"/>
  <c r="U33" i="35"/>
  <c r="W16" i="35"/>
  <c r="F14" i="35"/>
  <c r="H14" i="35"/>
  <c r="AB14" i="35" s="1"/>
  <c r="F64" i="35"/>
  <c r="G64" i="35" s="1"/>
  <c r="J14" i="35"/>
  <c r="AA10" i="35"/>
  <c r="AB9" i="35"/>
  <c r="H26" i="35"/>
  <c r="F26" i="35"/>
  <c r="J26" i="35"/>
  <c r="B52" i="43"/>
  <c r="U23" i="35"/>
  <c r="AB23" i="35"/>
  <c r="M20" i="67"/>
  <c r="F34" i="67"/>
  <c r="F62" i="67" s="1"/>
  <c r="F28" i="15"/>
  <c r="C28" i="15" s="1"/>
  <c r="C94" i="9"/>
  <c r="C92" i="9"/>
  <c r="F30" i="69"/>
  <c r="C48" i="69" s="1"/>
  <c r="F54" i="9"/>
  <c r="F32" i="15"/>
  <c r="F60" i="15" s="1"/>
  <c r="M18" i="67"/>
  <c r="C13" i="12"/>
  <c r="D68" i="9"/>
  <c r="C24" i="12"/>
  <c r="C30" i="69"/>
  <c r="M18" i="15"/>
  <c r="F32" i="67"/>
  <c r="F60" i="67" s="1"/>
  <c r="F31" i="12"/>
  <c r="F28" i="67"/>
  <c r="C28" i="67" s="1"/>
  <c r="F30" i="11"/>
  <c r="F30" i="68"/>
  <c r="C40" i="68"/>
  <c r="C40" i="69"/>
  <c r="D23" i="67"/>
  <c r="H16" i="1"/>
  <c r="M7" i="1"/>
  <c r="O7" i="1" s="1"/>
  <c r="L27" i="6"/>
  <c r="E15" i="6"/>
  <c r="E12" i="6"/>
  <c r="E62" i="39" s="1"/>
  <c r="G30" i="6"/>
  <c r="G31" i="6" s="1"/>
  <c r="E28" i="6"/>
  <c r="K14" i="1" s="1"/>
  <c r="K16" i="1" s="1"/>
  <c r="E57" i="40"/>
  <c r="D9" i="68"/>
  <c r="C9" i="68" s="1"/>
  <c r="D19" i="12"/>
  <c r="C19" i="12" s="1"/>
  <c r="D9" i="69"/>
  <c r="C9" i="69" s="1"/>
  <c r="J10" i="39"/>
  <c r="F10" i="39"/>
  <c r="F27" i="6"/>
  <c r="E56" i="39"/>
  <c r="E51" i="40"/>
  <c r="O11" i="1"/>
  <c r="P11" i="1" s="1"/>
  <c r="H10" i="39"/>
  <c r="F10" i="40"/>
  <c r="J10" i="40"/>
  <c r="P7" i="1"/>
  <c r="Q16" i="1"/>
  <c r="O9" i="1"/>
  <c r="P9" i="1" s="1"/>
  <c r="P6" i="1"/>
  <c r="O12" i="1"/>
  <c r="P12" i="1" s="1"/>
  <c r="O8" i="1"/>
  <c r="P8" i="1" s="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U10" i="40"/>
  <c r="D20" i="53"/>
  <c r="B40" i="72" s="1"/>
  <c r="H110" i="9"/>
  <c r="D18" i="53" s="1"/>
  <c r="B35" i="72" s="1"/>
  <c r="I14" i="74"/>
  <c r="B8" i="74" s="1"/>
  <c r="D127" i="9"/>
  <c r="D13" i="52" s="1"/>
  <c r="D12" i="52"/>
  <c r="H82" i="43"/>
  <c r="H75" i="43"/>
  <c r="F35" i="43"/>
  <c r="F39" i="43"/>
  <c r="M11" i="43"/>
  <c r="N7" i="43"/>
  <c r="F36" i="43"/>
  <c r="J1" i="73"/>
  <c r="D17" i="53"/>
  <c r="B36" i="72" s="1"/>
  <c r="D124" i="9"/>
  <c r="K58" i="21"/>
  <c r="L58" i="21" s="1"/>
  <c r="M58" i="21" s="1"/>
  <c r="N58" i="21" s="1"/>
  <c r="O58" i="21" s="1"/>
  <c r="H52" i="37"/>
  <c r="I52" i="37" s="1"/>
  <c r="J52" i="37" s="1"/>
  <c r="K52" i="37" s="1"/>
  <c r="L52" i="37" s="1"/>
  <c r="M52" i="37" s="1"/>
  <c r="N52" i="37" s="1"/>
  <c r="O52" i="37" s="1"/>
  <c r="F7" i="37"/>
  <c r="F59" i="34"/>
  <c r="G59" i="34" s="1"/>
  <c r="H59" i="34" s="1"/>
  <c r="I59" i="34" s="1"/>
  <c r="J59" i="34" s="1"/>
  <c r="K59" i="34" s="1"/>
  <c r="L59" i="34" s="1"/>
  <c r="M59" i="34" s="1"/>
  <c r="N59" i="34" s="1"/>
  <c r="O59" i="34" s="1"/>
  <c r="J7" i="34"/>
  <c r="H7" i="34"/>
  <c r="F7" i="34"/>
  <c r="U7" i="33"/>
  <c r="E48" i="35"/>
  <c r="H7" i="37"/>
  <c r="J7" i="37"/>
  <c r="F46" i="36"/>
  <c r="D68" i="39"/>
  <c r="F63" i="67"/>
  <c r="C62" i="67" s="1"/>
  <c r="C34" i="67"/>
  <c r="B8" i="70"/>
  <c r="B20" i="31"/>
  <c r="B7" i="70"/>
  <c r="F69" i="67"/>
  <c r="J20"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D7" i="73"/>
  <c r="C16" i="15"/>
  <c r="D3" i="73"/>
  <c r="C16" i="67"/>
  <c r="D6" i="73"/>
  <c r="D5" i="73"/>
  <c r="C17" i="67"/>
  <c r="D4" i="73"/>
  <c r="C14" i="67"/>
  <c r="D7" i="79" l="1"/>
  <c r="D10" i="79" s="1"/>
  <c r="AN6" i="3"/>
  <c r="E303" i="3"/>
  <c r="E236" i="3"/>
  <c r="E221" i="3"/>
  <c r="E271" i="3"/>
  <c r="E145" i="3"/>
  <c r="E107" i="3"/>
  <c r="E379" i="3"/>
  <c r="E585" i="3"/>
  <c r="U6" i="3"/>
  <c r="E515" i="3"/>
  <c r="E548" i="3"/>
  <c r="E432" i="3"/>
  <c r="E477" i="3"/>
  <c r="E367" i="3"/>
  <c r="E505" i="3"/>
  <c r="E547" i="3"/>
  <c r="E13" i="3"/>
  <c r="E498" i="3"/>
  <c r="E494" i="3"/>
  <c r="E452" i="3"/>
  <c r="E483" i="3"/>
  <c r="E470" i="3"/>
  <c r="E420" i="3"/>
  <c r="E463" i="3"/>
  <c r="E26" i="3"/>
  <c r="E104" i="3"/>
  <c r="E41" i="3"/>
  <c r="E108" i="3"/>
  <c r="E178" i="3"/>
  <c r="E198" i="3"/>
  <c r="E119" i="3"/>
  <c r="E139" i="3"/>
  <c r="E202" i="3"/>
  <c r="E242" i="3"/>
  <c r="E226" i="3"/>
  <c r="E276" i="3"/>
  <c r="E332" i="3"/>
  <c r="E346" i="3"/>
  <c r="E391" i="3"/>
  <c r="E333" i="3"/>
  <c r="E356" i="3"/>
  <c r="E372" i="3"/>
  <c r="AL6" i="3"/>
  <c r="L6" i="3"/>
  <c r="E42" i="3"/>
  <c r="E60" i="3"/>
  <c r="E43" i="3"/>
  <c r="E428" i="3"/>
  <c r="E482" i="3"/>
  <c r="E412" i="3"/>
  <c r="E18" i="3"/>
  <c r="E96" i="3"/>
  <c r="E129" i="3"/>
  <c r="E190" i="3"/>
  <c r="E174" i="3"/>
  <c r="E220" i="3"/>
  <c r="E275" i="3"/>
  <c r="E235" i="3"/>
  <c r="E324" i="3"/>
  <c r="E383" i="3"/>
  <c r="E342" i="3"/>
  <c r="E522" i="3"/>
  <c r="E34" i="3"/>
  <c r="E232" i="3"/>
  <c r="E251" i="3"/>
  <c r="E340" i="3"/>
  <c r="E370" i="3"/>
  <c r="E364" i="3"/>
  <c r="AF6" i="3"/>
  <c r="E50" i="3"/>
  <c r="E20" i="3"/>
  <c r="E80" i="3"/>
  <c r="E113" i="3"/>
  <c r="E176" i="3"/>
  <c r="E158" i="3"/>
  <c r="E287" i="3"/>
  <c r="E265" i="3"/>
  <c r="E308" i="3"/>
  <c r="E365" i="3"/>
  <c r="E326" i="3"/>
  <c r="E524" i="3"/>
  <c r="E22" i="3"/>
  <c r="E101" i="3"/>
  <c r="E257" i="3"/>
  <c r="E318" i="3"/>
  <c r="E14" i="3"/>
  <c r="E31" i="3"/>
  <c r="E75" i="3"/>
  <c r="E473" i="3"/>
  <c r="E455" i="3"/>
  <c r="E38" i="3"/>
  <c r="E137" i="3"/>
  <c r="E234" i="3"/>
  <c r="E299" i="3"/>
  <c r="E325" i="3"/>
  <c r="AQ6" i="3"/>
  <c r="E123" i="3"/>
  <c r="E289" i="3"/>
  <c r="E284" i="3"/>
  <c r="E341" i="3"/>
  <c r="Y6" i="3"/>
  <c r="E51" i="3"/>
  <c r="E19" i="3"/>
  <c r="E154" i="3"/>
  <c r="E179" i="3"/>
  <c r="E323" i="3"/>
  <c r="E373" i="3"/>
  <c r="E353" i="3"/>
  <c r="E159" i="3"/>
  <c r="E180" i="3"/>
  <c r="E252" i="3"/>
  <c r="E164" i="3"/>
  <c r="E327" i="3"/>
  <c r="E576" i="3"/>
  <c r="Z6" i="3"/>
  <c r="AG6" i="3"/>
  <c r="AO6" i="3"/>
  <c r="E448" i="3"/>
  <c r="E485" i="3"/>
  <c r="P6" i="3"/>
  <c r="E400" i="3"/>
  <c r="E443" i="3"/>
  <c r="E558" i="3"/>
  <c r="E557" i="3"/>
  <c r="E571" i="3"/>
  <c r="E577" i="3"/>
  <c r="E537" i="3"/>
  <c r="E429" i="3"/>
  <c r="E450" i="3"/>
  <c r="E468" i="3"/>
  <c r="E496" i="3"/>
  <c r="E433" i="3"/>
  <c r="E454" i="3"/>
  <c r="E475" i="3"/>
  <c r="E55" i="3"/>
  <c r="E72" i="3"/>
  <c r="E106" i="3"/>
  <c r="E54" i="3"/>
  <c r="E73" i="3"/>
  <c r="E146" i="3"/>
  <c r="E168" i="3"/>
  <c r="E203" i="3"/>
  <c r="E150" i="3"/>
  <c r="E171" i="3"/>
  <c r="E256" i="3"/>
  <c r="E214" i="3"/>
  <c r="E274" i="3"/>
  <c r="E351" i="3"/>
  <c r="E315" i="3"/>
  <c r="E357" i="3"/>
  <c r="E394" i="3"/>
  <c r="E362" i="3"/>
  <c r="E580" i="3"/>
  <c r="E74" i="3"/>
  <c r="E32" i="3"/>
  <c r="E409" i="3"/>
  <c r="E15" i="3"/>
  <c r="E79" i="3"/>
  <c r="E100" i="3"/>
  <c r="E170" i="3"/>
  <c r="E194" i="3"/>
  <c r="E339" i="3"/>
  <c r="E392" i="3"/>
  <c r="E52" i="3"/>
  <c r="E147" i="3"/>
  <c r="E355" i="3"/>
  <c r="E381" i="3"/>
  <c r="E63" i="3"/>
  <c r="E81" i="3"/>
  <c r="E118" i="3"/>
  <c r="E283" i="3"/>
  <c r="E309" i="3"/>
  <c r="E513" i="3"/>
  <c r="E21" i="3"/>
  <c r="E397" i="3"/>
  <c r="E518" i="3"/>
  <c r="E578" i="3"/>
  <c r="E382" i="3"/>
  <c r="E245" i="3"/>
  <c r="E99"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495" i="3"/>
  <c r="E350" i="3"/>
  <c r="E156" i="3"/>
  <c r="E290" i="3"/>
  <c r="E117" i="3"/>
  <c r="E77" i="3"/>
  <c r="E253" i="3"/>
  <c r="E199" i="3"/>
  <c r="E286" i="3"/>
  <c r="E575" i="3"/>
  <c r="E499" i="3"/>
  <c r="R6" i="3"/>
  <c r="E502" i="3"/>
  <c r="E442" i="3"/>
  <c r="E466" i="3"/>
  <c r="E541" i="3"/>
  <c r="E430" i="3"/>
  <c r="E449" i="3"/>
  <c r="E255" i="3"/>
  <c r="I3" i="6"/>
  <c r="AP6"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196" i="3"/>
  <c r="E244" i="3"/>
  <c r="E368" i="3"/>
  <c r="E453" i="3"/>
  <c r="E549" i="3"/>
  <c r="E536" i="3"/>
  <c r="I6" i="3"/>
  <c r="E568"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E239" i="3"/>
  <c r="E509" i="3"/>
  <c r="E516" i="3"/>
  <c r="E579" i="3"/>
  <c r="E569" i="3"/>
  <c r="E431" i="3"/>
  <c r="E396" i="3"/>
  <c r="E247" i="3"/>
  <c r="E229" i="3"/>
  <c r="E201" i="3"/>
  <c r="E151" i="3"/>
  <c r="E385" i="3"/>
  <c r="AI6" i="3"/>
  <c r="E423" i="3"/>
  <c r="E263" i="3"/>
  <c r="E191"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86" i="3"/>
  <c r="E301" i="3"/>
  <c r="E135" i="3"/>
  <c r="E161" i="3"/>
  <c r="E149" i="3"/>
  <c r="E212" i="3"/>
  <c r="E167" i="3"/>
  <c r="E141" i="3"/>
  <c r="E312" i="3"/>
  <c r="AD6" i="3"/>
  <c r="E542" i="3"/>
  <c r="E552" i="3"/>
  <c r="E421" i="3"/>
  <c r="E464" i="3"/>
  <c r="E487" i="3"/>
  <c r="E398" i="3"/>
  <c r="E416" i="3"/>
  <c r="E459" i="3"/>
  <c r="E374" i="3"/>
  <c r="E566" i="3"/>
  <c r="E500"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136" i="3"/>
  <c r="E262" i="3"/>
  <c r="E296" i="3"/>
  <c r="E306" i="3"/>
  <c r="E434" i="3"/>
  <c r="AK6" i="3"/>
  <c r="E16" i="3"/>
  <c r="E511" i="3"/>
  <c r="E314"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88" i="3"/>
  <c r="O6" i="3"/>
  <c r="E555" i="3"/>
  <c r="E574" i="3"/>
  <c r="E410" i="3"/>
  <c r="E359" i="3"/>
  <c r="E337" i="3"/>
  <c r="E285" i="3"/>
  <c r="E143" i="3"/>
  <c r="E97" i="3"/>
  <c r="E111" i="3"/>
  <c r="E102" i="3"/>
  <c r="E93" i="3"/>
  <c r="E91" i="3"/>
  <c r="E86" i="3"/>
  <c r="E82" i="3"/>
  <c r="E68" i="3"/>
  <c r="E49" i="3"/>
  <c r="E40" i="3"/>
  <c r="E35" i="3"/>
  <c r="AZ18" i="3"/>
  <c r="BA5" i="3"/>
  <c r="E207" i="3"/>
  <c r="AC18" i="35"/>
  <c r="W18" i="35"/>
  <c r="E206" i="3"/>
  <c r="E281" i="3"/>
  <c r="E279" i="3"/>
  <c r="E488" i="3"/>
  <c r="E243" i="3"/>
  <c r="E222" i="3"/>
  <c r="E219" i="3"/>
  <c r="E208" i="3"/>
  <c r="E402" i="3"/>
  <c r="AA26" i="37"/>
  <c r="S26" i="37"/>
  <c r="AB24" i="36"/>
  <c r="U24" i="36"/>
  <c r="U12" i="36"/>
  <c r="AB12" i="36"/>
  <c r="AB28" i="35"/>
  <c r="U28" i="35"/>
  <c r="AA9" i="34"/>
  <c r="S9" i="34"/>
  <c r="S11" i="39"/>
  <c r="H7" i="81"/>
  <c r="J7" i="81"/>
  <c r="F7" i="33"/>
  <c r="J7" i="33"/>
  <c r="E112" i="3"/>
  <c r="E94" i="3"/>
  <c r="E83" i="3"/>
  <c r="E78" i="3"/>
  <c r="E62" i="3"/>
  <c r="E36" i="3"/>
  <c r="E25" i="3"/>
  <c r="AB18" i="35"/>
  <c r="U18" i="35"/>
  <c r="E204" i="3"/>
  <c r="E115" i="3"/>
  <c r="E345" i="3"/>
  <c r="E264" i="3"/>
  <c r="E225" i="3"/>
  <c r="E218" i="3"/>
  <c r="E478" i="3"/>
  <c r="E471" i="3"/>
  <c r="AZ462" i="3"/>
  <c r="AZ5" i="3" s="1"/>
  <c r="E419" i="3"/>
  <c r="E414" i="3"/>
  <c r="E411" i="3"/>
  <c r="E401" i="3"/>
  <c r="AZ550" i="3"/>
  <c r="AC25" i="37"/>
  <c r="W25" i="37"/>
  <c r="AA23" i="36"/>
  <c r="S23" i="36"/>
  <c r="AC23" i="35"/>
  <c r="W23" i="35"/>
  <c r="AC38" i="33"/>
  <c r="W38" i="33"/>
  <c r="AB29" i="35"/>
  <c r="U29" i="35"/>
  <c r="J7" i="21"/>
  <c r="E30" i="6"/>
  <c r="E16" i="6"/>
  <c r="AC21" i="21"/>
  <c r="W21" i="21"/>
  <c r="S7" i="81"/>
  <c r="AA7" i="81"/>
  <c r="R48" i="81" s="1"/>
  <c r="AC36" i="35"/>
  <c r="W36" i="35"/>
  <c r="AA28" i="35"/>
  <c r="S28" i="35"/>
  <c r="AB38" i="33"/>
  <c r="T48" i="33" s="1"/>
  <c r="G48" i="33" s="1"/>
  <c r="G52" i="33" s="1"/>
  <c r="H52" i="33" s="1"/>
  <c r="U38" i="33"/>
  <c r="AA27" i="34"/>
  <c r="S27" i="34"/>
  <c r="AC10" i="21"/>
  <c r="W10" i="21"/>
  <c r="S7" i="33"/>
  <c r="AA7" i="33"/>
  <c r="N50" i="71"/>
  <c r="B49" i="71"/>
  <c r="T19" i="71"/>
  <c r="D19" i="71"/>
  <c r="U7" i="81"/>
  <c r="AB7" i="81"/>
  <c r="T48" i="81" s="1"/>
  <c r="G48" i="81" s="1"/>
  <c r="W7" i="81"/>
  <c r="AC7" i="81"/>
  <c r="V48" i="81" s="1"/>
  <c r="I48" i="81" s="1"/>
  <c r="I52" i="81" s="1"/>
  <c r="J52" i="81" s="1"/>
  <c r="U12" i="34"/>
  <c r="AB12" i="34"/>
  <c r="AC36" i="21"/>
  <c r="W36" i="21"/>
  <c r="U36" i="21"/>
  <c r="AB36" i="21"/>
  <c r="U16" i="35"/>
  <c r="AB16" i="35"/>
  <c r="I87" i="35"/>
  <c r="J87" i="35" s="1"/>
  <c r="K87" i="35" s="1"/>
  <c r="L87" i="35" s="1"/>
  <c r="M87" i="35" s="1"/>
  <c r="J29" i="35"/>
  <c r="F29" i="35"/>
  <c r="AA42" i="33"/>
  <c r="S42" i="33"/>
  <c r="AB10" i="21"/>
  <c r="U10" i="21"/>
  <c r="M20" i="43"/>
  <c r="C19" i="43" s="1"/>
  <c r="H63" i="40"/>
  <c r="G65" i="40"/>
  <c r="S25" i="33"/>
  <c r="AA25" i="33"/>
  <c r="AA27" i="33"/>
  <c r="S27" i="33"/>
  <c r="H7" i="21"/>
  <c r="F7" i="21"/>
  <c r="W37" i="21"/>
  <c r="AC37" i="21"/>
  <c r="U37" i="21"/>
  <c r="AB37" i="21"/>
  <c r="AA37" i="21"/>
  <c r="S37" i="21"/>
  <c r="AB17" i="21"/>
  <c r="U17" i="21"/>
  <c r="AA17" i="21"/>
  <c r="S17" i="21"/>
  <c r="AC17" i="21"/>
  <c r="W17" i="21"/>
  <c r="AC39" i="21"/>
  <c r="W39" i="21"/>
  <c r="U39" i="21"/>
  <c r="AB39" i="21"/>
  <c r="AA39" i="21"/>
  <c r="S39" i="21"/>
  <c r="K4" i="4"/>
  <c r="B46" i="48" s="1"/>
  <c r="B4" i="72" s="1"/>
  <c r="AC42" i="21"/>
  <c r="W42" i="21"/>
  <c r="AC6" i="3"/>
  <c r="G93" i="39"/>
  <c r="J19" i="39"/>
  <c r="U41" i="39"/>
  <c r="AB41" i="39"/>
  <c r="S41" i="39"/>
  <c r="AA41" i="39"/>
  <c r="AB25" i="39"/>
  <c r="U25" i="39"/>
  <c r="W25" i="39"/>
  <c r="AC25" i="39"/>
  <c r="F25" i="39"/>
  <c r="G99" i="39"/>
  <c r="F21" i="39"/>
  <c r="G95" i="39"/>
  <c r="W21" i="39"/>
  <c r="AC21" i="39"/>
  <c r="AA19" i="39"/>
  <c r="S19" i="39"/>
  <c r="AB17" i="39"/>
  <c r="U17" i="39"/>
  <c r="AC17" i="39"/>
  <c r="W17" i="39"/>
  <c r="G91" i="39"/>
  <c r="F17" i="39"/>
  <c r="S15" i="39"/>
  <c r="S39" i="39"/>
  <c r="AA39" i="39"/>
  <c r="G120" i="39"/>
  <c r="H120" i="39" s="1"/>
  <c r="I120" i="39" s="1"/>
  <c r="J120" i="39" s="1"/>
  <c r="K120" i="39" s="1"/>
  <c r="L120" i="39" s="1"/>
  <c r="M120" i="39" s="1"/>
  <c r="J39" i="39"/>
  <c r="H39" i="39"/>
  <c r="W31" i="39"/>
  <c r="AC31" i="39"/>
  <c r="AB31" i="39"/>
  <c r="U31" i="39"/>
  <c r="W11" i="39"/>
  <c r="AC11" i="39"/>
  <c r="AB11" i="39"/>
  <c r="U11" i="39"/>
  <c r="F1" i="15"/>
  <c r="U14" i="35"/>
  <c r="S16" i="35"/>
  <c r="AA16" i="35"/>
  <c r="AA34" i="35"/>
  <c r="S34" i="35"/>
  <c r="W14" i="35"/>
  <c r="AC14" i="35"/>
  <c r="AA14" i="35"/>
  <c r="S14" i="35"/>
  <c r="S26" i="35"/>
  <c r="AA26" i="35"/>
  <c r="W26" i="35"/>
  <c r="AC26" i="35"/>
  <c r="U26" i="35"/>
  <c r="AB26" i="35"/>
  <c r="C30" i="68"/>
  <c r="C48" i="68"/>
  <c r="C48" i="11"/>
  <c r="C30" i="11"/>
  <c r="E60" i="40"/>
  <c r="E65" i="39"/>
  <c r="E66" i="39" s="1"/>
  <c r="M14" i="1"/>
  <c r="C34" i="69"/>
  <c r="S10" i="39"/>
  <c r="AA10" i="39"/>
  <c r="AC10" i="39"/>
  <c r="W10" i="39"/>
  <c r="H6" i="3"/>
  <c r="E6" i="3" s="1"/>
  <c r="F31" i="6"/>
  <c r="E27" i="6"/>
  <c r="AA10" i="40"/>
  <c r="S10" i="40"/>
  <c r="F27" i="69"/>
  <c r="F27" i="68"/>
  <c r="F28" i="12"/>
  <c r="C29" i="12" s="1"/>
  <c r="D28" i="12" s="1"/>
  <c r="F27" i="11"/>
  <c r="W10" i="40"/>
  <c r="AC10" i="40"/>
  <c r="U10" i="39"/>
  <c r="AB10" i="39"/>
  <c r="D3" i="21"/>
  <c r="D3" i="33"/>
  <c r="H107" i="43"/>
  <c r="H106" i="43"/>
  <c r="H105" i="43"/>
  <c r="H103" i="43"/>
  <c r="H102" i="43"/>
  <c r="H104"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6" i="43"/>
  <c r="E102" i="43"/>
  <c r="E103" i="43"/>
  <c r="M109" i="43"/>
  <c r="M104" i="43"/>
  <c r="M107" i="43"/>
  <c r="M105" i="43"/>
  <c r="M102" i="43"/>
  <c r="M103" i="43"/>
  <c r="M106" i="43"/>
  <c r="L109" i="43"/>
  <c r="L106" i="43"/>
  <c r="L107" i="43"/>
  <c r="L103" i="43"/>
  <c r="L102" i="43"/>
  <c r="L105" i="43"/>
  <c r="L104" i="43"/>
  <c r="J104" i="43"/>
  <c r="J105" i="43"/>
  <c r="J103" i="43"/>
  <c r="J106" i="43"/>
  <c r="J107" i="43"/>
  <c r="J102" i="43"/>
  <c r="J109" i="43"/>
  <c r="G105" i="43"/>
  <c r="G102" i="43"/>
  <c r="G103" i="43"/>
  <c r="G109" i="43"/>
  <c r="G107" i="43"/>
  <c r="G104" i="43"/>
  <c r="G106" i="43"/>
  <c r="I109" i="43"/>
  <c r="I102" i="43"/>
  <c r="I104" i="43"/>
  <c r="I107" i="43"/>
  <c r="I105" i="43"/>
  <c r="I106" i="43"/>
  <c r="I103" i="43"/>
  <c r="D109" i="43"/>
  <c r="D105" i="43"/>
  <c r="D106" i="43"/>
  <c r="D102" i="43"/>
  <c r="D103" i="43"/>
  <c r="D104" i="43"/>
  <c r="D107" i="43"/>
  <c r="D22" i="43"/>
  <c r="F107" i="43"/>
  <c r="F106" i="43"/>
  <c r="F103" i="43"/>
  <c r="F104" i="43"/>
  <c r="F102" i="43"/>
  <c r="F105" i="43"/>
  <c r="F109" i="43"/>
  <c r="K1" i="73"/>
  <c r="E20" i="43"/>
  <c r="P17" i="43" s="1"/>
  <c r="D10" i="52"/>
  <c r="D125" i="9"/>
  <c r="D11" i="52" s="1"/>
  <c r="H14" i="74"/>
  <c r="B7" i="74" s="1"/>
  <c r="D70" i="39"/>
  <c r="E68" i="39"/>
  <c r="W7" i="37"/>
  <c r="AC7" i="37"/>
  <c r="V42" i="37" s="1"/>
  <c r="I42" i="37" s="1"/>
  <c r="S7" i="34"/>
  <c r="AA7" i="34"/>
  <c r="R49" i="34" s="1"/>
  <c r="W7" i="34"/>
  <c r="AC7" i="34"/>
  <c r="V49" i="34" s="1"/>
  <c r="I49" i="34" s="1"/>
  <c r="AA7" i="37"/>
  <c r="R42" i="37" s="1"/>
  <c r="S7" i="37"/>
  <c r="AB7" i="21"/>
  <c r="T48" i="21" s="1"/>
  <c r="G48" i="21" s="1"/>
  <c r="U7" i="21"/>
  <c r="S7" i="21"/>
  <c r="AA7" i="21"/>
  <c r="R48" i="21" s="1"/>
  <c r="G46" i="36"/>
  <c r="U7" i="37"/>
  <c r="AB7" i="37"/>
  <c r="T42" i="37" s="1"/>
  <c r="G42" i="37" s="1"/>
  <c r="F48" i="35"/>
  <c r="U7" i="34"/>
  <c r="AB7" i="34"/>
  <c r="T49" i="34" s="1"/>
  <c r="G49" i="34" s="1"/>
  <c r="AC7" i="21"/>
  <c r="V48" i="21" s="1"/>
  <c r="I48" i="21" s="1"/>
  <c r="W7" i="21"/>
  <c r="C18" i="67"/>
  <c r="C15" i="67"/>
  <c r="F11" i="67"/>
  <c r="M11" i="15"/>
  <c r="M11" i="67"/>
  <c r="J10" i="67" s="1"/>
  <c r="J5" i="67" s="1"/>
  <c r="F11" i="15"/>
  <c r="Q73" i="15"/>
  <c r="Q60" i="15"/>
  <c r="C49" i="15"/>
  <c r="Q73" i="67"/>
  <c r="Q60" i="67"/>
  <c r="J6" i="15"/>
  <c r="Q74" i="15"/>
  <c r="Q61" i="15"/>
  <c r="Q61" i="67"/>
  <c r="Q74" i="67"/>
  <c r="AE6" i="1"/>
  <c r="G1" i="73"/>
  <c r="AY6" i="3" l="1"/>
  <c r="E3" i="6"/>
  <c r="W7" i="33"/>
  <c r="AC7" i="33"/>
  <c r="V48" i="33" s="1"/>
  <c r="I48" i="33" s="1"/>
  <c r="R48" i="33"/>
  <c r="H65" i="40"/>
  <c r="I63" i="40"/>
  <c r="S29" i="35"/>
  <c r="AA29" i="35"/>
  <c r="C39" i="43"/>
  <c r="C37" i="43"/>
  <c r="C35" i="43"/>
  <c r="T11" i="43"/>
  <c r="V11" i="43" s="1"/>
  <c r="T14" i="43"/>
  <c r="V14" i="43" s="1"/>
  <c r="T9" i="43"/>
  <c r="V9" i="43" s="1"/>
  <c r="T15" i="43"/>
  <c r="V15" i="43" s="1"/>
  <c r="T10" i="43"/>
  <c r="V10" i="43" s="1"/>
  <c r="C33" i="43"/>
  <c r="C38" i="43"/>
  <c r="C36" i="43"/>
  <c r="C34" i="43"/>
  <c r="T16" i="43"/>
  <c r="V16" i="43" s="1"/>
  <c r="T12" i="43"/>
  <c r="V12" i="43" s="1"/>
  <c r="T8" i="43"/>
  <c r="V8" i="43" s="1"/>
  <c r="T13" i="43"/>
  <c r="V13" i="43" s="1"/>
  <c r="W29" i="35"/>
  <c r="AC29" i="35"/>
  <c r="G53" i="81"/>
  <c r="H53" i="81" s="1"/>
  <c r="G52" i="81"/>
  <c r="H52" i="81" s="1"/>
  <c r="N48" i="71"/>
  <c r="N49" i="71"/>
  <c r="R49" i="81"/>
  <c r="E48" i="81"/>
  <c r="AC19" i="39"/>
  <c r="W19" i="39"/>
  <c r="AA25" i="39"/>
  <c r="S25" i="39"/>
  <c r="S21" i="39"/>
  <c r="AA21" i="39"/>
  <c r="AA17" i="39"/>
  <c r="S17" i="39"/>
  <c r="AC39" i="39"/>
  <c r="W39" i="39"/>
  <c r="U39" i="39"/>
  <c r="AB39" i="39"/>
  <c r="C38" i="69"/>
  <c r="C35" i="69"/>
  <c r="O14" i="1"/>
  <c r="O16" i="1" s="1"/>
  <c r="M16" i="1"/>
  <c r="O17" i="43"/>
  <c r="K20" i="6"/>
  <c r="E31" i="6"/>
  <c r="K21" i="6"/>
  <c r="K23" i="6"/>
  <c r="M23" i="6" s="1"/>
  <c r="I23" i="6" s="1"/>
  <c r="S23" i="6" s="1"/>
  <c r="K22" i="6"/>
  <c r="M22" i="6" s="1"/>
  <c r="I22" i="6" s="1"/>
  <c r="S22" i="6" s="1"/>
  <c r="K25" i="6"/>
  <c r="M25" i="6" s="1"/>
  <c r="I25" i="6" s="1"/>
  <c r="S25" i="6" s="1"/>
  <c r="K19" i="6"/>
  <c r="S6" i="1" s="1"/>
  <c r="K24" i="6"/>
  <c r="M24" i="6" s="1"/>
  <c r="I24" i="6" s="1"/>
  <c r="S24" i="6" s="1"/>
  <c r="K26" i="6"/>
  <c r="M26" i="6" s="1"/>
  <c r="I26" i="6" s="1"/>
  <c r="S26" i="6" s="1"/>
  <c r="N17" i="43"/>
  <c r="C47" i="11"/>
  <c r="D45" i="11" s="1"/>
  <c r="C29" i="11"/>
  <c r="D27" i="11" s="1"/>
  <c r="C29" i="68"/>
  <c r="D27" i="68" s="1"/>
  <c r="C47" i="68"/>
  <c r="D45" i="68" s="1"/>
  <c r="C29" i="69"/>
  <c r="D27" i="69" s="1"/>
  <c r="C47" i="69"/>
  <c r="D45" i="69" s="1"/>
  <c r="C115" i="43"/>
  <c r="D113" i="43" s="1"/>
  <c r="S4" i="43"/>
  <c r="T4" i="43" s="1"/>
  <c r="V4" i="43" s="1"/>
  <c r="S5" i="43"/>
  <c r="T5" i="43" s="1"/>
  <c r="V5" i="43" s="1"/>
  <c r="S3" i="43"/>
  <c r="T3" i="43" s="1"/>
  <c r="V3" i="43" s="1"/>
  <c r="S6" i="43"/>
  <c r="T6" i="43" s="1"/>
  <c r="V6" i="43" s="1"/>
  <c r="S7" i="43"/>
  <c r="T7" i="43" s="1"/>
  <c r="V7" i="43" s="1"/>
  <c r="S2" i="43"/>
  <c r="T2" i="43" s="1"/>
  <c r="V2" i="43" s="1"/>
  <c r="C23" i="43"/>
  <c r="C21" i="43" s="1"/>
  <c r="C29" i="43" s="1"/>
  <c r="M17" i="43"/>
  <c r="C19" i="67"/>
  <c r="C20" i="67" s="1"/>
  <c r="B40" i="1"/>
  <c r="F25" i="12" s="1"/>
  <c r="I52" i="21"/>
  <c r="J52" i="21" s="1"/>
  <c r="G48" i="35"/>
  <c r="H48" i="35" s="1"/>
  <c r="I48" i="35" s="1"/>
  <c r="J48" i="35" s="1"/>
  <c r="K48" i="35" s="1"/>
  <c r="L48" i="35" s="1"/>
  <c r="M48" i="35" s="1"/>
  <c r="N48" i="35" s="1"/>
  <c r="O48" i="35" s="1"/>
  <c r="F7" i="35"/>
  <c r="H7" i="35"/>
  <c r="E48" i="21"/>
  <c r="I53" i="21" s="1"/>
  <c r="J53" i="21" s="1"/>
  <c r="R49" i="21"/>
  <c r="I53" i="34"/>
  <c r="J53" i="34" s="1"/>
  <c r="R50" i="34"/>
  <c r="E49" i="34"/>
  <c r="I46" i="37"/>
  <c r="J46" i="37" s="1"/>
  <c r="F68" i="39"/>
  <c r="E70" i="39"/>
  <c r="G53" i="34"/>
  <c r="H53" i="34" s="1"/>
  <c r="G54" i="34"/>
  <c r="H54" i="34" s="1"/>
  <c r="J7" i="35"/>
  <c r="G46" i="37"/>
  <c r="H46" i="37" s="1"/>
  <c r="G47" i="37"/>
  <c r="H47" i="37" s="1"/>
  <c r="H46" i="36"/>
  <c r="G52" i="21"/>
  <c r="H52" i="21" s="1"/>
  <c r="G53" i="21"/>
  <c r="H53" i="21" s="1"/>
  <c r="E42" i="37"/>
  <c r="I47" i="37" s="1"/>
  <c r="J47" i="37" s="1"/>
  <c r="R43" i="37"/>
  <c r="J24" i="67"/>
  <c r="J26" i="67"/>
  <c r="J29" i="67" s="1"/>
  <c r="J18" i="67"/>
  <c r="C53" i="15"/>
  <c r="C48" i="15" s="1"/>
  <c r="C10" i="15"/>
  <c r="C5" i="15" s="1"/>
  <c r="J10" i="15"/>
  <c r="J5" i="15" s="1"/>
  <c r="C53" i="67"/>
  <c r="C48" i="67" s="1"/>
  <c r="C10" i="67"/>
  <c r="C5" i="67" s="1"/>
  <c r="C17" i="15"/>
  <c r="F41" i="15"/>
  <c r="I52" i="33" l="1"/>
  <c r="J52" i="33" s="1"/>
  <c r="G53" i="33"/>
  <c r="H53" i="33" s="1"/>
  <c r="D19" i="11"/>
  <c r="C19" i="11" s="1"/>
  <c r="C20" i="11" s="1"/>
  <c r="C28" i="11" s="1"/>
  <c r="C27" i="11" s="1"/>
  <c r="D14" i="12"/>
  <c r="D17" i="12" s="1"/>
  <c r="C17" i="12" s="1"/>
  <c r="D3" i="34"/>
  <c r="L18" i="9"/>
  <c r="D37" i="11"/>
  <c r="M18" i="9"/>
  <c r="B118" i="9" s="1"/>
  <c r="B14" i="74" s="1"/>
  <c r="B1" i="74" s="1"/>
  <c r="D3" i="37"/>
  <c r="C17" i="4"/>
  <c r="B4" i="52" s="1"/>
  <c r="B43" i="72" s="1"/>
  <c r="E6" i="6"/>
  <c r="AY98" i="3"/>
  <c r="AY82" i="3"/>
  <c r="AY18" i="3"/>
  <c r="AY191" i="3"/>
  <c r="AY171" i="3"/>
  <c r="AY132" i="3"/>
  <c r="AY90" i="3"/>
  <c r="AY31" i="3"/>
  <c r="AY163" i="3"/>
  <c r="AY292" i="3"/>
  <c r="AY75" i="3"/>
  <c r="AY147" i="3"/>
  <c r="AY237" i="3"/>
  <c r="AY220" i="3"/>
  <c r="AY387" i="3"/>
  <c r="AY350" i="3"/>
  <c r="AY87" i="3"/>
  <c r="AY34" i="3"/>
  <c r="AY144" i="3"/>
  <c r="AY95" i="3"/>
  <c r="AY152" i="3"/>
  <c r="AY111" i="3"/>
  <c r="AY253" i="3"/>
  <c r="AY382"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66" i="3"/>
  <c r="AY115" i="3"/>
  <c r="AY276" i="3"/>
  <c r="AY225" i="3"/>
  <c r="AY489" i="3"/>
  <c r="AY412" i="3"/>
  <c r="AY43" i="3"/>
  <c r="AY229" i="3"/>
  <c r="AY379" i="3"/>
  <c r="AY326" i="3"/>
  <c r="AY436" i="3"/>
  <c r="AY557" i="3"/>
  <c r="AY540" i="3"/>
  <c r="AY105" i="3"/>
  <c r="AY69" i="3"/>
  <c r="AY52" i="3"/>
  <c r="AY198"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9" i="3"/>
  <c r="AY371" i="3"/>
  <c r="AY425" i="3"/>
  <c r="AY244" i="3"/>
  <c r="AY481" i="3"/>
  <c r="AY562" i="3"/>
  <c r="AY89" i="3"/>
  <c r="AY36" i="3"/>
  <c r="AY146"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55" i="3"/>
  <c r="AY268" i="3"/>
  <c r="AY444" i="3"/>
  <c r="AY269" i="3"/>
  <c r="AY311" i="3"/>
  <c r="AY535" i="3"/>
  <c r="AY555" i="3"/>
  <c r="AY68" i="3"/>
  <c r="AY178"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51" i="3"/>
  <c r="AY207" i="3"/>
  <c r="AY124" i="3"/>
  <c r="AY42" i="3"/>
  <c r="AY281" i="3"/>
  <c r="AY168" i="3"/>
  <c r="AY236" i="3"/>
  <c r="AY366"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76" i="3"/>
  <c r="AY188" i="3"/>
  <c r="AY297" i="3"/>
  <c r="AY335" i="3"/>
  <c r="AY455" i="3"/>
  <c r="AY497" i="3"/>
  <c r="AY116" i="3"/>
  <c r="AY212" i="3"/>
  <c r="AY343" i="3"/>
  <c r="AY478" i="3"/>
  <c r="AY417" i="3"/>
  <c r="AY573" i="3"/>
  <c r="AY539" i="3"/>
  <c r="AY100" i="3"/>
  <c r="AY84" i="3"/>
  <c r="AY20" i="3"/>
  <c r="AY193"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23" i="3"/>
  <c r="AY58" i="3"/>
  <c r="AY486" i="3"/>
  <c r="AY199" i="3"/>
  <c r="AY355" i="3"/>
  <c r="AY404" i="3"/>
  <c r="BO6" i="3"/>
  <c r="AY53" i="3"/>
  <c r="AY182"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131" i="3"/>
  <c r="AY334" i="3"/>
  <c r="AY526" i="3"/>
  <c r="AY390" i="3"/>
  <c r="AY447" i="3"/>
  <c r="AY574" i="3"/>
  <c r="AY85" i="3"/>
  <c r="AY2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P14" i="1"/>
  <c r="P16" i="1" s="1"/>
  <c r="C11" i="12" s="1"/>
  <c r="C15" i="12" s="1"/>
  <c r="C49" i="81"/>
  <c r="C48" i="81"/>
  <c r="E36" i="43"/>
  <c r="G36" i="43"/>
  <c r="I36" i="43" s="1"/>
  <c r="G33" i="43"/>
  <c r="I33" i="43" s="1"/>
  <c r="E33" i="43"/>
  <c r="G35" i="43"/>
  <c r="I35" i="43" s="1"/>
  <c r="E35" i="43"/>
  <c r="G39" i="43"/>
  <c r="I39" i="43" s="1"/>
  <c r="E39" i="43"/>
  <c r="I53" i="81"/>
  <c r="J53" i="81" s="1"/>
  <c r="E53" i="81"/>
  <c r="F53" i="81" s="1"/>
  <c r="E52" i="81"/>
  <c r="F52" i="81" s="1"/>
  <c r="G34" i="43"/>
  <c r="I34" i="43" s="1"/>
  <c r="E34" i="43"/>
  <c r="G38" i="43"/>
  <c r="I38" i="43" s="1"/>
  <c r="E38" i="43"/>
  <c r="G37" i="43"/>
  <c r="I37" i="43" s="1"/>
  <c r="E37" i="43"/>
  <c r="I65" i="40"/>
  <c r="J63" i="40"/>
  <c r="E48" i="33"/>
  <c r="R49" i="33"/>
  <c r="F69" i="15"/>
  <c r="M21" i="6"/>
  <c r="I21" i="6" s="1"/>
  <c r="S8" i="1"/>
  <c r="E6" i="70"/>
  <c r="E2" i="70" s="1"/>
  <c r="C12" i="12"/>
  <c r="F22" i="11"/>
  <c r="C26" i="11" s="1"/>
  <c r="D22" i="11" s="1"/>
  <c r="F22" i="69"/>
  <c r="C44" i="69" s="1"/>
  <c r="D41" i="69" s="1"/>
  <c r="F24" i="67"/>
  <c r="C24" i="67" s="1"/>
  <c r="F24" i="15"/>
  <c r="C24" i="15" s="1"/>
  <c r="F22" i="68"/>
  <c r="C26" i="68" s="1"/>
  <c r="D22" i="68" s="1"/>
  <c r="H26" i="6"/>
  <c r="AR6" i="1"/>
  <c r="T6" i="1"/>
  <c r="AQ6" i="1"/>
  <c r="M20" i="6"/>
  <c r="I20" i="6" s="1"/>
  <c r="S7" i="1"/>
  <c r="S16" i="1" s="1"/>
  <c r="N16" i="1"/>
  <c r="L16" i="1"/>
  <c r="M19" i="6"/>
  <c r="K27" i="6"/>
  <c r="E29" i="43"/>
  <c r="C26" i="43" s="1"/>
  <c r="B2" i="43" s="1"/>
  <c r="C30" i="43"/>
  <c r="E30" i="43" s="1"/>
  <c r="C27" i="43" s="1"/>
  <c r="E47" i="37"/>
  <c r="F47" i="37" s="1"/>
  <c r="E46" i="37"/>
  <c r="F46" i="37" s="1"/>
  <c r="E54" i="34"/>
  <c r="F54" i="34" s="1"/>
  <c r="E53" i="34"/>
  <c r="F53" i="34" s="1"/>
  <c r="I54" i="34"/>
  <c r="J54" i="34" s="1"/>
  <c r="C49" i="21"/>
  <c r="B2" i="21" s="1"/>
  <c r="C48" i="21"/>
  <c r="U7" i="35"/>
  <c r="AB7" i="35"/>
  <c r="T38" i="35" s="1"/>
  <c r="G38" i="35" s="1"/>
  <c r="C43" i="37"/>
  <c r="B2" i="37" s="1"/>
  <c r="B3" i="37" s="1"/>
  <c r="C42" i="37"/>
  <c r="I46" i="36"/>
  <c r="W7" i="35"/>
  <c r="AC7" i="35"/>
  <c r="V38" i="35" s="1"/>
  <c r="I38" i="35" s="1"/>
  <c r="G68" i="39"/>
  <c r="F70" i="39"/>
  <c r="C49" i="34"/>
  <c r="C50" i="34"/>
  <c r="B2" i="34" s="1"/>
  <c r="B3" i="34" s="1"/>
  <c r="E52" i="21"/>
  <c r="F52" i="21" s="1"/>
  <c r="E53" i="21"/>
  <c r="F53" i="21" s="1"/>
  <c r="AA7" i="35"/>
  <c r="R38" i="35" s="1"/>
  <c r="S7" i="35"/>
  <c r="J24" i="15"/>
  <c r="J26" i="15"/>
  <c r="J29" i="15" s="1"/>
  <c r="J18" i="15"/>
  <c r="C32" i="67"/>
  <c r="C38" i="67"/>
  <c r="C26" i="67"/>
  <c r="C66" i="67"/>
  <c r="C60" i="67"/>
  <c r="C26" i="12"/>
  <c r="D25" i="12" s="1"/>
  <c r="C32" i="15"/>
  <c r="C38" i="15"/>
  <c r="C60" i="15"/>
  <c r="C66" i="15"/>
  <c r="C14" i="15"/>
  <c r="E6" i="76"/>
  <c r="B6" i="76"/>
  <c r="D19" i="6" l="1"/>
  <c r="M19" i="9"/>
  <c r="C118" i="9" s="1"/>
  <c r="C14" i="74" s="1"/>
  <c r="B2" i="74" s="1"/>
  <c r="D22" i="6"/>
  <c r="D24" i="6"/>
  <c r="D6" i="6"/>
  <c r="D10" i="6"/>
  <c r="D29" i="6"/>
  <c r="H22" i="6"/>
  <c r="D25" i="6"/>
  <c r="D8" i="6"/>
  <c r="D14" i="6"/>
  <c r="D12" i="6"/>
  <c r="D13" i="6"/>
  <c r="E61" i="40"/>
  <c r="D26" i="6"/>
  <c r="R26" i="6" s="1"/>
  <c r="D15" i="6"/>
  <c r="D21" i="6"/>
  <c r="D20" i="6"/>
  <c r="D9" i="6"/>
  <c r="L19" i="9"/>
  <c r="H25" i="6"/>
  <c r="H24" i="6"/>
  <c r="C18" i="4"/>
  <c r="D23" i="6"/>
  <c r="D5" i="6"/>
  <c r="D11" i="6"/>
  <c r="D28" i="6"/>
  <c r="D30" i="6" s="1"/>
  <c r="H23" i="6"/>
  <c r="R23" i="6" s="1"/>
  <c r="C8" i="74"/>
  <c r="C7" i="74"/>
  <c r="D10" i="11"/>
  <c r="C10" i="11" s="1"/>
  <c r="D10" i="68"/>
  <c r="D20" i="12"/>
  <c r="C20" i="12" s="1"/>
  <c r="D10" i="69"/>
  <c r="I53" i="33"/>
  <c r="J53" i="33" s="1"/>
  <c r="E52" i="33"/>
  <c r="F52" i="33" s="1"/>
  <c r="E53" i="33"/>
  <c r="F53" i="33" s="1"/>
  <c r="C48" i="33"/>
  <c r="C49" i="33"/>
  <c r="J65" i="40"/>
  <c r="K63" i="40"/>
  <c r="B3" i="81"/>
  <c r="B2" i="81"/>
  <c r="C24" i="11"/>
  <c r="B3" i="21"/>
  <c r="C6" i="12" s="1"/>
  <c r="C8" i="12"/>
  <c r="C23" i="67"/>
  <c r="C29" i="67" s="1"/>
  <c r="C13" i="67" s="1"/>
  <c r="AR8" i="1"/>
  <c r="AQ8" i="1"/>
  <c r="T8" i="1"/>
  <c r="S21" i="6"/>
  <c r="H21" i="6"/>
  <c r="R21" i="6" s="1"/>
  <c r="R8" i="1" s="1"/>
  <c r="C15" i="15"/>
  <c r="C18" i="15"/>
  <c r="F34" i="11"/>
  <c r="F34" i="68"/>
  <c r="F11" i="12"/>
  <c r="C44" i="68"/>
  <c r="D41" i="68" s="1"/>
  <c r="C44" i="11"/>
  <c r="D41" i="11" s="1"/>
  <c r="C26" i="69"/>
  <c r="D22" i="69" s="1"/>
  <c r="C23" i="11"/>
  <c r="C25" i="11"/>
  <c r="AR7" i="1"/>
  <c r="AQ7" i="1"/>
  <c r="T7" i="1"/>
  <c r="S20" i="6"/>
  <c r="H20" i="6"/>
  <c r="R20" i="6" s="1"/>
  <c r="R7" i="1" s="1"/>
  <c r="F50" i="11"/>
  <c r="F50" i="69"/>
  <c r="F50" i="68"/>
  <c r="I19" i="6"/>
  <c r="M27" i="6"/>
  <c r="C19" i="68"/>
  <c r="E2" i="76"/>
  <c r="B2" i="76"/>
  <c r="E38" i="35"/>
  <c r="I43" i="35" s="1"/>
  <c r="J43" i="35" s="1"/>
  <c r="R39" i="35"/>
  <c r="H68" i="39"/>
  <c r="G70" i="39"/>
  <c r="J46" i="36"/>
  <c r="K46" i="36" s="1"/>
  <c r="L46" i="36" s="1"/>
  <c r="M46" i="36" s="1"/>
  <c r="N46" i="36" s="1"/>
  <c r="O46" i="36" s="1"/>
  <c r="F7" i="36"/>
  <c r="B3" i="43"/>
  <c r="H7" i="36"/>
  <c r="I42" i="35"/>
  <c r="J42" i="35" s="1"/>
  <c r="J7" i="36"/>
  <c r="G42" i="35"/>
  <c r="H42" i="35" s="1"/>
  <c r="G43" i="35"/>
  <c r="H43" i="35" s="1"/>
  <c r="C10" i="69" l="1"/>
  <c r="C8" i="69" s="1"/>
  <c r="C5" i="69" s="1"/>
  <c r="C23" i="69" s="1"/>
  <c r="D19" i="69"/>
  <c r="D19" i="68"/>
  <c r="D37" i="68" s="1"/>
  <c r="C37" i="68" s="1"/>
  <c r="C10" i="68"/>
  <c r="B29" i="1" s="1"/>
  <c r="D16" i="6"/>
  <c r="R24" i="6"/>
  <c r="D8" i="74"/>
  <c r="D7" i="74"/>
  <c r="A7" i="51"/>
  <c r="B7" i="72" s="1"/>
  <c r="C4" i="52"/>
  <c r="B45" i="72" s="1"/>
  <c r="A10" i="51"/>
  <c r="B9" i="72" s="1"/>
  <c r="R25" i="6"/>
  <c r="R22" i="6"/>
  <c r="D27" i="6"/>
  <c r="D31" i="6" s="1"/>
  <c r="T16" i="1"/>
  <c r="L63" i="40"/>
  <c r="K65" i="40"/>
  <c r="D2" i="79"/>
  <c r="D3" i="79" s="1"/>
  <c r="D4" i="79" s="1"/>
  <c r="D6" i="12" s="1"/>
  <c r="D8" i="12" s="1"/>
  <c r="B2" i="33"/>
  <c r="B3" i="33" s="1"/>
  <c r="C19" i="15"/>
  <c r="C20" i="15" s="1"/>
  <c r="C23" i="15" s="1"/>
  <c r="C14" i="12"/>
  <c r="C16" i="12" s="1"/>
  <c r="C36" i="11"/>
  <c r="C37" i="11"/>
  <c r="C34" i="11"/>
  <c r="C36" i="68"/>
  <c r="C34" i="68"/>
  <c r="C22" i="11"/>
  <c r="C31" i="11" s="1"/>
  <c r="J59" i="67"/>
  <c r="J60" i="67" s="1"/>
  <c r="L46" i="67" s="1"/>
  <c r="C33" i="67"/>
  <c r="C31" i="67" s="1"/>
  <c r="J14" i="67"/>
  <c r="J22" i="67" s="1"/>
  <c r="J19" i="67"/>
  <c r="J17" i="67" s="1"/>
  <c r="Q49" i="67"/>
  <c r="C57" i="67"/>
  <c r="C64" i="67" s="1"/>
  <c r="C36" i="67"/>
  <c r="H19" i="6"/>
  <c r="S19" i="6"/>
  <c r="S27" i="6" s="1"/>
  <c r="I27" i="6"/>
  <c r="C24" i="68"/>
  <c r="B3" i="76"/>
  <c r="AB7" i="36"/>
  <c r="T36" i="36" s="1"/>
  <c r="G36" i="36" s="1"/>
  <c r="U7" i="36"/>
  <c r="AA7" i="36"/>
  <c r="R36" i="36" s="1"/>
  <c r="S7" i="36"/>
  <c r="C39" i="35"/>
  <c r="B2" i="35" s="1"/>
  <c r="E8" i="12" s="1"/>
  <c r="C38" i="35"/>
  <c r="AC7" i="36"/>
  <c r="V36" i="36" s="1"/>
  <c r="I36" i="36" s="1"/>
  <c r="W7" i="36"/>
  <c r="J59" i="15"/>
  <c r="J60" i="15" s="1"/>
  <c r="Q48" i="15" s="1"/>
  <c r="I68" i="39"/>
  <c r="H70" i="39"/>
  <c r="E43" i="35"/>
  <c r="F43" i="35" s="1"/>
  <c r="E42" i="35"/>
  <c r="F42" i="35" s="1"/>
  <c r="C61" i="67"/>
  <c r="C59" i="67" s="1"/>
  <c r="C75" i="67"/>
  <c r="Q70" i="67"/>
  <c r="C37" i="67"/>
  <c r="C56" i="67"/>
  <c r="C65" i="67" s="1"/>
  <c r="I6" i="6" l="1"/>
  <c r="I5" i="6"/>
  <c r="C8" i="68"/>
  <c r="C18" i="12"/>
  <c r="C21" i="12" s="1"/>
  <c r="C22" i="12" s="1"/>
  <c r="C19" i="69"/>
  <c r="D37" i="69"/>
  <c r="C37" i="69" s="1"/>
  <c r="C33" i="69" s="1"/>
  <c r="L65" i="40"/>
  <c r="M63" i="40"/>
  <c r="B3" i="35"/>
  <c r="E6" i="12" s="1"/>
  <c r="C4" i="12"/>
  <c r="C26" i="15"/>
  <c r="C29" i="15" s="1"/>
  <c r="J13" i="67"/>
  <c r="J23" i="67" s="1"/>
  <c r="J16" i="67" s="1"/>
  <c r="J25" i="67" s="1"/>
  <c r="Q48" i="67"/>
  <c r="C35" i="68"/>
  <c r="C38" i="68"/>
  <c r="C38" i="11"/>
  <c r="C35" i="11"/>
  <c r="C30" i="67"/>
  <c r="C39" i="67" s="1"/>
  <c r="Q69" i="67" s="1"/>
  <c r="Q68" i="67" s="1"/>
  <c r="H27" i="6"/>
  <c r="R19" i="6"/>
  <c r="J68" i="39"/>
  <c r="I70" i="39"/>
  <c r="E36" i="36"/>
  <c r="R37" i="36"/>
  <c r="G40" i="36"/>
  <c r="H40" i="36" s="1"/>
  <c r="G41" i="36"/>
  <c r="H41" i="36" s="1"/>
  <c r="I41" i="36"/>
  <c r="J41" i="36" s="1"/>
  <c r="I40" i="36"/>
  <c r="J40" i="36" s="1"/>
  <c r="C58" i="67"/>
  <c r="C67" i="67" s="1"/>
  <c r="C68" i="67" s="1"/>
  <c r="C71" i="67" s="1"/>
  <c r="L51" i="67"/>
  <c r="C20" i="69" l="1"/>
  <c r="C28" i="69" s="1"/>
  <c r="C27" i="69" s="1"/>
  <c r="C24" i="69"/>
  <c r="C42" i="69"/>
  <c r="C39" i="69"/>
  <c r="N63" i="40"/>
  <c r="M65" i="40"/>
  <c r="C31" i="12"/>
  <c r="C23" i="12"/>
  <c r="C30" i="12" s="1"/>
  <c r="C28" i="12" s="1"/>
  <c r="C33" i="68"/>
  <c r="C42" i="68" s="1"/>
  <c r="Q49" i="15"/>
  <c r="C36" i="15"/>
  <c r="J14" i="15"/>
  <c r="J19" i="15"/>
  <c r="C13" i="15"/>
  <c r="C57" i="15"/>
  <c r="C33" i="15"/>
  <c r="C33" i="11"/>
  <c r="C40" i="67"/>
  <c r="C43" i="67" s="1"/>
  <c r="C80" i="67"/>
  <c r="C79" i="67" s="1"/>
  <c r="R27" i="6"/>
  <c r="R6" i="1"/>
  <c r="C37" i="36"/>
  <c r="B2" i="36" s="1"/>
  <c r="B3" i="36" s="1"/>
  <c r="C36" i="36"/>
  <c r="K68" i="39"/>
  <c r="J70" i="39"/>
  <c r="E40" i="36"/>
  <c r="F40" i="36" s="1"/>
  <c r="E41" i="36"/>
  <c r="F41" i="36" s="1"/>
  <c r="Q67" i="67"/>
  <c r="L57" i="67"/>
  <c r="L60" i="67" s="1"/>
  <c r="F35" i="15"/>
  <c r="M21" i="15"/>
  <c r="C46" i="69" l="1"/>
  <c r="C45" i="69" s="1"/>
  <c r="C43" i="69"/>
  <c r="C41" i="69" s="1"/>
  <c r="C49" i="69" s="1"/>
  <c r="C51" i="69" s="1"/>
  <c r="C25" i="69"/>
  <c r="C22" i="69" s="1"/>
  <c r="C31" i="69" s="1"/>
  <c r="Q65" i="67"/>
  <c r="O63" i="40"/>
  <c r="O65" i="40" s="1"/>
  <c r="N65" i="40"/>
  <c r="H7" i="40" s="1"/>
  <c r="C27" i="12"/>
  <c r="C25" i="12" s="1"/>
  <c r="C32" i="12" s="1"/>
  <c r="B2" i="12" s="1"/>
  <c r="B3" i="12" s="1"/>
  <c r="C83" i="67"/>
  <c r="C82" i="67" s="1"/>
  <c r="Q56" i="67"/>
  <c r="C39" i="68"/>
  <c r="C43" i="68" s="1"/>
  <c r="C41" i="68" s="1"/>
  <c r="C39" i="11"/>
  <c r="C42" i="11"/>
  <c r="C64" i="15"/>
  <c r="C61" i="15"/>
  <c r="Q70" i="15"/>
  <c r="C37" i="15"/>
  <c r="C75" i="15"/>
  <c r="C56" i="15"/>
  <c r="C65" i="15" s="1"/>
  <c r="J13" i="15"/>
  <c r="J23" i="15" s="1"/>
  <c r="J22" i="15"/>
  <c r="C45" i="67"/>
  <c r="C46" i="67" s="1"/>
  <c r="F63" i="15"/>
  <c r="C62" i="15" s="1"/>
  <c r="C34" i="15"/>
  <c r="C31" i="15" s="1"/>
  <c r="J20" i="15"/>
  <c r="J17" i="15" s="1"/>
  <c r="R16" i="1"/>
  <c r="Q47" i="67"/>
  <c r="Q53" i="67" s="1"/>
  <c r="D2" i="67"/>
  <c r="B3" i="67" s="1"/>
  <c r="L68" i="39"/>
  <c r="K70" i="39"/>
  <c r="Q66" i="67"/>
  <c r="Q57" i="67"/>
  <c r="D19" i="9"/>
  <c r="D20" i="9"/>
  <c r="C52" i="69" l="1"/>
  <c r="B2" i="69"/>
  <c r="B3" i="69" s="1"/>
  <c r="C57" i="69"/>
  <c r="C56" i="69" s="1"/>
  <c r="Q75" i="67"/>
  <c r="F7" i="40"/>
  <c r="AB7" i="40"/>
  <c r="T42" i="40" s="1"/>
  <c r="G42" i="40" s="1"/>
  <c r="G46" i="40" s="1"/>
  <c r="H46" i="40" s="1"/>
  <c r="U7" i="40"/>
  <c r="J7" i="40"/>
  <c r="C59" i="15"/>
  <c r="C58" i="15" s="1"/>
  <c r="C67" i="15" s="1"/>
  <c r="C68" i="15" s="1"/>
  <c r="C71" i="15" s="1"/>
  <c r="B2" i="67"/>
  <c r="D21" i="9"/>
  <c r="D102" i="9"/>
  <c r="Q62" i="67"/>
  <c r="J16" i="15"/>
  <c r="J25" i="15" s="1"/>
  <c r="D103" i="9"/>
  <c r="C30" i="15"/>
  <c r="C39" i="15" s="1"/>
  <c r="C40" i="15" s="1"/>
  <c r="C46" i="68"/>
  <c r="C45" i="68" s="1"/>
  <c r="C49" i="68" s="1"/>
  <c r="C51" i="68" s="1"/>
  <c r="C46" i="11"/>
  <c r="C45" i="11" s="1"/>
  <c r="C43" i="11"/>
  <c r="C41" i="11" s="1"/>
  <c r="L57" i="15"/>
  <c r="L60" i="15" s="1"/>
  <c r="M68" i="39"/>
  <c r="L70" i="39"/>
  <c r="AC7" i="40" l="1"/>
  <c r="V42" i="40" s="1"/>
  <c r="I42" i="40" s="1"/>
  <c r="W7" i="40"/>
  <c r="AA7" i="40"/>
  <c r="R42" i="40" s="1"/>
  <c r="S7" i="40"/>
  <c r="C46" i="15"/>
  <c r="Q69" i="15"/>
  <c r="Q68" i="15" s="1"/>
  <c r="C49" i="11"/>
  <c r="C51" i="11" s="1"/>
  <c r="C52" i="11" s="1"/>
  <c r="B2" i="11" s="1"/>
  <c r="B3" i="11" s="1"/>
  <c r="C80" i="15"/>
  <c r="C79" i="15" s="1"/>
  <c r="Q65" i="15"/>
  <c r="Q56" i="15"/>
  <c r="C83" i="15"/>
  <c r="C82" i="15" s="1"/>
  <c r="C43" i="15"/>
  <c r="Q47" i="15"/>
  <c r="Q53" i="15" s="1"/>
  <c r="L46" i="15"/>
  <c r="B2" i="15" s="1"/>
  <c r="Q66" i="15"/>
  <c r="Q75" i="15" s="1"/>
  <c r="Q57" i="15"/>
  <c r="Q62" i="15" s="1"/>
  <c r="N68" i="39"/>
  <c r="M70" i="39"/>
  <c r="L51" i="15"/>
  <c r="AO6" i="1"/>
  <c r="Q67" i="15" l="1"/>
  <c r="R43" i="40"/>
  <c r="E42" i="40"/>
  <c r="G47" i="40"/>
  <c r="H47" i="40" s="1"/>
  <c r="I47" i="40"/>
  <c r="J47" i="40" s="1"/>
  <c r="I46" i="40"/>
  <c r="J46" i="40" s="1"/>
  <c r="C56" i="11"/>
  <c r="C57" i="11" s="1"/>
  <c r="B6" i="70"/>
  <c r="B2" i="70" s="1"/>
  <c r="B3" i="70" s="1"/>
  <c r="B3" i="15"/>
  <c r="O68" i="39"/>
  <c r="O70" i="39" s="1"/>
  <c r="N70" i="39"/>
  <c r="E46" i="40" l="1"/>
  <c r="F46" i="40" s="1"/>
  <c r="E47" i="40"/>
  <c r="F47" i="40" s="1"/>
  <c r="C43" i="40"/>
  <c r="C42" i="40"/>
  <c r="F16" i="74"/>
  <c r="E16" i="74"/>
  <c r="H7" i="39"/>
  <c r="F7" i="39"/>
  <c r="J7" i="39"/>
  <c r="B58" i="40" l="1"/>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AC7" i="39"/>
  <c r="V47" i="39" s="1"/>
  <c r="I47" i="39" s="1"/>
  <c r="W7" i="39"/>
  <c r="S7" i="39"/>
  <c r="AA7" i="39"/>
  <c r="R47" i="39" s="1"/>
  <c r="AB7" i="39"/>
  <c r="T47" i="39" s="1"/>
  <c r="G47" i="39" s="1"/>
  <c r="U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5" i="68" s="1"/>
  <c r="C28" i="68" l="1"/>
  <c r="C27" i="68" s="1"/>
  <c r="C22" i="68"/>
  <c r="C31" i="68" l="1"/>
  <c r="C52" i="68" s="1"/>
  <c r="B2" i="68" s="1"/>
  <c r="C19" i="9"/>
  <c r="C57" i="68" l="1"/>
  <c r="C56" i="68" s="1"/>
  <c r="D22" i="9"/>
  <c r="G19" i="9"/>
  <c r="J19" i="9" s="1"/>
  <c r="C102" i="9"/>
  <c r="C21" i="9"/>
  <c r="B3" i="68"/>
  <c r="D34" i="9"/>
  <c r="C20" i="9"/>
  <c r="D35" i="9"/>
  <c r="C103" i="9" l="1"/>
  <c r="G20" i="9"/>
  <c r="C32" i="9"/>
  <c r="G21" i="9"/>
  <c r="H118" i="9" l="1"/>
  <c r="C35" i="9"/>
  <c r="F118" i="9" s="1"/>
  <c r="F119" i="9" l="1"/>
  <c r="F5" i="52" s="1"/>
  <c r="B53" i="72" s="1"/>
  <c r="G118" i="9"/>
  <c r="G4" i="52" s="1"/>
  <c r="B52" i="72" s="1"/>
  <c r="F4" i="52"/>
  <c r="B51" i="72" s="1"/>
  <c r="C34" i="9"/>
  <c r="D118" i="9" s="1"/>
  <c r="H4" i="52"/>
  <c r="H101" i="9"/>
  <c r="C104" i="9"/>
  <c r="I118" i="9"/>
  <c r="D14" i="74"/>
  <c r="H119" i="9"/>
  <c r="H5" i="52" s="1"/>
  <c r="H102" i="9" l="1"/>
  <c r="D7" i="53" s="1"/>
  <c r="B21" i="72" s="1"/>
  <c r="C105" i="9"/>
  <c r="I4" i="52"/>
  <c r="E118" i="9"/>
  <c r="E4" i="52" s="1"/>
  <c r="B48" i="72" s="1"/>
  <c r="D4" i="52"/>
  <c r="B47" i="72" s="1"/>
  <c r="D119" i="9"/>
  <c r="D5" i="52" s="1"/>
  <c r="B49" i="72" s="1"/>
  <c r="D5" i="53"/>
  <c r="H107" i="9"/>
  <c r="M48" i="9"/>
  <c r="D45" i="9"/>
  <c r="E14" i="74"/>
  <c r="F14" i="74"/>
  <c r="D55" i="9" l="1"/>
  <c r="M53" i="9" s="1"/>
  <c r="C85" i="9"/>
  <c r="C72" i="9"/>
  <c r="D52" i="9"/>
  <c r="D53" i="9"/>
  <c r="C93" i="9"/>
  <c r="C86" i="9" s="1"/>
  <c r="C78" i="9"/>
  <c r="C73" i="9" s="1"/>
  <c r="C64" i="9"/>
  <c r="C63" i="9" s="1"/>
  <c r="C67" i="9" s="1"/>
  <c r="C68" i="9" s="1"/>
  <c r="D54" i="9" s="1"/>
  <c r="M49" i="9"/>
  <c r="D13" i="53"/>
  <c r="D122" i="9"/>
  <c r="H108" i="9"/>
  <c r="D15" i="53" s="1"/>
  <c r="B31" i="72" s="1"/>
  <c r="D6" i="53"/>
  <c r="B22" i="72" s="1"/>
  <c r="B20" i="72"/>
  <c r="B30" i="72" l="1"/>
  <c r="D14" i="53"/>
  <c r="B32" i="72" s="1"/>
  <c r="C95" i="9"/>
  <c r="D123" i="9"/>
  <c r="D9" i="52" s="1"/>
  <c r="D8" i="52"/>
  <c r="G14" i="74"/>
  <c r="L63" i="9"/>
  <c r="M63" i="9" s="1"/>
  <c r="L67" i="9"/>
  <c r="M67" i="9" s="1"/>
  <c r="L68" i="9"/>
  <c r="M68" i="9" s="1"/>
  <c r="L64" i="9"/>
  <c r="M64" i="9" s="1"/>
  <c r="L65" i="9"/>
  <c r="M65" i="9" s="1"/>
  <c r="L66" i="9"/>
  <c r="M66" i="9" s="1"/>
  <c r="C79" i="9"/>
  <c r="C80" i="9" l="1"/>
  <c r="E80" i="9" s="1"/>
  <c r="E81" i="9" s="1"/>
  <c r="M69" i="9"/>
  <c r="N69" i="9" s="1"/>
  <c r="C96" i="9"/>
  <c r="E96" i="9" s="1"/>
  <c r="E97" i="9" s="1"/>
  <c r="C97" i="9" l="1"/>
  <c r="D58" i="9" s="1"/>
  <c r="D56" i="9" s="1"/>
  <c r="M54" i="9" s="1"/>
  <c r="N57" i="9" s="1"/>
  <c r="N58" i="9" s="1"/>
  <c r="C81" i="9"/>
  <c r="N59" i="9" l="1"/>
  <c r="N60" i="9" s="1"/>
  <c r="P57" i="9"/>
  <c r="N61" i="9" l="1"/>
  <c r="J21" i="9" l="1"/>
  <c r="E15" i="74" l="1"/>
  <c r="F15" i="74"/>
  <c r="B5" i="74"/>
  <c r="C5" i="74" l="1"/>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<sst xmlns="http://schemas.openxmlformats.org/spreadsheetml/2006/main" count="8047" uniqueCount="3275">
  <si>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</si>
  <si>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</si>
  <si>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</si>
  <si>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</si>
  <si>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</si>
  <si>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</si>
  <si>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</si>
  <si>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</si>
  <si>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</si>
  <si>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</si>
  <si>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</si>
  <si>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</si>
  <si>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</si>
  <si>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</si>
  <si>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</si>
  <si>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</si>
  <si>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</si>
  <si>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</si>
  <si>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</si>
  <si>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</si>
  <si>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</si>
  <si>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</si>
  <si>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</si>
  <si>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</si>
  <si>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</si>
  <si>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</si>
  <si>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</si>
  <si>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</si>
  <si>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</si>
  <si>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</si>
  <si>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</si>
  <si>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</si>
  <si>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</si>
  <si>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</si>
  <si>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</si>
  <si>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</si>
  <si>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</si>
  <si>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</si>
  <si>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</si>
  <si>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</si>
  <si>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</si>
  <si>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</si>
  <si>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</si>
  <si>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</si>
  <si>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</si>
  <si>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</si>
  <si>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</si>
  <si>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</si>
  <si>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</si>
  <si>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</si>
  <si>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</si>
  <si>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</si>
  <si>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</si>
  <si>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</si>
  <si>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</si>
  <si>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</si>
  <si>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</si>
  <si>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</si>
  <si>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</si>
  <si>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</si>
  <si>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</si>
  <si>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</si>
  <si>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</si>
  <si>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</si>
  <si>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</si>
  <si>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</si>
  <si>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</si>
  <si>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</si>
  <si>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</si>
  <si>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</si>
  <si>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</si>
  <si>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</si>
  <si>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</si>
  <si>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</si>
  <si>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</si>
  <si>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</si>
  <si>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</si>
  <si>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</si>
  <si>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</si>
  <si>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</si>
  <si>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</si>
  <si>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</si>
  <si>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</si>
  <si>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</si>
  <si>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</si>
  <si>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</si>
  <si>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</si>
  <si>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</si>
  <si>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</si>
  <si>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</si>
  <si>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</si>
  <si>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</si>
  <si>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</si>
  <si>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</si>
  <si>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</si>
  <si>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</si>
  <si>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</si>
  <si>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</si>
  <si>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</si>
  <si>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</si>
  <si>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</si>
  <si>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</si>
  <si>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</si>
  <si>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</si>
  <si>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</si>
  <si>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</si>
  <si>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</si>
  <si>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</si>
  <si>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</si>
  <si>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</si>
  <si>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</si>
  <si>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</si>
  <si>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</si>
  <si>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</si>
  <si>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</si>
  <si>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</si>
  <si>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</si>
  <si>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</si>
  <si>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</si>
  <si>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</si>
  <si>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</si>
  <si>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</si>
  <si>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</si>
  <si>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</si>
  <si>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</si>
  <si>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</si>
  <si>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</si>
  <si>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</si>
  <si>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</si>
  <si>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</si>
  <si>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</si>
  <si>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</si>
  <si>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</si>
  <si>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</si>
  <si>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</si>
  <si>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</si>
  <si>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</si>
  <si>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</si>
  <si>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</si>
  <si>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</si>
  <si>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</si>
  <si>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</si>
  <si>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</si>
  <si>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</si>
  <si>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</si>
  <si>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</si>
  <si>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</si>
  <si>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</si>
  <si>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</si>
  <si>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</si>
  <si>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</si>
  <si>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</si>
  <si>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</si>
  <si>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</si>
  <si>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</si>
  <si>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</si>
  <si>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</si>
  <si>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</si>
  <si>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</si>
  <si>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</si>
  <si>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</si>
  <si>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</si>
  <si>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</si>
  <si>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</si>
  <si>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</si>
  <si>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</si>
  <si>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</si>
  <si>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</si>
  <si>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</si>
  <si>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</si>
  <si>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</si>
  <si>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</si>
  <si>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</si>
  <si>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</si>
  <si>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</si>
  <si>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</si>
  <si>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</si>
  <si>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</si>
  <si>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</si>
  <si>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</si>
  <si>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</si>
  <si>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</si>
  <si>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</si>
  <si>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</si>
  <si>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</si>
  <si>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</si>
  <si>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</si>
  <si>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</si>
  <si>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</si>
  <si>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</si>
  <si>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</si>
  <si>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</si>
  <si>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</si>
  <si>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</si>
  <si>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</si>
  <si>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</si>
  <si>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</si>
  <si>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</si>
  <si>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</si>
  <si>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</si>
  <si>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</si>
  <si>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</si>
  <si>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</si>
  <si>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</si>
  <si>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</si>
  <si>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</si>
  <si>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</si>
  <si>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</si>
  <si>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</si>
  <si>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</si>
  <si>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</si>
  <si>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</si>
  <si>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</si>
  <si>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</si>
  <si>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</si>
  <si>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</si>
  <si>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</si>
  <si>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</si>
  <si>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</si>
  <si>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</si>
  <si>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</si>
  <si>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</si>
  <si>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</si>
  <si>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</si>
  <si>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</si>
  <si>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</si>
  <si>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</si>
  <si>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</si>
  <si>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</si>
  <si>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</si>
  <si>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</si>
  <si>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</si>
  <si>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</si>
  <si>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</si>
  <si>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</si>
  <si>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</si>
  <si>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</si>
  <si>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</si>
  <si>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</si>
  <si>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</si>
  <si>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</si>
  <si>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</si>
  <si>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</si>
  <si>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</si>
  <si>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</si>
  <si>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</si>
  <si>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</si>
  <si>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</si>
  <si>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</si>
  <si>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</si>
  <si>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</si>
  <si>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</si>
  <si>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</si>
  <si>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</si>
  <si>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</si>
  <si>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</si>
  <si>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</si>
  <si>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</si>
  <si>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</si>
  <si>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</si>
  <si>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</si>
  <si>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</si>
  <si>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</si>
  <si>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</si>
  <si>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</si>
  <si>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</si>
  <si>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</si>
  <si>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</si>
  <si>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</si>
  <si>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</si>
  <si>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</si>
  <si>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</si>
  <si>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</si>
  <si>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</si>
  <si>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</si>
  <si>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</si>
  <si>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</si>
  <si>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</si>
  <si>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</si>
  <si>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</si>
  <si>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</si>
  <si>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</si>
  <si>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</si>
  <si>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</si>
  <si>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</si>
  <si>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</si>
  <si>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</si>
  <si>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</si>
  <si>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</si>
  <si>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</si>
  <si>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</si>
  <si>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</si>
  <si>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</si>
  <si>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</si>
  <si>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</si>
  <si>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</si>
  <si>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</si>
  <si>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</si>
  <si>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</si>
  <si>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</si>
  <si>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</si>
  <si>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</si>
  <si>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</si>
  <si>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</si>
  <si>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</si>
  <si>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</si>
  <si>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</si>
  <si>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</si>
  <si>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</si>
  <si>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</si>
  <si>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</si>
  <si>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</si>
  <si>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</si>
  <si>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</si>
  <si>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</si>
  <si>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</si>
  <si>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</si>
  <si>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</si>
  <si>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</si>
  <si>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</si>
  <si>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</si>
  <si>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</si>
  <si>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</si>
  <si>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</si>
  <si>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</si>
  <si>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</si>
  <si>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</si>
  <si>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</si>
  <si>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</si>
  <si>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</si>
  <si>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</si>
  <si>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</si>
  <si>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</si>
  <si>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</si>
  <si>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</si>
  <si>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</si>
  <si>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</si>
  <si>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</si>
  <si>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</si>
  <si>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</si>
  <si>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</si>
  <si>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</si>
  <si>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</si>
  <si>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</si>
  <si>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</si>
  <si>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</si>
  <si>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</si>
  <si>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</si>
  <si>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</si>
  <si>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</si>
  <si>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</si>
  <si>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</si>
  <si>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</si>
  <si>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</si>
  <si>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</si>
  <si>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</si>
  <si>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</si>
  <si>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</si>
  <si>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</si>
  <si>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</si>
  <si>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</si>
  <si>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</si>
  <si>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</si>
  <si>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</si>
  <si>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</si>
  <si>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</si>
  <si>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</si>
  <si>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</si>
  <si>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</si>
  <si>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</si>
  <si>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</si>
  <si>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</si>
  <si>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</si>
  <si>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</si>
  <si>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</si>
  <si>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</si>
  <si>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</si>
  <si>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</si>
  <si>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</si>
  <si>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</si>
  <si>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</si>
  <si>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</si>
  <si>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</si>
  <si>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</si>
  <si>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</si>
  <si>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</si>
  <si>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</si>
  <si>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</si>
  <si>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</si>
  <si>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</si>
  <si>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</si>
  <si>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</si>
  <si>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</si>
  <si>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</si>
  <si>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</si>
  <si>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</si>
  <si>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</si>
  <si>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</si>
  <si>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</si>
  <si>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</si>
  <si>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</si>
  <si>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</si>
  <si>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</si>
  <si>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</si>
  <si>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</si>
  <si>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</si>
  <si>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</si>
  <si>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</si>
  <si>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</si>
  <si>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</si>
  <si>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</si>
  <si>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</si>
  <si>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</si>
  <si>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</si>
  <si>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</si>
  <si>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</si>
  <si>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</si>
  <si>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</si>
  <si>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</si>
  <si>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</si>
  <si>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</si>
  <si>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</si>
  <si>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</si>
  <si>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</si>
  <si>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</si>
  <si>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</si>
  <si>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</si>
  <si>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</si>
  <si>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</si>
  <si>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</si>
  <si>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</si>
  <si>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</si>
  <si>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</si>
  <si>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</si>
  <si>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</si>
  <si>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</si>
  <si>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</si>
  <si>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</si>
  <si>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</si>
  <si>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</si>
  <si>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</si>
  <si>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</si>
  <si>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</si>
  <si>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</si>
  <si>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</si>
  <si>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</si>
  <si>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</si>
  <si>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</si>
  <si>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</si>
  <si>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</si>
  <si>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</si>
  <si>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</si>
  <si>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</si>
  <si>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</si>
  <si>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</si>
  <si>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</si>
  <si>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</si>
  <si>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</si>
  <si>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</si>
  <si>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</si>
  <si>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</si>
  <si>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</si>
  <si>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</si>
  <si>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</si>
  <si>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</si>
  <si>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</si>
  <si>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</si>
  <si>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</si>
  <si>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</si>
  <si>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</si>
  <si>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</si>
  <si>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</si>
  <si>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</si>
  <si>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</si>
  <si>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</si>
  <si>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</si>
  <si>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</si>
  <si>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</si>
  <si>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</si>
  <si>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</si>
  <si>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</si>
  <si>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</si>
  <si>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</si>
  <si>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</si>
  <si>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</si>
  <si>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</si>
  <si>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</si>
  <si>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</si>
  <si>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</si>
  <si>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</si>
  <si>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</si>
  <si>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</si>
  <si>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</si>
  <si>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</si>
  <si>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</si>
  <si>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</si>
  <si>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</si>
  <si>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</si>
  <si>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</si>
  <si>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</si>
  <si>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</si>
  <si>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</si>
  <si>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</si>
  <si>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</si>
  <si>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</si>
  <si>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</si>
  <si>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</si>
  <si>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</si>
  <si>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</si>
  <si>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</si>
  <si>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</si>
  <si>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</si>
  <si>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</si>
  <si>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</si>
  <si>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</si>
  <si>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</si>
  <si>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</si>
  <si>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</si>
  <si>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</si>
  <si>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</si>
  <si>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</si>
  <si>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</si>
  <si>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</si>
  <si>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</si>
  <si>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</si>
  <si>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</si>
  <si>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</si>
  <si>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</si>
  <si>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</si>
  <si>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</si>
  <si>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</si>
  <si>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</si>
  <si>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</si>
  <si>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</si>
  <si>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</si>
  <si>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</si>
  <si>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</si>
  <si>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</si>
  <si>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</si>
  <si>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</si>
  <si>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</si>
  <si>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</si>
  <si>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</si>
  <si>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</si>
  <si>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</si>
  <si>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</si>
  <si>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</si>
  <si>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</si>
  <si>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</si>
  <si>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</si>
  <si>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</si>
  <si>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</si>
  <si>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</si>
  <si>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</si>
  <si>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</si>
  <si>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</si>
  <si>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</si>
  <si>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</si>
  <si>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</si>
  <si>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</si>
  <si>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</si>
  <si>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</si>
  <si>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</si>
  <si>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</si>
  <si>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</si>
  <si>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</si>
  <si>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</si>
  <si>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</si>
  <si>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</si>
  <si>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</si>
  <si>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</si>
  <si>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</si>
  <si>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</si>
  <si>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</si>
  <si>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</si>
  <si>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</si>
  <si>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</si>
  <si>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</si>
  <si>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</si>
  <si>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</si>
  <si>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</si>
  <si>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</si>
  <si>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</si>
  <si>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</si>
  <si>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</si>
  <si>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</si>
  <si>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</si>
  <si>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</si>
  <si>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</si>
  <si>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</si>
  <si>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</si>
  <si>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</si>
  <si>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</si>
  <si>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</si>
  <si>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</si>
  <si>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</si>
  <si>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</si>
  <si>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</si>
  <si>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</si>
  <si>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</si>
  <si>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</si>
  <si>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</si>
  <si>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</si>
  <si>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</si>
  <si>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</si>
  <si>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</si>
  <si>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</si>
  <si>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</si>
  <si>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</si>
  <si>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</si>
  <si>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</si>
  <si>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</si>
  <si>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</si>
  <si>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</si>
  <si>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</si>
  <si>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</si>
  <si>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</si>
  <si>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</si>
  <si>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</si>
  <si>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</si>
  <si>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</si>
  <si>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</si>
  <si>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</si>
  <si>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</si>
  <si>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</si>
  <si>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</si>
  <si>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</si>
  <si>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</si>
  <si>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</si>
  <si>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</si>
  <si>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</si>
  <si>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</si>
  <si>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</si>
  <si>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</si>
  <si>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</si>
  <si>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</si>
  <si>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</si>
  <si>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</si>
  <si>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</si>
  <si>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</si>
  <si>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</si>
  <si>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</si>
  <si>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</si>
  <si>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</si>
  <si>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</si>
  <si>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</si>
  <si>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</si>
  <si>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</si>
  <si>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</si>
  <si>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</si>
  <si>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</si>
  <si>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</si>
  <si>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</si>
  <si>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</si>
  <si>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</si>
  <si>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</si>
  <si>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</si>
  <si>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</si>
  <si>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</si>
  <si>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</si>
  <si>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</si>
  <si>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</si>
  <si>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</si>
  <si>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</si>
  <si>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</si>
  <si>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</si>
  <si>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</si>
  <si>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</si>
  <si>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</si>
  <si>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</si>
  <si>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</si>
  <si>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</si>
  <si>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</si>
  <si>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</si>
  <si>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</si>
  <si>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</si>
  <si>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</si>
  <si>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</si>
  <si>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</si>
  <si>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</si>
  <si>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</si>
  <si>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</si>
  <si>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</si>
  <si>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</si>
  <si>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</si>
  <si>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</si>
  <si>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</si>
  <si>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</si>
  <si>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</si>
  <si>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</si>
  <si>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</si>
  <si>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</si>
  <si>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</si>
  <si>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</si>
  <si>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</si>
  <si>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</si>
  <si>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</si>
  <si>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</si>
  <si>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</si>
  <si>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</si>
  <si>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</si>
  <si>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</si>
  <si>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</si>
  <si>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</si>
  <si>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</si>
  <si>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</si>
  <si>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</si>
  <si>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</si>
  <si>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</si>
  <si>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</si>
  <si>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</si>
  <si>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</si>
  <si>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</si>
  <si>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</si>
  <si>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</si>
  <si>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</si>
  <si>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</si>
  <si>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</si>
  <si>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</si>
  <si>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</si>
  <si>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</si>
  <si>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</si>
  <si>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</si>
  <si>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</si>
  <si>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</si>
  <si>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</si>
  <si>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</si>
  <si>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</si>
  <si>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</si>
  <si>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</si>
  <si>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</si>
  <si>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</si>
  <si>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</si>
  <si>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</si>
  <si>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</si>
  <si>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</si>
  <si>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</si>
  <si>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</si>
  <si>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</si>
  <si>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</si>
  <si>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</si>
  <si>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</si>
  <si>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</si>
  <si>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</si>
  <si>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</si>
  <si>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</si>
  <si>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</si>
  <si>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</si>
  <si>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</si>
  <si>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</si>
  <si>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</si>
  <si>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</si>
  <si>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</si>
  <si>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</si>
  <si>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</si>
  <si>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</si>
  <si>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</si>
  <si>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</si>
  <si>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</si>
  <si>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</si>
  <si>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</si>
  <si>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</si>
  <si>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</si>
  <si>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</si>
  <si>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</si>
  <si>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</si>
  <si>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</si>
  <si>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</si>
  <si>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</si>
  <si>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</si>
  <si>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</si>
  <si>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</si>
  <si>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</si>
  <si>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</si>
  <si>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</si>
  <si>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</si>
  <si>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</si>
  <si>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</si>
  <si>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</si>
  <si>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</si>
  <si>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</si>
  <si>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</si>
  <si>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</si>
  <si>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</si>
  <si>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</si>
  <si>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</si>
  <si>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</si>
  <si>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</si>
  <si>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</si>
  <si>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</si>
  <si>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</si>
  <si>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</si>
  <si>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</si>
  <si>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</si>
  <si>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</si>
  <si>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</si>
  <si>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</si>
  <si>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</si>
  <si>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</si>
  <si>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</si>
  <si>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</si>
  <si>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</si>
  <si>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</si>
  <si>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</si>
  <si>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</si>
  <si>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</si>
  <si>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</si>
  <si>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</si>
  <si>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</si>
  <si>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</si>
  <si>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</si>
  <si>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</si>
  <si>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</si>
  <si>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</si>
  <si>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</si>
  <si>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</si>
  <si>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</si>
  <si>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</si>
  <si>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</si>
  <si>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</si>
  <si>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</si>
  <si>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</si>
  <si>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</si>
  <si>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</si>
  <si>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</si>
  <si>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</si>
  <si>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</si>
  <si>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</si>
  <si>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</si>
  <si>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</si>
  <si>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</si>
  <si>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</si>
  <si>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</si>
  <si>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</si>
  <si>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</si>
  <si>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</si>
  <si>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</si>
  <si>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</si>
  <si>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</si>
  <si>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</si>
  <si>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</si>
  <si>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</si>
  <si>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</si>
  <si>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</si>
  <si>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</si>
  <si>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</si>
  <si>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</si>
  <si>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</si>
  <si>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</si>
  <si>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</si>
  <si>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</si>
  <si>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</si>
  <si>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</si>
  <si>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</si>
  <si>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</si>
  <si>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</si>
  <si>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</si>
  <si>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</si>
  <si>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</si>
  <si>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</si>
  <si>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</si>
  <si>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</si>
  <si>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</si>
  <si>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</si>
  <si>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</si>
  <si>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</si>
  <si>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</si>
  <si>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</si>
  <si>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</si>
  <si>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</si>
  <si>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</si>
  <si>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</si>
  <si>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</si>
  <si>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</si>
  <si>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</si>
  <si>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</si>
  <si>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</si>
  <si>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</si>
  <si>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</si>
  <si>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</si>
  <si>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</si>
  <si>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</si>
  <si>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</si>
  <si>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</si>
  <si>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</si>
  <si>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</si>
  <si>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</si>
  <si>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</si>
  <si>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</si>
  <si>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</si>
  <si>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</si>
  <si>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</si>
  <si>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</si>
  <si>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</si>
  <si>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</si>
  <si>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</si>
  <si>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</si>
  <si>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</si>
  <si>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</si>
  <si>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</si>
  <si>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</si>
  <si>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</si>
  <si>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</si>
  <si>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</si>
  <si>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</si>
  <si>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</si>
  <si>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</si>
  <si>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</si>
  <si>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</si>
  <si>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</si>
  <si>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</si>
  <si>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</si>
  <si>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</si>
  <si>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</si>
  <si>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</si>
  <si>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</si>
  <si>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</si>
  <si>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</si>
  <si>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</si>
  <si>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</si>
  <si>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</si>
  <si>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</si>
  <si>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</si>
  <si>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</si>
  <si>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</si>
  <si>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</si>
  <si>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</si>
  <si>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</si>
  <si>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</si>
  <si>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</si>
  <si>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</si>
  <si>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</si>
  <si>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</si>
  <si>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</si>
  <si>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</si>
  <si>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</si>
  <si>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</si>
  <si>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</si>
  <si>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</si>
  <si>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</si>
  <si>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</si>
  <si>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</si>
  <si>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</si>
  <si>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</si>
  <si>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</si>
  <si>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</si>
  <si>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</si>
  <si>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</si>
  <si>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</si>
  <si>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</si>
  <si>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</si>
  <si>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</si>
  <si>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</si>
  <si>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</si>
  <si>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</si>
  <si>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</si>
  <si>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</si>
  <si>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</si>
  <si>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</si>
  <si>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</si>
  <si>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</si>
  <si>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</si>
  <si>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</si>
  <si>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</si>
  <si>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</si>
  <si>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</si>
  <si>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</si>
  <si>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</si>
  <si>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</si>
  <si>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</si>
  <si>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</si>
  <si>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</si>
  <si>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</si>
  <si>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</si>
  <si>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</si>
  <si>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</si>
  <si>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</si>
  <si>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</si>
  <si>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</si>
  <si>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</si>
  <si>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</si>
  <si>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</si>
  <si>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</si>
  <si>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</si>
  <si>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</si>
  <si>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</si>
  <si>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</si>
  <si>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</si>
  <si>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</si>
  <si>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</si>
  <si>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</si>
  <si>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</si>
  <si>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</si>
  <si>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</si>
  <si>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</si>
  <si>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</si>
  <si>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</si>
  <si>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</si>
  <si>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</si>
  <si>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</si>
  <si>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</si>
  <si>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</si>
  <si>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</si>
  <si>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</si>
  <si>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</si>
  <si>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</si>
  <si>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</si>
  <si>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</si>
  <si>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</si>
  <si>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</si>
  <si>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</si>
  <si>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</si>
  <si>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</si>
  <si>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</si>
  <si>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</si>
  <si>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</si>
  <si>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</si>
  <si>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</si>
  <si>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</si>
  <si>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</si>
  <si>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</si>
  <si>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</si>
  <si>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</si>
  <si>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</si>
  <si>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</si>
  <si>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</si>
  <si>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</si>
  <si>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</si>
  <si>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</si>
  <si>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</si>
  <si>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</si>
  <si>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</si>
  <si>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</si>
  <si>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</si>
  <si>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</si>
  <si>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</si>
  <si>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</si>
  <si>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</si>
  <si>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</si>
  <si>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</si>
  <si>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</si>
  <si>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</si>
  <si>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</si>
  <si>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</si>
  <si>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</si>
  <si>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</si>
  <si>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</si>
  <si>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</si>
  <si>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</si>
  <si>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</si>
  <si>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</si>
  <si>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</si>
  <si>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</si>
  <si>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</si>
  <si>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</si>
  <si>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</si>
  <si>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</si>
  <si>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</si>
  <si>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</si>
  <si>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</si>
  <si>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</si>
  <si>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</si>
  <si>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</si>
  <si>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</si>
  <si>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</si>
  <si>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</si>
  <si>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</si>
  <si>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</si>
  <si>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</si>
  <si>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</si>
  <si>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</si>
  <si>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</si>
  <si>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</si>
  <si>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</si>
  <si>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</si>
  <si>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</si>
  <si>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</si>
  <si>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</si>
  <si>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</si>
  <si>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</si>
  <si>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</si>
  <si>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</si>
  <si>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</si>
  <si>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</si>
  <si>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</si>
  <si>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</si>
  <si>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</si>
  <si>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</si>
  <si>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</si>
  <si>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</si>
  <si>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</si>
  <si>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</si>
  <si>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</si>
  <si>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</si>
  <si>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</si>
  <si>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</si>
  <si>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</si>
  <si>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</si>
  <si>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</si>
  <si>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</si>
  <si>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</si>
  <si>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</si>
  <si>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</si>
  <si>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</si>
  <si>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</si>
  <si>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</si>
  <si>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</si>
  <si>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</si>
  <si>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</si>
  <si>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</si>
  <si>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</si>
  <si>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</si>
  <si>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</si>
  <si>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</si>
  <si>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</si>
  <si>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</si>
  <si>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</si>
  <si>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</si>
  <si>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</si>
  <si>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</si>
  <si>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</si>
  <si>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</si>
  <si>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</si>
  <si>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</si>
  <si>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</si>
  <si>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</si>
  <si>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</si>
  <si>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</si>
  <si>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</si>
  <si>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</si>
  <si>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</si>
  <si>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</si>
  <si>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</si>
  <si>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</si>
  <si>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</si>
  <si>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</si>
  <si>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</si>
  <si>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</si>
  <si>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</si>
  <si>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</si>
  <si>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</si>
  <si>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</si>
  <si>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</si>
  <si>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</si>
  <si>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</si>
  <si>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</si>
  <si>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</si>
  <si>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</si>
  <si>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</si>
  <si>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</si>
  <si>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</si>
  <si>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</si>
  <si>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</si>
  <si>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</si>
  <si>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</si>
  <si>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</si>
  <si>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</si>
  <si>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</si>
  <si>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</si>
  <si>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</si>
  <si>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</si>
  <si>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</si>
  <si>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</si>
  <si>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</si>
  <si>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</si>
  <si>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</si>
  <si>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</si>
  <si>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</si>
  <si>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</si>
  <si>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</si>
  <si>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</si>
  <si>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</si>
  <si>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</si>
  <si>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</si>
  <si>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</si>
  <si>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</si>
  <si>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</si>
  <si>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</si>
  <si>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</si>
  <si>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</si>
  <si>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</si>
  <si>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</si>
  <si>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</si>
  <si>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</si>
  <si>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</si>
  <si>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</si>
  <si>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</si>
  <si>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</si>
  <si>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</si>
  <si>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</si>
  <si>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</si>
  <si>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</si>
  <si>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</si>
  <si>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</si>
  <si>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</si>
  <si>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</si>
  <si>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</si>
  <si>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</si>
  <si>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</si>
  <si>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</si>
  <si>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</si>
  <si>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</si>
  <si>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</si>
  <si>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</si>
  <si>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</si>
  <si>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</si>
  <si>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</si>
  <si>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</si>
  <si>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</si>
  <si>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</si>
  <si>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</si>
  <si>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</si>
  <si>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</si>
  <si>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</si>
  <si>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</si>
  <si>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</si>
  <si>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</si>
  <si>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</si>
  <si>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</si>
  <si>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</si>
  <si>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</si>
  <si>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</si>
  <si>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</si>
  <si>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</si>
  <si>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</si>
  <si>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</si>
  <si>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</si>
  <si>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</si>
  <si>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</si>
  <si>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</si>
  <si>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</si>
  <si>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</si>
  <si>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</si>
  <si>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</si>
  <si>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</si>
  <si>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</si>
  <si>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</si>
  <si>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</si>
  <si>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</si>
  <si>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</si>
  <si>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</si>
  <si>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</si>
  <si>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</si>
  <si>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</si>
  <si>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</si>
  <si>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</si>
  <si>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</si>
  <si>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</si>
  <si>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</si>
  <si>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</si>
  <si>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</si>
  <si>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</si>
  <si>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</si>
  <si>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</si>
  <si>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</si>
  <si>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</si>
  <si>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</si>
  <si>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</si>
  <si>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</si>
  <si>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</si>
  <si>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</si>
  <si>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</si>
  <si>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</si>
  <si>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</si>
  <si>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</si>
  <si>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</si>
  <si>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</si>
  <si>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</si>
  <si>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</si>
  <si>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</si>
  <si>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</si>
  <si>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</si>
  <si>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</si>
  <si>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</si>
  <si>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</si>
  <si>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</si>
  <si>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</si>
  <si>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</si>
  <si>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</si>
  <si>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</si>
  <si>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</si>
  <si>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</si>
  <si>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</si>
  <si>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</si>
  <si>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</si>
  <si>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</si>
  <si>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</si>
  <si>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</si>
  <si>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</si>
  <si>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</si>
  <si>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</si>
  <si>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</si>
  <si>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</si>
  <si>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</si>
  <si>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</si>
  <si>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</si>
  <si>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</si>
  <si>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</si>
  <si>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</si>
  <si>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</si>
  <si>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</si>
  <si>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</si>
  <si>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</si>
  <si>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</si>
  <si>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</si>
  <si>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</si>
  <si>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</si>
  <si>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</si>
  <si>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</si>
  <si>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</si>
  <si>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</si>
  <si>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</si>
  <si>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</si>
  <si>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</si>
  <si>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</si>
  <si>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</si>
  <si>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</si>
  <si>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</si>
  <si>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</si>
  <si>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</si>
  <si>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</si>
  <si>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</si>
  <si>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</si>
  <si>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</si>
  <si>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</si>
  <si>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</si>
  <si>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</si>
  <si>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</si>
  <si>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</si>
  <si>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</si>
  <si>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</si>
  <si>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</si>
  <si>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</si>
  <si>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</si>
  <si>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</si>
  <si>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</si>
  <si>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</si>
  <si>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</si>
  <si>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</si>
  <si>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</si>
  <si>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</si>
  <si>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</si>
  <si>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</si>
  <si>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</si>
  <si>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</si>
  <si>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</si>
  <si>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</si>
  <si>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</si>
  <si>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</si>
  <si>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</si>
  <si>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</si>
  <si>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</si>
  <si>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</si>
  <si>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</si>
  <si>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</si>
  <si>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</si>
  <si>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</si>
  <si>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</si>
  <si>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</si>
  <si>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</si>
  <si>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</si>
  <si>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</si>
  <si>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</si>
  <si>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</si>
  <si>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</si>
  <si>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</si>
  <si>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</si>
  <si>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</si>
  <si>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</si>
  <si>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</si>
  <si>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</si>
  <si>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</si>
  <si>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</si>
  <si>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</si>
  <si>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</si>
  <si>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</si>
  <si>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</si>
  <si>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</si>
  <si>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</si>
  <si>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</si>
  <si>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</si>
  <si>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</si>
  <si>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</si>
  <si>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</si>
  <si>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</si>
  <si>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</si>
  <si>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</si>
  <si>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</si>
  <si>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</si>
  <si>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</si>
  <si>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</si>
  <si>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</si>
  <si>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</si>
  <si>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</si>
  <si>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</si>
  <si>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</si>
  <si>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</si>
  <si>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</si>
  <si>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</si>
  <si>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</si>
  <si>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</si>
  <si>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</si>
  <si>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</si>
  <si>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</si>
  <si>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</si>
  <si>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</si>
  <si>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</si>
  <si>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</si>
  <si>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</si>
  <si>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</si>
  <si>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</si>
  <si>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</si>
  <si>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</si>
  <si>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</si>
  <si>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</si>
  <si>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</si>
  <si>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</si>
  <si>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</si>
  <si>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</si>
  <si>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</si>
  <si>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</si>
  <si>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</si>
  <si>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</si>
  <si>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</si>
  <si>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</si>
  <si>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</si>
  <si>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</si>
  <si>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</si>
  <si>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</si>
  <si>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</si>
  <si>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</si>
  <si>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</si>
  <si>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</si>
  <si>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</si>
  <si>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</si>
  <si>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</si>
  <si>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</si>
  <si>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</si>
  <si>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</si>
  <si>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</si>
  <si>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</si>
  <si>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</si>
  <si>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</si>
  <si>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</si>
  <si>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</si>
  <si>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</si>
  <si>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</si>
  <si>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</si>
  <si>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</si>
  <si>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</si>
  <si>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</si>
  <si>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</si>
  <si>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</si>
  <si>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</si>
  <si>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</si>
  <si>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</si>
  <si>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</si>
  <si>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</si>
  <si>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</si>
  <si>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</si>
  <si>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</si>
  <si>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</si>
  <si>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</si>
  <si>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</si>
  <si>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</si>
  <si>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</si>
  <si>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</si>
  <si>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</si>
  <si>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</si>
  <si>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</si>
  <si>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</si>
  <si>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</si>
  <si>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</si>
  <si>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</si>
  <si>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</si>
  <si>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</si>
  <si>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</si>
  <si>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</si>
  <si>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</si>
  <si>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</si>
  <si>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</si>
  <si>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</si>
  <si>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</si>
  <si>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</si>
  <si>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</si>
  <si>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</si>
  <si>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</si>
  <si>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</si>
  <si>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</si>
  <si>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</si>
  <si>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</si>
  <si>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</si>
  <si>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</si>
  <si>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</si>
  <si>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</si>
  <si>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</si>
  <si>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</si>
  <si>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</si>
  <si>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</si>
  <si>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</si>
  <si>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</si>
  <si>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</si>
  <si>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</si>
  <si>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</si>
  <si>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</si>
  <si>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</si>
  <si>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</si>
  <si>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</si>
  <si>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</si>
  <si>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</si>
  <si>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</si>
  <si>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</si>
  <si>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</si>
  <si>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</si>
  <si>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</si>
  <si>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</si>
  <si>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</si>
  <si>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</si>
  <si>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</si>
  <si>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</si>
  <si>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</si>
  <si>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</si>
  <si>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</si>
  <si>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</si>
  <si>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</si>
  <si>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</si>
  <si>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</si>
  <si>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</si>
  <si>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</si>
  <si>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</si>
  <si>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</si>
  <si>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</si>
  <si>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</si>
  <si>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</si>
  <si>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</si>
  <si>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</si>
  <si>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</si>
  <si>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</si>
  <si>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</si>
  <si>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</si>
  <si>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</si>
  <si>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</si>
  <si>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</si>
  <si>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</si>
  <si>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</si>
  <si>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</si>
  <si>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</si>
  <si>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</si>
  <si>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</si>
  <si>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</si>
  <si>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</si>
  <si>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</si>
  <si>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</si>
  <si>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</si>
  <si>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</si>
  <si>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</si>
  <si>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</si>
  <si>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</si>
  <si>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</si>
  <si>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</si>
  <si>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</si>
  <si>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</si>
  <si>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</si>
  <si>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</si>
  <si>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</si>
  <si>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</si>
  <si>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</si>
  <si>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</si>
  <si>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</si>
  <si>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</si>
  <si>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</si>
  <si>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</si>
  <si>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</si>
  <si>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</si>
  <si>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</si>
  <si>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</si>
  <si>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</si>
  <si>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</si>
  <si>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</si>
  <si>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</si>
  <si>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</si>
  <si>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</si>
  <si>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</si>
  <si>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</si>
  <si>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</si>
  <si>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</si>
  <si>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</si>
  <si>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</si>
  <si>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</si>
  <si>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</si>
  <si>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</si>
  <si>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</si>
  <si>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</si>
  <si>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</si>
  <si>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</si>
  <si>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</si>
  <si>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</si>
  <si>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</si>
  <si>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</si>
  <si>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</si>
  <si>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</si>
  <si>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</si>
  <si>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</si>
  <si>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</si>
  <si>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</si>
  <si>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</si>
  <si>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</si>
  <si>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</si>
  <si>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</si>
  <si>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</si>
  <si>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</si>
  <si>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</si>
  <si>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</si>
  <si>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</si>
  <si>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</si>
  <si>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</si>
  <si>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</si>
  <si>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</si>
  <si>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</si>
  <si>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</si>
  <si>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</si>
  <si>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</si>
  <si>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</si>
  <si>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</si>
  <si>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</si>
  <si>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</si>
  <si>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</si>
  <si>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</si>
  <si>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</si>
  <si>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</si>
  <si>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</si>
  <si>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</si>
  <si>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</si>
  <si>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</si>
  <si>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</si>
  <si>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</si>
  <si>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</si>
  <si>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</si>
  <si>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</si>
  <si>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</si>
  <si>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</si>
  <si>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</si>
  <si>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</si>
  <si>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</si>
  <si>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</si>
  <si>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</si>
  <si>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</si>
  <si>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</si>
  <si>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</si>
  <si>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</si>
  <si>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</si>
  <si>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</si>
  <si>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</si>
  <si>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</si>
  <si>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</si>
  <si>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</si>
  <si>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</si>
  <si>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</si>
  <si>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</si>
  <si>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</si>
  <si>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</si>
  <si>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</si>
  <si>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</si>
  <si>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</si>
  <si>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</si>
  <si>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</si>
  <si>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</si>
  <si>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</si>
  <si>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</si>
  <si>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</si>
  <si>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</si>
  <si>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</si>
  <si>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</si>
  <si>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</si>
  <si>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</si>
  <si>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</si>
  <si>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</si>
  <si>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</si>
  <si>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</si>
  <si>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</si>
  <si>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</si>
  <si>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</si>
  <si>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</si>
  <si>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</si>
  <si>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</si>
  <si>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</si>
  <si>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</si>
  <si>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</si>
  <si>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</si>
  <si>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</si>
  <si>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</si>
  <si>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</si>
  <si>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</si>
  <si>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</si>
  <si>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</si>
  <si>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</si>
  <si>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</si>
  <si>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</si>
  <si>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</si>
  <si>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</si>
  <si>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</si>
  <si>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</si>
  <si>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</si>
  <si>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</si>
  <si>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</si>
  <si>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</si>
  <si>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</si>
  <si>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</si>
  <si>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</si>
  <si>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</si>
  <si>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</si>
  <si>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</si>
  <si>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</si>
  <si>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</si>
  <si>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</si>
  <si>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</si>
  <si>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</si>
  <si>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</si>
  <si>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</si>
  <si>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</si>
  <si>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</si>
  <si>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</si>
  <si>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</si>
  <si>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</si>
  <si>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</si>
  <si>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</si>
  <si>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</si>
  <si>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</si>
  <si>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</si>
  <si>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</si>
  <si>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</si>
  <si>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</si>
  <si>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</si>
  <si>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</si>
  <si>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</si>
  <si>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</si>
  <si>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</si>
  <si>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</si>
  <si>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</si>
  <si>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</si>
  <si>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</si>
  <si>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</si>
  <si>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</si>
  <si>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</si>
  <si>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</si>
  <si>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</si>
  <si>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</si>
  <si>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</si>
  <si>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</si>
  <si>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</si>
  <si>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</si>
  <si>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</si>
  <si>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</si>
  <si>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</si>
  <si>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</si>
  <si>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</si>
  <si>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</si>
  <si>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</si>
  <si>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</si>
  <si>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</si>
  <si>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</si>
  <si>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</si>
  <si>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</si>
  <si>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</si>
  <si>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</si>
  <si>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</si>
  <si>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</si>
  <si>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</si>
  <si>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</si>
  <si>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</si>
  <si>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</si>
  <si>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</si>
  <si>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</si>
  <si>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</si>
  <si>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</si>
  <si>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</si>
  <si>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</si>
  <si>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</si>
  <si>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</si>
  <si>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</si>
  <si>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</si>
  <si>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</si>
  <si>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</si>
  <si>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</si>
  <si>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</si>
  <si>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</si>
  <si>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</si>
  <si>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</si>
  <si>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</si>
  <si>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</si>
  <si>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</si>
  <si>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</si>
  <si>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</si>
  <si>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</si>
  <si>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</si>
  <si>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</si>
  <si>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</si>
  <si>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</si>
  <si>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</si>
  <si>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</si>
  <si>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</si>
  <si>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</si>
  <si>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</si>
  <si>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</si>
  <si>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</si>
  <si>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</si>
  <si>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</si>
  <si>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</si>
  <si>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</si>
  <si>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</si>
  <si>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</si>
  <si>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</si>
  <si>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</si>
  <si>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</si>
  <si>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</si>
  <si>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</si>
  <si>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</si>
  <si>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</si>
  <si>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</si>
  <si>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</si>
  <si>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</si>
  <si>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</si>
  <si>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</si>
  <si>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</si>
  <si>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</si>
  <si>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</si>
  <si>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</si>
  <si>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</si>
  <si>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</si>
  <si>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</si>
  <si>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</si>
  <si>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</si>
  <si>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</si>
  <si>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</si>
  <si>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</si>
  <si>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</si>
  <si>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</si>
  <si>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</si>
  <si>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</si>
  <si>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</si>
  <si>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</si>
  <si>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</si>
  <si>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</si>
  <si>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</si>
  <si>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</si>
  <si>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</si>
  <si>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</si>
  <si>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</si>
  <si>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</si>
  <si>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</si>
  <si>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</si>
  <si>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</si>
  <si>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</si>
  <si>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</si>
  <si>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</si>
  <si>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</si>
  <si>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</si>
  <si>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</si>
  <si>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</si>
  <si>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</si>
  <si>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</si>
  <si>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</si>
  <si>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</si>
  <si>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</si>
  <si>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</si>
  <si>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</si>
  <si>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</si>
  <si>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</si>
  <si>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</si>
  <si>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</si>
  <si>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</si>
  <si>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</si>
  <si>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</si>
  <si>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</si>
  <si>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</si>
  <si>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</si>
  <si>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</si>
  <si>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</si>
  <si>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</si>
  <si>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</si>
  <si>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</si>
  <si>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</si>
  <si>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</si>
  <si>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</si>
  <si>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</si>
  <si>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</si>
  <si>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</si>
  <si>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</si>
  <si>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</si>
  <si>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</si>
  <si>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</si>
  <si>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</si>
  <si>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</si>
  <si>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</si>
  <si>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</si>
  <si>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</si>
  <si>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</si>
  <si>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</si>
  <si>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</si>
  <si>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</si>
  <si>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</si>
  <si>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</si>
  <si>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</si>
  <si>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</si>
  <si>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</si>
  <si>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</si>
  <si>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</si>
  <si>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</si>
  <si>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</si>
  <si>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</si>
  <si>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</si>
  <si>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</si>
  <si>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</si>
  <si>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</si>
  <si>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</si>
  <si>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</si>
  <si>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</si>
  <si>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</si>
  <si>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</si>
  <si>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</si>
  <si>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</si>
  <si>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</si>
  <si>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</si>
  <si>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</si>
  <si>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</si>
  <si>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</si>
  <si>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</si>
  <si>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</si>
  <si>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</si>
  <si>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</si>
  <si>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</si>
  <si>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</si>
  <si>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</si>
  <si>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</si>
  <si>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</si>
  <si>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</si>
  <si>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</si>
  <si>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</si>
  <si>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</si>
  <si>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</si>
  <si>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</si>
  <si>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</si>
  <si>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</si>
  <si>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</si>
  <si>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</si>
  <si>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</si>
  <si>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</si>
  <si>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</si>
  <si>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</si>
  <si>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</si>
  <si>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</si>
  <si>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</si>
  <si>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</si>
  <si>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</si>
  <si>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</si>
  <si>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</si>
  <si>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</si>
  <si>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</si>
  <si>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</si>
  <si>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</si>
  <si>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</si>
  <si>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</si>
  <si>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</si>
  <si>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</si>
  <si>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</si>
  <si>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</si>
  <si>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</si>
  <si>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</si>
  <si>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</si>
  <si>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</si>
  <si>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</si>
  <si>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</si>
  <si>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</si>
  <si>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</si>
  <si>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</si>
  <si>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</si>
  <si>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</si>
  <si>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</si>
  <si>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</si>
  <si>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</si>
  <si>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</si>
  <si>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</si>
  <si>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</si>
  <si>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</si>
  <si>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</si>
  <si>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</si>
  <si>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</si>
  <si>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</si>
  <si>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</si>
  <si>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</si>
  <si>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</si>
  <si>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</si>
  <si>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</si>
  <si>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</si>
  <si>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</si>
  <si>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</si>
  <si>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</si>
  <si>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</si>
  <si>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</si>
  <si>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</si>
  <si>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</si>
  <si>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</si>
  <si>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</si>
  <si>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</si>
  <si>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</si>
  <si>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</si>
  <si>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</si>
  <si>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</si>
  <si>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</si>
  <si>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</si>
  <si>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</si>
  <si>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</si>
  <si>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</si>
  <si>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</si>
  <si>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</si>
  <si>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</si>
  <si>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</si>
  <si>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</si>
  <si>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</si>
  <si>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</si>
  <si>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</si>
  <si>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</si>
  <si>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</si>
  <si>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</si>
  <si>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</si>
  <si>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</si>
  <si>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</si>
  <si>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</si>
  <si>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</si>
  <si>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</si>
  <si>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</si>
  <si>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</si>
  <si>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</si>
  <si>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</si>
  <si>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</si>
  <si>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</si>
  <si>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</si>
  <si>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</si>
  <si>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</si>
  <si>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</si>
  <si>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</si>
  <si>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</si>
  <si>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</si>
  <si>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</si>
  <si>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</si>
  <si>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</si>
  <si>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</si>
  <si>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</si>
  <si>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</si>
  <si>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</si>
  <si>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</si>
  <si>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</si>
  <si>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</si>
  <si>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</si>
  <si>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</si>
  <si>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</si>
  <si>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</si>
  <si>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</si>
  <si>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</si>
  <si>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</si>
  <si>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</si>
  <si>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</si>
  <si>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</si>
  <si>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</si>
  <si>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</si>
  <si>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</si>
  <si>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</si>
  <si>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</si>
  <si>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</si>
  <si>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</si>
  <si>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</si>
  <si>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</si>
  <si>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</si>
  <si>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</si>
  <si>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</si>
  <si>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</si>
  <si>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</si>
  <si>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</si>
  <si>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</si>
  <si>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</si>
  <si>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</si>
  <si>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</si>
  <si>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</si>
  <si>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</si>
  <si>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</si>
  <si>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</si>
  <si>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</si>
  <si>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</si>
  <si>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</si>
  <si>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</si>
  <si>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</si>
  <si>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</si>
  <si>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</si>
  <si>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</si>
  <si>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</si>
  <si>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</si>
  <si>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</si>
  <si>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</si>
  <si>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</si>
  <si>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</si>
  <si>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</si>
  <si>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</si>
  <si>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</si>
  <si>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</si>
  <si>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</si>
  <si>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</si>
  <si>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</si>
  <si>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</si>
  <si>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</si>
  <si>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</si>
  <si>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</si>
  <si>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</si>
  <si>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</si>
  <si>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</si>
  <si>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</si>
  <si>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</si>
  <si>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</si>
  <si>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</si>
  <si>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</si>
  <si>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</si>
  <si>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</si>
  <si>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</si>
  <si>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</si>
  <si>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</si>
  <si>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</si>
  <si>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</si>
  <si>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</si>
  <si>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</si>
  <si>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</si>
  <si>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</si>
  <si>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</si>
  <si>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</si>
  <si>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</si>
  <si>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</si>
  <si>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</si>
  <si>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</si>
  <si>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</si>
  <si>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</si>
  <si>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</si>
  <si>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</si>
  <si>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</si>
  <si>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</si>
  <si>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</si>
  <si>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</si>
  <si>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</si>
  <si>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</si>
  <si>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</si>
  <si>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</si>
  <si>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</si>
  <si>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</si>
  <si>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</si>
  <si>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</si>
  <si>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</si>
  <si>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</si>
  <si>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</si>
  <si>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</si>
  <si>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</si>
  <si>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</si>
  <si>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</si>
  <si>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</si>
  <si>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</si>
  <si>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</si>
  <si>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</si>
  <si>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</si>
  <si>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</si>
  <si>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</si>
  <si>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</si>
  <si>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</si>
  <si>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</si>
  <si>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</si>
  <si>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</si>
  <si>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</si>
  <si>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</si>
  <si>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</si>
  <si>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</si>
  <si>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</si>
  <si>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</si>
  <si>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</si>
  <si>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</si>
  <si>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</si>
  <si>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</si>
  <si>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</si>
  <si>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</si>
  <si>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</si>
  <si>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</si>
  <si>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</si>
  <si>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</si>
  <si>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</si>
  <si>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</si>
  <si>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</si>
  <si>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</si>
  <si>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</si>
  <si>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</si>
  <si>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</si>
  <si>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</si>
  <si>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</si>
  <si>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</si>
  <si>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</si>
  <si>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</si>
  <si>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</si>
  <si>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</si>
  <si>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</si>
  <si>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</si>
  <si>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</si>
  <si>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</si>
  <si>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</si>
  <si>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</si>
  <si>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</si>
  <si>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</si>
  <si>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</si>
  <si>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</si>
  <si>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</si>
  <si>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</si>
  <si>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</si>
  <si>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</si>
  <si>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</si>
  <si>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</si>
  <si>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</si>
  <si>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</si>
  <si>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</si>
  <si>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</si>
  <si>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</si>
  <si>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</si>
  <si>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</si>
  <si>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</si>
  <si>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</si>
  <si>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</si>
  <si>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</si>
  <si>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</si>
  <si>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</si>
  <si>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</si>
  <si>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</si>
  <si>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</si>
  <si>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</si>
  <si>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</si>
  <si>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</si>
  <si>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</si>
  <si>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</si>
  <si>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</si>
  <si>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</si>
  <si>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</si>
  <si>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</si>
  <si>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</si>
  <si>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</si>
  <si>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</si>
  <si>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</si>
  <si>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</si>
  <si>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</si>
  <si>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</si>
  <si>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</si>
  <si>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</si>
  <si>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</si>
  <si>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</si>
  <si>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</si>
  <si>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</si>
  <si>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</si>
  <si>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</si>
  <si>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</si>
  <si>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</si>
  <si>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</si>
  <si>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</si>
  <si>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</si>
  <si>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</si>
  <si>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</si>
  <si>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</si>
  <si>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</si>
  <si>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</si>
  <si>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</si>
  <si>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</si>
  <si>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</si>
  <si>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</si>
  <si>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</si>
  <si>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</si>
  <si>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</si>
  <si>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</si>
  <si>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</si>
  <si>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</si>
  <si>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</si>
  <si>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</si>
  <si>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</si>
  <si>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</si>
  <si>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</si>
  <si>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</si>
  <si>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</si>
  <si>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</si>
  <si>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</si>
  <si>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</si>
  <si>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</si>
  <si>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</si>
  <si>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</si>
  <si>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</si>
  <si>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</si>
  <si>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</si>
  <si>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</si>
  <si>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</si>
  <si>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</si>
  <si>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</si>
  <si>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</si>
  <si>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</si>
  <si>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</si>
  <si>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</si>
  <si>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</si>
  <si>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</si>
  <si>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</si>
  <si>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</si>
  <si>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</si>
  <si>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</si>
  <si>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</si>
  <si>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</si>
  <si>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</si>
  <si>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</si>
  <si>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</si>
  <si>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</si>
  <si>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</si>
  <si>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</si>
  <si>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</si>
  <si>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</si>
  <si>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</si>
  <si>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</si>
  <si>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</si>
  <si>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</si>
  <si>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</si>
  <si>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</si>
  <si>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</si>
  <si>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</si>
  <si>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</si>
  <si>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</si>
  <si>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</si>
  <si>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</si>
  <si>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</si>
  <si>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</si>
  <si>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</si>
  <si>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</si>
  <si>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</si>
  <si>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</si>
  <si>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</si>
  <si>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</si>
  <si>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</si>
  <si>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</si>
  <si>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</si>
  <si>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</si>
  <si>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</si>
  <si>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</si>
  <si>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</si>
  <si>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</si>
  <si>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</si>
  <si>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</si>
  <si>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</si>
  <si>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</si>
  <si>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</si>
  <si>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</si>
  <si>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</si>
  <si>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</si>
  <si>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</si>
  <si>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</si>
  <si>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</si>
  <si>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</si>
  <si>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</si>
  <si>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</si>
  <si>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</si>
  <si>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</si>
  <si>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</si>
  <si>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</si>
  <si>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</si>
  <si>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</si>
  <si>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</si>
  <si>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</si>
  <si>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</si>
  <si>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</si>
  <si>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</si>
  <si>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</si>
  <si>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</si>
  <si>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</si>
  <si>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</si>
  <si>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</si>
  <si>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</si>
  <si>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</si>
  <si>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</si>
  <si>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</si>
  <si>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</si>
  <si>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</si>
  <si>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</si>
  <si>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</si>
  <si>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</si>
  <si>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</si>
  <si>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</si>
  <si>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</si>
  <si>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</si>
  <si>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</si>
  <si>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</si>
  <si>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</si>
  <si>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</si>
  <si>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</si>
  <si>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</si>
  <si>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</si>
  <si>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</si>
  <si>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</si>
  <si>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</si>
  <si>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</si>
  <si>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</si>
  <si>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</si>
  <si>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</si>
  <si>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</si>
  <si>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</si>
  <si>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</si>
  <si>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</si>
  <si>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</si>
  <si>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</si>
  <si>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</si>
  <si>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</si>
  <si>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</si>
  <si>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</si>
  <si>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</si>
  <si>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</si>
  <si>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</si>
  <si>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</si>
  <si>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</si>
  <si>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</si>
  <si>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</si>
  <si>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</si>
  <si>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</si>
  <si>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</si>
  <si>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</si>
  <si>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</si>
  <si>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</si>
  <si>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</si>
  <si>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</si>
  <si>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</si>
  <si>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</si>
  <si>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</si>
  <si>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</si>
  <si>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</si>
  <si>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</si>
  <si>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</si>
  <si>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</si>
  <si>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</si>
  <si>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</si>
  <si>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</si>
  <si>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</si>
  <si>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</si>
  <si>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</si>
  <si>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</si>
  <si>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</si>
  <si>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</si>
  <si>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</si>
  <si>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</si>
  <si>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</si>
  <si>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</si>
  <si>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</si>
  <si>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</si>
  <si>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</si>
  <si>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</si>
  <si>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</si>
  <si>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</si>
  <si>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</si>
  <si>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</si>
  <si>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</si>
  <si>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</si>
  <si>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</si>
  <si>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</si>
  <si>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</si>
  <si>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</si>
  <si>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</si>
  <si>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</si>
  <si>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</si>
  <si>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</si>
  <si>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</si>
  <si>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</si>
  <si>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</si>
  <si>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</si>
  <si>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</si>
  <si>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</si>
  <si>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</si>
  <si>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</si>
  <si>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</si>
  <si>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</si>
  <si>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</si>
  <si>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</si>
  <si>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</si>
  <si>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</si>
  <si>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</si>
  <si>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</si>
  <si>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</si>
  <si>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</si>
  <si>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</si>
  <si>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</si>
  <si>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</si>
  <si>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</si>
  <si>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</si>
  <si>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</si>
  <si>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</si>
  <si>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</si>
  <si>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</si>
  <si>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</si>
  <si>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</si>
  <si>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</si>
  <si>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</si>
  <si>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</si>
  <si>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</si>
  <si>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</si>
  <si>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</si>
  <si>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</si>
  <si>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</si>
  <si>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</si>
  <si>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</si>
  <si>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</si>
  <si>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</si>
  <si>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</si>
  <si>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</si>
  <si>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</si>
  <si>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</si>
  <si>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</si>
  <si>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</si>
  <si>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</si>
  <si>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</si>
  <si>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</si>
  <si>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</si>
  <si>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</si>
  <si>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</si>
  <si>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</si>
  <si>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</si>
  <si>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</si>
  <si>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</si>
  <si>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</si>
  <si>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</si>
  <si>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</si>
  <si>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</si>
  <si>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</si>
  <si>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</si>
  <si>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</si>
  <si>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</si>
  <si>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</si>
  <si>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</si>
  <si>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</si>
  <si>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</si>
  <si>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</si>
  <si>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</si>
  <si>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</si>
  <si>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</si>
  <si>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</si>
  <si>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</si>
  <si>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</si>
  <si>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</si>
  <si>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</si>
  <si>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</si>
  <si>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</si>
  <si>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</si>
  <si>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</si>
  <si>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</si>
  <si>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</si>
  <si>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</si>
  <si>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</si>
  <si>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</si>
  <si>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</si>
  <si>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</si>
  <si>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</si>
  <si>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</si>
  <si>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</si>
  <si>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</si>
  <si>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</si>
  <si>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</si>
  <si>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</si>
  <si>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</si>
  <si>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</si>
  <si>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</si>
  <si>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</si>
  <si>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</si>
  <si>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</si>
  <si>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</si>
  <si>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</si>
  <si>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</si>
  <si>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</si>
  <si>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</si>
  <si>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</si>
  <si>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</si>
  <si>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</si>
  <si>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</si>
  <si>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</si>
  <si>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</si>
  <si>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</si>
  <si>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</si>
  <si>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</si>
  <si>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</si>
  <si>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</si>
  <si>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</si>
  <si>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</si>
  <si>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</si>
  <si>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</si>
  <si>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</si>
  <si>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</si>
  <si>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</si>
  <si>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</si>
  <si>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</si>
  <si>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</si>
  <si>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</si>
  <si>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</si>
  <si>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</si>
  <si>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</si>
  <si>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</si>
  <si>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</si>
  <si>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</si>
  <si>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</si>
  <si>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</si>
  <si>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</si>
  <si>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</si>
  <si>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</si>
  <si>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</si>
  <si>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</si>
  <si>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</si>
  <si>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</si>
  <si>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</si>
  <si>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</si>
  <si>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</si>
  <si>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</si>
  <si>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</si>
  <si>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</si>
  <si>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</si>
  <si>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</si>
  <si>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</si>
  <si>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</si>
  <si>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</si>
  <si>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</si>
  <si>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</si>
  <si>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</si>
  <si>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</si>
  <si>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</si>
  <si>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</si>
  <si>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</si>
  <si>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</si>
  <si>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</si>
  <si>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</si>
  <si>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</si>
  <si>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</si>
  <si>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</si>
  <si>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</si>
  <si>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</si>
  <si>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</si>
  <si>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</si>
  <si>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</si>
  <si>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</si>
  <si>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</si>
  <si>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</si>
  <si>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</si>
  <si>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</si>
  <si>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</si>
  <si>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</si>
  <si>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</si>
  <si>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</si>
  <si>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</si>
  <si>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</si>
  <si>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</si>
  <si>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</si>
  <si>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</si>
  <si>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</si>
  <si>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</si>
  <si>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</si>
  <si>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</si>
  <si>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</si>
  <si>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</si>
  <si>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</si>
  <si>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</si>
  <si>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</si>
  <si>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</si>
  <si>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</si>
  <si>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</si>
  <si>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</si>
  <si>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</si>
  <si>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</si>
  <si>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</si>
  <si>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</si>
  <si>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</si>
  <si>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</si>
  <si>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</si>
  <si>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</si>
  <si>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</si>
  <si>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</si>
  <si>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</si>
  <si>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</si>
  <si>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</si>
  <si>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</si>
  <si>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</si>
  <si>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</si>
  <si>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</si>
  <si>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</si>
  <si>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</si>
  <si>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</si>
  <si>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</si>
  <si>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</si>
  <si>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</si>
  <si>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</si>
  <si>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</si>
  <si>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</si>
  <si>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</si>
  <si>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</si>
  <si>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</si>
  <si>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</si>
  <si>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</si>
  <si>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</si>
  <si>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</si>
  <si>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</si>
  <si>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</si>
  <si>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</si>
  <si>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</si>
  <si>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</si>
  <si>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</si>
  <si>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</si>
  <si>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</si>
  <si>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</si>
  <si>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</si>
  <si>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</si>
  <si>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</si>
  <si>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</si>
  <si>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</si>
  <si>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</si>
  <si>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</si>
  <si>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</si>
  <si>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</si>
  <si>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</si>
  <si>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</si>
  <si>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</si>
  <si>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</si>
  <si>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</si>
  <si>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</si>
  <si>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</si>
  <si>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</si>
  <si>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</si>
  <si>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</si>
  <si>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</si>
  <si>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</si>
  <si>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</si>
  <si>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</si>
  <si>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</si>
  <si>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</si>
  <si>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</si>
  <si>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</si>
  <si>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</si>
  <si>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</si>
  <si>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</si>
  <si>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</si>
  <si>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</si>
  <si>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</si>
  <si>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</si>
  <si>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</si>
  <si>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</si>
  <si>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</si>
  <si>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</si>
  <si>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</si>
  <si>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</si>
  <si>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</si>
  <si>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</si>
  <si>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</si>
  <si>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</si>
  <si>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</si>
  <si>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</si>
  <si>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</si>
  <si>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</si>
  <si>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</si>
  <si>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</si>
  <si>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</si>
  <si>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</si>
  <si>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</si>
  <si>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</si>
  <si>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</si>
  <si>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</si>
  <si>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</si>
  <si>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</si>
  <si>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</si>
  <si>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</si>
  <si>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</si>
  <si>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</si>
  <si>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</si>
  <si>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</si>
  <si>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</si>
  <si>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</si>
  <si>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</si>
  <si>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</si>
  <si>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</si>
  <si>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</si>
  <si>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</si>
  <si>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</si>
  <si>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</si>
  <si>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</si>
  <si>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</si>
  <si>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</si>
  <si>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</si>
  <si>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</si>
  <si>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</si>
  <si>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</si>
  <si>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</si>
  <si>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</si>
  <si>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</si>
  <si>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</si>
  <si>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</si>
  <si>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</si>
  <si>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</si>
  <si>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</si>
  <si>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</si>
  <si>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</si>
  <si>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</si>
  <si>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</si>
  <si>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</si>
  <si>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</si>
  <si>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</si>
  <si>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</si>
  <si>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</si>
  <si>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</si>
  <si>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</si>
  <si>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</si>
  <si>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</si>
  <si>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</si>
  <si>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</si>
  <si>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</si>
  <si>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</si>
  <si>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</si>
  <si>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</si>
  <si>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</si>
  <si>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</si>
  <si>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</si>
  <si>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</si>
  <si>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</si>
  <si>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</si>
  <si>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</si>
  <si>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</si>
  <si>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</si>
  <si>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</si>
  <si>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</si>
  <si>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</si>
  <si>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</si>
  <si>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</si>
  <si>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</si>
  <si>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</si>
  <si>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</si>
  <si>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</si>
  <si>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</si>
  <si>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</si>
  <si>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</si>
  <si>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</si>
  <si>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</si>
  <si>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</si>
  <si>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</si>
  <si>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</si>
  <si>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</si>
  <si>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</si>
  <si>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</si>
  <si>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</si>
  <si>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</si>
  <si>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</si>
  <si>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</si>
  <si>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</si>
  <si>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</si>
  <si>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</si>
  <si>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</si>
  <si>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</si>
  <si>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</si>
  <si>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</si>
  <si>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</si>
  <si>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</si>
  <si>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</si>
  <si>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</si>
  <si>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</si>
  <si>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</si>
  <si>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</si>
  <si>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</si>
  <si>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</si>
  <si>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</si>
  <si>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</si>
  <si>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</si>
  <si>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</si>
  <si>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</si>
  <si>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</si>
  <si>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</si>
  <si>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</si>
  <si>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</si>
  <si>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</si>
  <si>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</si>
  <si>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</si>
  <si>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</si>
  <si>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</si>
  <si>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</si>
  <si>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</si>
  <si>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</si>
  <si>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</si>
  <si>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</si>
  <si>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</si>
  <si>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</si>
  <si>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</si>
  <si>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</si>
  <si>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</si>
  <si>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</si>
  <si>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</si>
  <si>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</si>
  <si>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</si>
  <si>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</si>
  <si>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</si>
  <si>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</si>
  <si>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</si>
  <si>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</si>
  <si>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</si>
  <si>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</si>
  <si>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</si>
  <si>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</si>
  <si>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</si>
  <si>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</si>
  <si>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</si>
  <si>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</si>
  <si>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</si>
  <si>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</si>
  <si>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</si>
  <si>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</si>
  <si>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</si>
  <si>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</si>
  <si>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</si>
  <si>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</si>
  <si>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</si>
  <si>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</si>
  <si>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</si>
  <si>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</si>
  <si>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</si>
  <si>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</si>
  <si>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</si>
  <si>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</si>
  <si>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</si>
  <si>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</si>
  <si>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</si>
  <si>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</si>
  <si>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</si>
  <si>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</si>
  <si>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</si>
  <si>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</si>
  <si>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</si>
  <si>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</si>
  <si>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</si>
  <si>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</si>
  <si>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</si>
  <si>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</si>
  <si>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</si>
  <si>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</si>
  <si>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</si>
  <si>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</si>
  <si>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</si>
  <si>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</si>
  <si>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</si>
  <si>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</si>
  <si>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</si>
  <si>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</si>
  <si>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</si>
  <si>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</si>
  <si>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</si>
  <si>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</si>
  <si>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</si>
  <si>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</si>
  <si>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</si>
  <si>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</si>
  <si>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</si>
  <si>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</si>
  <si>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</si>
  <si>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</si>
  <si>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</si>
  <si>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</si>
  <si>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</si>
  <si>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</si>
  <si>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</si>
  <si>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</si>
  <si>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</si>
  <si>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</si>
  <si>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</si>
  <si>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</si>
  <si>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</si>
  <si>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</si>
  <si>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</si>
  <si>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</si>
  <si>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</si>
  <si>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</si>
  <si>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</si>
  <si>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</si>
  <si>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</si>
  <si>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</si>
  <si>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</si>
  <si>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</si>
  <si>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</si>
  <si>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</si>
  <si>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</si>
  <si>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</si>
  <si>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</si>
  <si>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</si>
  <si>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</si>
  <si>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</si>
  <si>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</si>
  <si>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</si>
  <si>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</si>
  <si>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</si>
  <si>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</si>
  <si>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</si>
  <si>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</si>
  <si>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</si>
  <si>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</si>
  <si>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</si>
  <si>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</si>
  <si>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</si>
  <si>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</si>
  <si>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</si>
  <si>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</si>
  <si>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</si>
  <si>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</si>
  <si>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</si>
  <si>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</si>
  <si>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</si>
  <si>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</si>
  <si>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</si>
  <si>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</si>
  <si>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</si>
  <si>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</si>
  <si>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</si>
  <si>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</si>
  <si>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</si>
  <si>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</si>
  <si>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</si>
  <si>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</si>
  <si>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</si>
  <si>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</si>
  <si>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</si>
  <si>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</si>
  <si>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</si>
  <si>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</si>
  <si>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</si>
  <si>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</si>
  <si>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</si>
  <si>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</si>
  <si>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</si>
  <si>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</si>
  <si>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</si>
  <si>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</si>
  <si>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</si>
  <si>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</si>
  <si>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</si>
  <si>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</si>
  <si>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</si>
  <si>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</si>
  <si>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</si>
  <si>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</si>
  <si>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2018-1-0689</t>
    <phoneticPr fontId="6" type="noConversion"/>
  </si>
  <si>
    <t>王鹏</t>
  </si>
  <si>
    <t>郑燚</t>
  </si>
  <si>
    <t>泉州华大泰禾广场投资有限公司</t>
    <phoneticPr fontId="6" type="noConversion"/>
  </si>
  <si>
    <t>大业信托</t>
    <phoneticPr fontId="6" type="noConversion"/>
  </si>
  <si>
    <t>抵押</t>
  </si>
  <si>
    <t>房地产抵押价值</t>
  </si>
  <si>
    <t>其他：</t>
  </si>
  <si>
    <t>福建省泉州市</t>
    <phoneticPr fontId="6" type="noConversion"/>
  </si>
  <si>
    <r>
      <rPr>
        <sz val="12"/>
        <color theme="9" tint="-0.249977111117893"/>
        <rFont val="宋体"/>
        <family val="3"/>
        <charset val="134"/>
      </rPr>
      <t>丰泽区城东组团华大片区，东至铁路，西至</t>
    </r>
    <r>
      <rPr>
        <sz val="12"/>
        <color theme="9" tint="-0.249977111117893"/>
        <rFont val="Arial"/>
        <family val="2"/>
      </rPr>
      <t>324</t>
    </r>
    <r>
      <rPr>
        <sz val="12"/>
        <color theme="9" tint="-0.249977111117893"/>
        <rFont val="宋体"/>
        <family val="3"/>
        <charset val="134"/>
      </rPr>
      <t>国道，南邻通源街，北至城东街</t>
    </r>
    <r>
      <rPr>
        <sz val="12"/>
        <color theme="9" tint="-0.249977111117893"/>
        <rFont val="Arial"/>
        <family val="2"/>
      </rPr>
      <t>2012-16</t>
    </r>
    <r>
      <rPr>
        <sz val="12"/>
        <color theme="9" tint="-0.249977111117893"/>
        <rFont val="宋体"/>
        <family val="3"/>
        <charset val="134"/>
      </rPr>
      <t>号地块一期</t>
    </r>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</si>
  <si>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</si>
  <si>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</si>
  <si>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</si>
  <si>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t>
    </r>
    <r>
      <rPr>
        <sz val="12"/>
        <color theme="9" tint="-0.249977111117893"/>
        <rFont val="宋体"/>
        <family val="3"/>
        <charset val="134"/>
      </rPr>
      <t>年、地下车库</t>
    </r>
    <r>
      <rPr>
        <sz val="12"/>
        <color theme="9" tint="-0.249977111117893"/>
        <rFont val="Arial"/>
        <family val="2"/>
      </rPr>
      <t>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</si>
  <si>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泉国有（</t>
    </r>
    <r>
      <rPr>
        <sz val="12"/>
        <color theme="9" tint="-0.249977111117893"/>
        <rFont val="Arial"/>
        <family val="2"/>
      </rPr>
      <t>2013</t>
    </r>
    <r>
      <rPr>
        <sz val="12"/>
        <color theme="9" tint="-0.249977111117893"/>
        <rFont val="宋体"/>
        <family val="3"/>
        <charset val="134"/>
      </rPr>
      <t>）第</t>
    </r>
    <r>
      <rPr>
        <sz val="12"/>
        <color theme="9" tint="-0.249977111117893"/>
        <rFont val="Arial"/>
        <family val="2"/>
      </rPr>
      <t>200160</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</si>
  <si>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350503201630013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</si>
  <si>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《国有土地使用证》</t>
  </si>
  <si>
    <t>综合项目（商业、办公）</t>
  </si>
  <si>
    <t>无</t>
  </si>
  <si>
    <t>否</t>
  </si>
  <si>
    <t>在建</t>
  </si>
  <si>
    <t>通路</t>
  </si>
  <si>
    <t>通电</t>
  </si>
  <si>
    <t>通讯</t>
  </si>
  <si>
    <t>通上水</t>
  </si>
  <si>
    <t>通下水</t>
  </si>
  <si>
    <t>是</t>
  </si>
  <si>
    <t>地上</t>
  </si>
  <si>
    <t>地下</t>
  </si>
  <si>
    <t>车库</t>
  </si>
  <si>
    <t>售价</t>
  </si>
  <si>
    <t>元/车位</t>
  </si>
  <si>
    <t>估价对象周边居住用地比例较大、居住小区规模较大和社区发展完善程度较好，综合评价居住社区成熟度较好。</t>
    <phoneticPr fontId="41" type="noConversion"/>
  </si>
  <si>
    <t>城市主干道——城华南路</t>
    <phoneticPr fontId="25" type="noConversion"/>
  </si>
  <si>
    <t>地下车库</t>
    <phoneticPr fontId="32" type="noConversion"/>
  </si>
  <si>
    <t>40-50（含）</t>
  </si>
  <si>
    <t>华大泰禾广场</t>
    <phoneticPr fontId="3" type="noConversion"/>
  </si>
  <si>
    <t>保利城</t>
    <phoneticPr fontId="3" type="noConversion"/>
  </si>
  <si>
    <t>绿创山语城</t>
    <phoneticPr fontId="3" type="noConversion"/>
  </si>
  <si>
    <t>澜湖郡</t>
    <phoneticPr fontId="3" type="noConversion"/>
  </si>
  <si>
    <t>车库：</t>
    <phoneticPr fontId="143" type="noConversion"/>
  </si>
  <si>
    <t>丰泽区324国道与城东街交汇处</t>
    <phoneticPr fontId="3" type="noConversion"/>
  </si>
  <si>
    <t>丰泽区安吉路18号</t>
    <phoneticPr fontId="3" type="noConversion"/>
  </si>
  <si>
    <t>较好</t>
  </si>
  <si>
    <t>一般</t>
  </si>
  <si>
    <r>
      <rPr>
        <sz val="11"/>
        <rFont val="宋体"/>
        <family val="3"/>
        <charset val="134"/>
      </rPr>
      <t>周边路网密集程度一般、公共交通通达情况一般，有</t>
    </r>
    <r>
      <rPr>
        <sz val="11"/>
        <rFont val="Arial"/>
        <family val="2"/>
      </rPr>
      <t>3</t>
    </r>
    <r>
      <rPr>
        <sz val="11"/>
        <rFont val="宋体"/>
        <family val="3"/>
        <charset val="134"/>
      </rPr>
      <t>路、</t>
    </r>
    <r>
      <rPr>
        <sz val="11"/>
        <rFont val="Arial"/>
        <family val="2"/>
      </rPr>
      <t>26</t>
    </r>
    <r>
      <rPr>
        <sz val="11"/>
        <rFont val="宋体"/>
        <family val="3"/>
        <charset val="134"/>
      </rPr>
      <t>路等公共交通，停车便捷程度一般，综合评价交通便捷度一般。</t>
    </r>
    <phoneticPr fontId="32" type="noConversion"/>
  </si>
  <si>
    <t>是</t>
    <phoneticPr fontId="32" type="noConversion"/>
  </si>
  <si>
    <t>否</t>
    <phoneticPr fontId="32" type="noConversion"/>
  </si>
  <si>
    <t>住宅配套</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</si>
  <si>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</si>
  <si>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</si>
  <si>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</si>
  <si>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</si>
  <si>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</si>
  <si>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地上用途</t>
    <phoneticPr fontId="32" type="noConversion"/>
  </si>
  <si>
    <t>公寓</t>
    <phoneticPr fontId="32" type="noConversion"/>
  </si>
  <si>
    <t>商业</t>
    <phoneticPr fontId="32" type="noConversion"/>
  </si>
  <si>
    <t>住宅</t>
    <phoneticPr fontId="32" type="noConversion"/>
  </si>
  <si>
    <t>五通</t>
  </si>
  <si>
    <r>
      <rPr>
        <sz val="11"/>
        <rFont val="宋体"/>
        <family val="3"/>
        <charset val="134"/>
      </rPr>
      <t>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phoneticPr fontId="32" type="noConversion"/>
  </si>
  <si>
    <r>
      <rPr>
        <sz val="11"/>
        <rFont val="宋体"/>
        <family val="3"/>
        <charset val="134"/>
      </rPr>
      <t>区域自然环境：绿化条件较好，</t>
    </r>
    <r>
      <rPr>
        <sz val="11"/>
        <rFont val="Arial"/>
        <family val="2"/>
      </rPr>
      <t>2</t>
    </r>
    <r>
      <rPr>
        <sz val="11"/>
        <rFont val="宋体"/>
        <family val="3"/>
        <charset val="134"/>
      </rPr>
      <t>公里内无公园；人文环境：有华侨大学等人文景观；综合评价环境状况一般。</t>
    </r>
    <phoneticPr fontId="32" type="noConversion"/>
  </si>
  <si>
    <r>
      <rPr>
        <sz val="11"/>
        <rFont val="宋体"/>
        <family val="3"/>
        <charset val="134"/>
      </rPr>
      <t>区域自然环境：绿化条件较好，</t>
    </r>
    <r>
      <rPr>
        <sz val="11"/>
        <rFont val="Arial"/>
        <family val="2"/>
      </rPr>
      <t>2</t>
    </r>
    <r>
      <rPr>
        <sz val="11"/>
        <rFont val="宋体"/>
        <family val="3"/>
        <charset val="134"/>
      </rPr>
      <t>公里内有桃花山公园；人文环境：无博物馆、展览馆等人文景观；综合评价环境状况一般。</t>
    </r>
    <phoneticPr fontId="32" type="noConversion"/>
  </si>
  <si>
    <t>丰泽区华大街道华侨大学东侧水木春天售楼部</t>
    <phoneticPr fontId="3" type="noConversion"/>
  </si>
  <si>
    <r>
      <rPr>
        <sz val="11"/>
        <rFont val="宋体"/>
        <family val="3"/>
        <charset val="134"/>
      </rPr>
      <t>周边路网密集程度一般、公共交通通达情况一般，有</t>
    </r>
    <r>
      <rPr>
        <sz val="11"/>
        <rFont val="Arial"/>
        <family val="2"/>
      </rPr>
      <t>19</t>
    </r>
    <r>
      <rPr>
        <sz val="11"/>
        <rFont val="宋体"/>
        <family val="3"/>
        <charset val="134"/>
      </rPr>
      <t>路、</t>
    </r>
    <r>
      <rPr>
        <sz val="11"/>
        <rFont val="Arial"/>
        <family val="2"/>
      </rPr>
      <t>42</t>
    </r>
    <r>
      <rPr>
        <sz val="11"/>
        <rFont val="宋体"/>
        <family val="3"/>
        <charset val="134"/>
      </rPr>
      <t>路等公共交通，停车便捷程度一般，综合评价交通便捷度一般。</t>
    </r>
    <phoneticPr fontId="32" type="noConversion"/>
  </si>
  <si>
    <r>
      <rPr>
        <sz val="11"/>
        <rFont val="宋体"/>
        <family val="3"/>
        <charset val="134"/>
      </rPr>
      <t>周边路网密集程度一般、公共交通通达情况一般，有</t>
    </r>
    <r>
      <rPr>
        <sz val="11"/>
        <rFont val="Arial"/>
        <family val="2"/>
      </rPr>
      <t>3</t>
    </r>
    <r>
      <rPr>
        <sz val="11"/>
        <rFont val="宋体"/>
        <family val="3"/>
        <charset val="134"/>
      </rPr>
      <t>路、</t>
    </r>
    <r>
      <rPr>
        <sz val="11"/>
        <rFont val="Arial"/>
        <family val="2"/>
      </rPr>
      <t>26</t>
    </r>
    <r>
      <rPr>
        <sz val="11"/>
        <rFont val="宋体"/>
        <family val="3"/>
        <charset val="134"/>
      </rPr>
      <t>路等公共交通，停车便捷程度一般，综合评价交通便捷度一般。</t>
    </r>
    <phoneticPr fontId="32" type="noConversion"/>
  </si>
  <si>
    <r>
      <rPr>
        <sz val="11"/>
        <rFont val="宋体"/>
        <family val="3"/>
        <charset val="134"/>
      </rPr>
      <t>区域自然环境：绿化条件较好，</t>
    </r>
    <r>
      <rPr>
        <sz val="11"/>
        <rFont val="Arial"/>
        <family val="2"/>
      </rPr>
      <t>2</t>
    </r>
    <r>
      <rPr>
        <sz val="11"/>
        <rFont val="宋体"/>
        <family val="3"/>
        <charset val="134"/>
      </rPr>
      <t>公里内无公园；人文环境：有泉州市海峡体育中心等人文景观；综合评价环境状况一般。</t>
    </r>
    <phoneticPr fontId="32" type="noConversion"/>
  </si>
  <si>
    <t>收益法</t>
  </si>
  <si>
    <t>在建（套用方法）</t>
  </si>
  <si>
    <t>钢混</t>
  </si>
  <si>
    <t>非生产用房</t>
  </si>
  <si>
    <t>商业街商业</t>
  </si>
  <si>
    <t>商业街商业</t>
    <phoneticPr fontId="31" type="noConversion"/>
  </si>
  <si>
    <t>独栋商业</t>
  </si>
  <si>
    <t>独栋商业</t>
    <phoneticPr fontId="31" type="noConversion"/>
  </si>
  <si>
    <t>办公配套</t>
    <phoneticPr fontId="31" type="noConversion"/>
  </si>
  <si>
    <t>住宅底商</t>
    <phoneticPr fontId="31" type="noConversion"/>
  </si>
  <si>
    <t>钢结构</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</si>
  <si>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</si>
  <si>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</si>
  <si>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</si>
  <si>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</si>
  <si>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</si>
  <si>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</si>
  <si>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</si>
  <si>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</si>
  <si>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</si>
  <si>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</si>
  <si>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</si>
  <si>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phoneticPr fontId="31" type="noConversion"/>
  </si>
  <si>
    <t>不可餐饮</t>
    <phoneticPr fontId="31" type="noConversion"/>
  </si>
  <si>
    <t>星光耀广场</t>
    <phoneticPr fontId="3" type="noConversion"/>
  </si>
  <si>
    <t>宝德国际商铺</t>
    <phoneticPr fontId="3" type="noConversion"/>
  </si>
  <si>
    <t>东海泰禾广场</t>
    <phoneticPr fontId="3" type="noConversion"/>
  </si>
  <si>
    <t>30-40（含）</t>
  </si>
  <si>
    <t>华大泰禾广场</t>
    <phoneticPr fontId="3" type="noConversion"/>
  </si>
  <si>
    <t>丰泽区城东组团华大片区，东至铁路，西至324国道，南邻通源街，北至城东街2012-16号地块一期</t>
    <phoneticPr fontId="3" type="noConversion"/>
  </si>
  <si>
    <t>新塘街道梧林社区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</si>
  <si>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</si>
  <si>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</si>
  <si>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</si>
  <si>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罗山街道社店社区</t>
    <phoneticPr fontId="3" type="noConversion"/>
  </si>
  <si>
    <t>桃城镇桃东社区</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</si>
  <si>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</si>
  <si>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商业34年</t>
    <phoneticPr fontId="31" type="noConversion"/>
  </si>
  <si>
    <t>多面临街</t>
  </si>
  <si>
    <t>单面临街</t>
  </si>
  <si>
    <t>不规则</t>
    <phoneticPr fontId="31" type="noConversion"/>
  </si>
  <si>
    <t>规则</t>
    <phoneticPr fontId="31" type="noConversion"/>
  </si>
  <si>
    <t>较规则</t>
  </si>
  <si>
    <t>较规则</t>
    <phoneticPr fontId="31" type="noConversion"/>
  </si>
  <si>
    <t>较不规则</t>
  </si>
  <si>
    <t>较不规则</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</si>
  <si>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</si>
  <si>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</si>
  <si>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</si>
  <si>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</si>
  <si>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</si>
  <si>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</si>
  <si>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较差</t>
  </si>
  <si>
    <t>周边居住用地比例较小、居住小区规模较小、零星分布居住社区且发展完善程度较差，综合评价居住社区成熟度较差。</t>
    <phoneticPr fontId="31" type="noConversion"/>
  </si>
  <si>
    <t>位于晋江市，周边商业氛围较不成熟，人流量较小，商业繁华度较差。</t>
    <phoneticPr fontId="31" type="noConversion"/>
  </si>
  <si>
    <t>估价对象所在区域基础设施水平达到“五通”。</t>
    <phoneticPr fontId="25" type="noConversion"/>
  </si>
  <si>
    <r>
      <rPr>
        <sz val="11"/>
        <rFont val="宋体"/>
        <family val="3"/>
        <charset val="134"/>
      </rPr>
      <t>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phoneticPr fontId="31" type="noConversion"/>
  </si>
  <si>
    <t>周边多为住宅用地，区域土地利用方向较一致。</t>
    <phoneticPr fontId="25" type="noConversion"/>
  </si>
  <si>
    <t>估价对象位于丰泽区城东组团华大片区，周边办公楼项目较多，入驻率较高，有兴业大厦、博亚大厦等，办公集聚程度较好。</t>
    <phoneticPr fontId="25" type="noConversion"/>
  </si>
  <si>
    <t>位于晋江市，周边办公楼项目数量一般，入驻率一般，有红喜工业大厦、大福全综合楼等，办公集聚程度一般。</t>
    <phoneticPr fontId="31" type="noConversion"/>
  </si>
  <si>
    <t>周边路网密集程度较差、公共交通通达情况一般，有晋江43路等公共交通，停车便捷程度一般，综合评价交通便捷度较差。</t>
    <phoneticPr fontId="31" type="noConversion"/>
  </si>
  <si>
    <r>
      <rPr>
        <sz val="11"/>
        <rFont val="宋体"/>
        <family val="3"/>
        <charset val="134"/>
      </rPr>
      <t>区域自然环境：绿化条件较好，</t>
    </r>
    <r>
      <rPr>
        <sz val="11"/>
        <rFont val="Arial"/>
        <family val="2"/>
      </rPr>
      <t>2</t>
    </r>
    <r>
      <rPr>
        <sz val="11"/>
        <rFont val="宋体"/>
        <family val="3"/>
        <charset val="134"/>
      </rPr>
      <t>公里内有清风园等自然景观；人文环境：无博物馆、展览馆等人文景观；综合评价环境状况较差。</t>
    </r>
    <phoneticPr fontId="31" type="noConversion"/>
  </si>
  <si>
    <t>位于晋江市，周边商业氛围成熟度一般，人流量一般，商业繁华度一般。</t>
    <phoneticPr fontId="31" type="noConversion"/>
  </si>
  <si>
    <t>周边居住用地比例一般、居住小区规模一般、社区发展完善程度一般，综合评价居住社区成熟度一般                                             。</t>
    <phoneticPr fontId="31" type="noConversion"/>
  </si>
  <si>
    <t>位于晋江市，周边办公楼项目数量一般，入驻率一般，有中南大厦、百事利大厦等，办公集聚程度一般。</t>
    <phoneticPr fontId="31" type="noConversion"/>
  </si>
  <si>
    <r>
      <rPr>
        <sz val="11"/>
        <rFont val="宋体"/>
        <family val="3"/>
        <charset val="134"/>
      </rPr>
      <t>周边路网密集程度一般、公共交通通达情况一般，有晋江</t>
    </r>
    <r>
      <rPr>
        <sz val="11"/>
        <rFont val="Arial"/>
        <family val="2"/>
      </rPr>
      <t>1</t>
    </r>
    <r>
      <rPr>
        <sz val="11"/>
        <rFont val="宋体"/>
        <family val="3"/>
        <charset val="134"/>
      </rPr>
      <t>路、晋江</t>
    </r>
    <r>
      <rPr>
        <sz val="11"/>
        <rFont val="Arial"/>
        <family val="2"/>
      </rPr>
      <t>28</t>
    </r>
    <r>
      <rPr>
        <sz val="11"/>
        <rFont val="宋体"/>
        <family val="3"/>
        <charset val="134"/>
      </rPr>
      <t>路等公共交通，停车便捷程度一般，综合评价交通便捷度一般。</t>
    </r>
    <phoneticPr fontId="31" type="noConversion"/>
  </si>
  <si>
    <r>
      <rPr>
        <sz val="11"/>
        <rFont val="宋体"/>
        <family val="3"/>
        <charset val="134"/>
      </rPr>
      <t>区域自然环境：绿化条件较好，</t>
    </r>
    <r>
      <rPr>
        <sz val="11"/>
        <rFont val="Arial"/>
        <family val="2"/>
      </rPr>
      <t>2</t>
    </r>
    <r>
      <rPr>
        <sz val="11"/>
        <rFont val="宋体"/>
        <family val="3"/>
        <charset val="134"/>
      </rPr>
      <t>公里内有草庵摩尼教遗址公园等自然景观；人文环境：晋江城市展馆等人文景观；综合评价环境状况一般。</t>
    </r>
    <phoneticPr fontId="31" type="noConversion"/>
  </si>
  <si>
    <t>位于永春县，周边商业氛围较不成熟，人流量较小，商业繁华度较差。</t>
    <phoneticPr fontId="31" type="noConversion"/>
  </si>
  <si>
    <t>位于永春县，周边办公楼项目数量稀少，入驻率较低，办公集聚程度较差。</t>
    <phoneticPr fontId="31" type="noConversion"/>
  </si>
  <si>
    <r>
      <rPr>
        <sz val="11"/>
        <rFont val="宋体"/>
        <family val="3"/>
        <charset val="134"/>
      </rPr>
      <t>周边路网密集程度一般、公共交通通达情况一般，有晋江</t>
    </r>
    <r>
      <rPr>
        <sz val="11"/>
        <rFont val="Arial"/>
        <family val="2"/>
      </rPr>
      <t>1</t>
    </r>
    <r>
      <rPr>
        <sz val="11"/>
        <rFont val="宋体"/>
        <family val="3"/>
        <charset val="134"/>
      </rPr>
      <t>路、永安</t>
    </r>
    <r>
      <rPr>
        <sz val="11"/>
        <rFont val="Arial"/>
        <family val="2"/>
      </rPr>
      <t>92</t>
    </r>
    <r>
      <rPr>
        <sz val="11"/>
        <rFont val="宋体"/>
        <family val="3"/>
        <charset val="134"/>
      </rPr>
      <t>路等公共交通，停车便捷程度一般，综合评价交通便捷度一般。</t>
    </r>
    <phoneticPr fontId="31" type="noConversion"/>
  </si>
  <si>
    <r>
      <rPr>
        <sz val="11"/>
        <rFont val="宋体"/>
        <family val="3"/>
        <charset val="134"/>
      </rPr>
      <t>区域自然环境：绿化条件较好，</t>
    </r>
    <r>
      <rPr>
        <sz val="11"/>
        <rFont val="Arial"/>
        <family val="2"/>
      </rPr>
      <t>2</t>
    </r>
    <r>
      <rPr>
        <sz val="11"/>
        <rFont val="宋体"/>
        <family val="3"/>
        <charset val="134"/>
      </rPr>
      <t>公里内有锣鼓山等多处自然景观；人文环境：无博物馆、展览馆等人文景观；综合评价环境状况一般。</t>
    </r>
    <phoneticPr fontId="31" type="noConversion"/>
  </si>
  <si>
    <t>所在区域2公里内有：银行（中国邮政储蓄银行、晋江农商银行），购物（乐家家购物中心、华龙超市），医院（后洋骨科、石狮京都医院），学校（梧林铭仁学校、新塘街道雁峰小学）等，公共配套设施齐备情况一般。</t>
    <phoneticPr fontId="31" type="noConversion"/>
  </si>
  <si>
    <t>所在区域2公里内有：银行（中国邮政储蓄银行、晋江农商银行），购物（集客来购物广场、世纪雅苑超市），医院（社店社区卫生服务站），学校（三龙幼儿园、荣宗小学）等，公共配套设施齐备情况一般。</t>
    <phoneticPr fontId="31" type="noConversion"/>
  </si>
  <si>
    <t>已包含在土地取得成本中</t>
  </si>
  <si>
    <t>未包含在土地购买价格中</t>
  </si>
  <si>
    <t>成本法</t>
  </si>
  <si>
    <t>假设开发法</t>
  </si>
  <si>
    <t>所在区域2公里内有：银行，购物，医院，学校等零星分布，公共配套设施齐备情况较差。</t>
    <phoneticPr fontId="31" type="noConversion"/>
  </si>
  <si>
    <t>底商</t>
  </si>
  <si>
    <t>SOHO</t>
  </si>
  <si>
    <t>SOHO</t>
    <phoneticPr fontId="7" type="noConversion"/>
  </si>
  <si>
    <t>底商</t>
    <phoneticPr fontId="7" type="noConversion"/>
  </si>
  <si>
    <t>地下车库</t>
    <phoneticPr fontId="7" type="noConversion"/>
  </si>
  <si>
    <t>有规划</t>
    <phoneticPr fontId="3" type="noConversion"/>
  </si>
  <si>
    <t>办公</t>
    <phoneticPr fontId="3" type="noConversion"/>
  </si>
  <si>
    <t>共计</t>
    <phoneticPr fontId="3" type="noConversion"/>
  </si>
  <si>
    <t>无规划</t>
    <phoneticPr fontId="3" type="noConversion"/>
  </si>
  <si>
    <t>共两栋，均为地上27层，一栋建至地上17层，另一栋建至地上10层</t>
    <phoneticPr fontId="3" type="noConversion"/>
  </si>
  <si>
    <t>商业</t>
    <phoneticPr fontId="3" type="noConversion"/>
  </si>
  <si>
    <t>刺桐 城里</t>
    <phoneticPr fontId="3" type="noConversion"/>
  </si>
  <si>
    <t>澜湖郡</t>
    <phoneticPr fontId="3" type="noConversion"/>
  </si>
  <si>
    <t>住宅底商</t>
  </si>
  <si>
    <t>1层</t>
    <phoneticPr fontId="143" type="noConversion"/>
  </si>
  <si>
    <t>2层</t>
    <phoneticPr fontId="143"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</si>
  <si>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</si>
  <si>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</si>
  <si>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</si>
  <si>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</si>
  <si>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</si>
  <si>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</si>
  <si>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r>
      <t>S</t>
    </r>
    <r>
      <rPr>
        <sz val="11"/>
        <color theme="1"/>
        <rFont val="宋体"/>
        <family val="3"/>
        <charset val="134"/>
        <scheme val="minor"/>
      </rPr>
      <t>OHO：</t>
    </r>
    <phoneticPr fontId="143" type="noConversion"/>
  </si>
  <si>
    <t>丰泽区海峡体育中心东门正对面</t>
    <phoneticPr fontId="3" type="noConversion"/>
  </si>
  <si>
    <t>丰泽区海峡体育中心东门正对面</t>
    <phoneticPr fontId="3" type="noConversion"/>
  </si>
  <si>
    <t>周边居住用地比例较大、居住小区规模较大，社区发展完善程度较好，有中骏世界城、滨海华庭小区等住宅社区，综合评价居住社区成熟度较好。</t>
    <phoneticPr fontId="25" type="noConversion"/>
  </si>
  <si>
    <t>七通</t>
    <phoneticPr fontId="25" type="noConversion"/>
  </si>
  <si>
    <t>六通</t>
  </si>
  <si>
    <t>六通</t>
    <phoneticPr fontId="25" type="noConversion"/>
  </si>
  <si>
    <t>五通</t>
    <phoneticPr fontId="25" type="noConversion"/>
  </si>
  <si>
    <t>四通</t>
    <phoneticPr fontId="25" type="noConversion"/>
  </si>
  <si>
    <t>三通</t>
    <phoneticPr fontId="25" type="noConversion"/>
  </si>
  <si>
    <r>
      <rPr>
        <sz val="11"/>
        <rFont val="宋体"/>
        <family val="3"/>
        <charset val="134"/>
      </rPr>
      <t>区域自然环境：绿化条件较好，</t>
    </r>
    <r>
      <rPr>
        <sz val="11"/>
        <rFont val="Arial"/>
        <family val="2"/>
      </rPr>
      <t>2</t>
    </r>
    <r>
      <rPr>
        <sz val="11"/>
        <rFont val="宋体"/>
        <family val="3"/>
        <charset val="134"/>
      </rPr>
      <t>公里有青莲寺等自然景观；人文环境：有泉州市海峡体育中心等人文景观；综合评价环境状况一般。</t>
    </r>
    <phoneticPr fontId="32" type="noConversion"/>
  </si>
  <si>
    <t>丰泽区田安北路460号</t>
    <phoneticPr fontId="3" type="noConversion"/>
  </si>
  <si>
    <t>周边居住用地比例较大、居住小区规模较大，社区发展完善程度较好，有圣湖小区、国际星城等住宅社区，综合评价居住社区成熟度较好。</t>
    <phoneticPr fontId="25" type="noConversion"/>
  </si>
  <si>
    <r>
      <rPr>
        <sz val="11"/>
        <rFont val="宋体"/>
        <family val="3"/>
        <charset val="134"/>
      </rPr>
      <t>周边路网较密集、公共交通通达情况较好，有</t>
    </r>
    <r>
      <rPr>
        <sz val="11"/>
        <rFont val="Arial"/>
        <family val="2"/>
      </rPr>
      <t>17</t>
    </r>
    <r>
      <rPr>
        <sz val="11"/>
        <rFont val="宋体"/>
        <family val="3"/>
        <charset val="134"/>
      </rPr>
      <t>路、</t>
    </r>
    <r>
      <rPr>
        <sz val="11"/>
        <rFont val="Arial"/>
        <family val="2"/>
      </rPr>
      <t>27</t>
    </r>
    <r>
      <rPr>
        <sz val="11"/>
        <rFont val="宋体"/>
        <family val="3"/>
        <charset val="134"/>
      </rPr>
      <t>路、</t>
    </r>
    <r>
      <rPr>
        <sz val="11"/>
        <rFont val="Arial"/>
        <family val="2"/>
      </rPr>
      <t>41</t>
    </r>
    <r>
      <rPr>
        <sz val="11"/>
        <rFont val="宋体"/>
        <family val="3"/>
        <charset val="134"/>
      </rPr>
      <t>路等公共交通，停车便捷程度较好，综合评价交通便捷度较好。</t>
    </r>
    <phoneticPr fontId="32" type="noConversion"/>
  </si>
  <si>
    <t>所在区域2公里内有：银行（中国工商银行、兴业银行），购物（万达广场、中骏世界城），医院（泉州市第一医院城东分院），学校（泉州第十一中学、泉州海滨小学）等，公共配套设施齐备情况较好。</t>
    <phoneticPr fontId="32" type="noConversion"/>
  </si>
  <si>
    <t>所在区域2公里内有：银行（中国工商银行、中国银行），购物（香港城购物中心、隆盛兴超市），医院（华侨大学医院），学校（城东中学、鹤山小学）等，公共配套设施齐备情况较好。</t>
    <phoneticPr fontId="32" type="noConversion"/>
  </si>
  <si>
    <t>所在区域2公里内有：银行（中国建设银行、中国光大银行），购物（万达广场、百旺乐天天购物广场），学校（泉州市第五中学、丰泽区第五中心小学）等，无医院，公共配套设施齐备情况一般。</t>
    <phoneticPr fontId="32" type="noConversion"/>
  </si>
  <si>
    <r>
      <rPr>
        <sz val="11"/>
        <rFont val="宋体"/>
        <family val="3"/>
        <charset val="134"/>
      </rPr>
      <t>所在区域</t>
    </r>
    <r>
      <rPr>
        <sz val="11"/>
        <rFont val="Arial"/>
        <family val="2"/>
      </rPr>
      <t>1</t>
    </r>
    <r>
      <rPr>
        <sz val="11"/>
        <rFont val="宋体"/>
        <family val="3"/>
        <charset val="134"/>
      </rPr>
      <t>公里内有：银行（中国建设银行、中国农业银行），购物（新华都购物广场、新华都超市），医院（泉州市妇幼保健儿童医院），学校（泉州第十中学、泉州湖心小学）等，公共配套设施齐备情况较好。</t>
    </r>
    <phoneticPr fontId="32" type="noConversion"/>
  </si>
  <si>
    <r>
      <rPr>
        <sz val="11"/>
        <rFont val="宋体"/>
        <family val="3"/>
        <charset val="134"/>
      </rPr>
      <t>区域自然环境：绿化条件较好，</t>
    </r>
    <r>
      <rPr>
        <sz val="11"/>
        <rFont val="Arial"/>
        <family val="2"/>
      </rPr>
      <t>2</t>
    </r>
    <r>
      <rPr>
        <sz val="11"/>
        <rFont val="宋体"/>
        <family val="3"/>
        <charset val="134"/>
      </rPr>
      <t>公里有东湖公园、泉州灵山公园等自然景观；人文环境：有泉州海外交通史博物馆、泉州华侨历史博物馆等人文景观；综合评价环境状况较好。</t>
    </r>
    <phoneticPr fontId="32" type="noConversion"/>
  </si>
  <si>
    <t>钢</t>
    <phoneticPr fontId="25" type="noConversion"/>
  </si>
  <si>
    <t>钢混</t>
    <phoneticPr fontId="25" type="noConversion"/>
  </si>
  <si>
    <t>混合</t>
    <phoneticPr fontId="25" type="noConversion"/>
  </si>
  <si>
    <t>丰泽区安吉南路</t>
    <phoneticPr fontId="3" type="noConversion"/>
  </si>
  <si>
    <t>商业：</t>
    <phoneticPr fontId="143" type="noConversion"/>
  </si>
  <si>
    <t>丰泽区城东街与鹤山路交叉口东北100米</t>
    <phoneticPr fontId="3" type="noConversion"/>
  </si>
  <si>
    <t>项目位置丰泽区通港西街与东滨路交会处</t>
    <phoneticPr fontId="3"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</si>
  <si>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</si>
  <si>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</si>
  <si>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</si>
  <si>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</si>
  <si>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</si>
  <si>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</si>
  <si>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</si>
  <si>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</si>
  <si>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</si>
  <si>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</si>
  <si>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t>估价对象所在区域2公里内有：银行（中国银行、泉州银行），购物（香港城购物中心、新天意购物广场），医院（丰泽常橙医院、华侨大学医院），学校（城东中学、鹤山小学）等，公共配套设施齐备情况较好。</t>
    <phoneticPr fontId="41" type="noConversion"/>
  </si>
  <si>
    <r>
      <rPr>
        <sz val="11"/>
        <rFont val="宋体"/>
        <family val="3"/>
        <charset val="134"/>
      </rPr>
      <t>所在区域</t>
    </r>
    <r>
      <rPr>
        <sz val="11"/>
        <rFont val="Arial"/>
        <family val="2"/>
      </rPr>
      <t>2</t>
    </r>
    <r>
      <rPr>
        <sz val="11"/>
        <rFont val="宋体"/>
        <family val="3"/>
        <charset val="134"/>
      </rPr>
      <t>公里内有：银行（中国银行、泉州银行），购物（香港城购物中心、新天意购物广场），医院（丰泽常橙医院、华侨大学医院），学校（城东中学、鹤山小学）等，公共配套设施齐备情况较好。</t>
    </r>
    <phoneticPr fontId="31" type="noConversion"/>
  </si>
  <si>
    <t>估价对象周边路网密集程度一般、公共交通通达情况一般，有7路、11路、35路等公共交通，停车便捷程度一般，综合评价交通便捷度一般。</t>
    <phoneticPr fontId="41" type="noConversion"/>
  </si>
  <si>
    <r>
      <rPr>
        <sz val="11"/>
        <rFont val="宋体"/>
        <family val="3"/>
        <charset val="134"/>
      </rPr>
      <t>周边路网密集程度一般、公共交通通达情况一般，有</t>
    </r>
    <r>
      <rPr>
        <sz val="11"/>
        <rFont val="Arial"/>
        <family val="2"/>
      </rPr>
      <t>7</t>
    </r>
    <r>
      <rPr>
        <sz val="11"/>
        <rFont val="宋体"/>
        <family val="3"/>
        <charset val="134"/>
      </rPr>
      <t>路、</t>
    </r>
    <r>
      <rPr>
        <sz val="11"/>
        <rFont val="Arial"/>
        <family val="2"/>
      </rPr>
      <t>11</t>
    </r>
    <r>
      <rPr>
        <sz val="11"/>
        <rFont val="宋体"/>
        <family val="3"/>
        <charset val="134"/>
      </rPr>
      <t>路、</t>
    </r>
    <r>
      <rPr>
        <sz val="11"/>
        <rFont val="Arial"/>
        <family val="2"/>
      </rPr>
      <t>35</t>
    </r>
    <r>
      <rPr>
        <sz val="11"/>
        <rFont val="宋体"/>
        <family val="3"/>
        <charset val="134"/>
      </rPr>
      <t>路等公共交通，停车便捷程度一般，综合评价交通便捷度一般。</t>
    </r>
    <phoneticPr fontId="31" type="noConversion"/>
  </si>
  <si>
    <t>估价对象位于丰泽区城东组团华大片区，周边商业氛围成熟度一般，人流量一般，商业繁华度一般。</t>
    <phoneticPr fontId="25" type="noConversion"/>
  </si>
  <si>
    <t>位于丰泽区城东组团，周边商业氛围成熟度一般，人流量一般，商业繁华度一般。</t>
    <phoneticPr fontId="31" type="noConversion"/>
  </si>
  <si>
    <t>位于丰泽区城东组团，周边商业氛围成熟度较好，紧邻万达广场，人流量较大，商业繁华度较好。</t>
    <phoneticPr fontId="31" type="noConversion"/>
  </si>
  <si>
    <t>区域自然环境：绿化条件较好，2公里内无公园；人文环境：有华侨大学等人文景观；综合评价环境状况一般。</t>
    <phoneticPr fontId="41" type="noConversion"/>
  </si>
  <si>
    <r>
      <rPr>
        <sz val="11"/>
        <rFont val="宋体"/>
        <family val="3"/>
        <charset val="134"/>
      </rPr>
      <t>区域自然环境：绿化条件较好，</t>
    </r>
    <r>
      <rPr>
        <sz val="11"/>
        <rFont val="Arial"/>
        <family val="2"/>
      </rPr>
      <t>2</t>
    </r>
    <r>
      <rPr>
        <sz val="11"/>
        <rFont val="宋体"/>
        <family val="3"/>
        <charset val="134"/>
      </rPr>
      <t>公里内无公园；人文环境：有华侨大学等人文景观；综合评价环境状况一般。</t>
    </r>
    <phoneticPr fontId="31" type="noConversion"/>
  </si>
  <si>
    <r>
      <rPr>
        <sz val="11"/>
        <rFont val="宋体"/>
        <family val="3"/>
        <charset val="134"/>
      </rPr>
      <t>周边路网密集程度一般、公共交通通达情况一般，有</t>
    </r>
    <r>
      <rPr>
        <sz val="11"/>
        <rFont val="Arial"/>
        <family val="2"/>
      </rPr>
      <t>1</t>
    </r>
    <r>
      <rPr>
        <sz val="11"/>
        <rFont val="宋体"/>
        <family val="3"/>
        <charset val="134"/>
      </rPr>
      <t>路、</t>
    </r>
    <r>
      <rPr>
        <sz val="11"/>
        <rFont val="Arial"/>
        <family val="2"/>
      </rPr>
      <t>8</t>
    </r>
    <r>
      <rPr>
        <sz val="11"/>
        <rFont val="宋体"/>
        <family val="3"/>
        <charset val="134"/>
      </rPr>
      <t>路、</t>
    </r>
    <r>
      <rPr>
        <sz val="11"/>
        <rFont val="Arial"/>
        <family val="2"/>
      </rPr>
      <t>14</t>
    </r>
    <r>
      <rPr>
        <sz val="11"/>
        <rFont val="宋体"/>
        <family val="3"/>
        <charset val="134"/>
      </rPr>
      <t>路等公共交通，停车便捷程度一般，综合评价交通便捷度一般。</t>
    </r>
    <phoneticPr fontId="31" type="noConversion"/>
  </si>
  <si>
    <r>
      <rPr>
        <sz val="11"/>
        <rFont val="宋体"/>
        <family val="3"/>
        <charset val="134"/>
      </rPr>
      <t>所在区域</t>
    </r>
    <r>
      <rPr>
        <sz val="11"/>
        <rFont val="Arial"/>
        <family val="2"/>
      </rPr>
      <t>2</t>
    </r>
    <r>
      <rPr>
        <sz val="11"/>
        <rFont val="宋体"/>
        <family val="3"/>
        <charset val="134"/>
      </rPr>
      <t>公里内有：银行（中国建设银行、中国工商银行），购物（闽都购物广场、惠民超市），医院（泉州中科白癜风医院），学校（东海中学、泉州华侨小学）等，公共配套设施齐备情况较好。</t>
    </r>
    <phoneticPr fontId="31" type="noConversion"/>
  </si>
  <si>
    <r>
      <rPr>
        <sz val="11"/>
        <rFont val="宋体"/>
        <family val="3"/>
        <charset val="134"/>
      </rPr>
      <t>区域自然环境：绿化条件较好，</t>
    </r>
    <r>
      <rPr>
        <sz val="11"/>
        <rFont val="Arial"/>
        <family val="2"/>
      </rPr>
      <t>2</t>
    </r>
    <r>
      <rPr>
        <sz val="11"/>
        <rFont val="宋体"/>
        <family val="3"/>
        <charset val="134"/>
      </rPr>
      <t>公里有宝珊亲子公园等自然景观；人文环境：有黎明大学等人文景观；综合评价环境状况一般。</t>
    </r>
    <phoneticPr fontId="32" type="noConversion"/>
  </si>
  <si>
    <t>位于丰泽区东海组团，周边商业氛围成熟度较好，人流量较好，商业繁华度较好。</t>
    <phoneticPr fontId="31" type="noConversion"/>
  </si>
  <si>
    <t>不可餐饮</t>
  </si>
  <si>
    <t>可餐饮</t>
  </si>
  <si>
    <r>
      <t>1</t>
    </r>
    <r>
      <rPr>
        <sz val="11"/>
        <color indexed="8"/>
        <rFont val="宋体"/>
        <family val="3"/>
        <charset val="134"/>
      </rPr>
      <t>层</t>
    </r>
    <phoneticPr fontId="31" type="noConversion"/>
  </si>
  <si>
    <t>1层</t>
  </si>
  <si>
    <t>多面临街</t>
    <phoneticPr fontId="31" type="noConversion"/>
  </si>
  <si>
    <t>双面临街</t>
    <phoneticPr fontId="31" type="noConversion"/>
  </si>
  <si>
    <t>单面临街</t>
    <phoneticPr fontId="31" type="noConversion"/>
  </si>
  <si>
    <t>不临街</t>
    <phoneticPr fontId="31" type="noConversion"/>
  </si>
  <si>
    <t>公寓</t>
    <phoneticPr fontId="32" type="noConversion"/>
  </si>
  <si>
    <t>项目局部</t>
  </si>
  <si>
    <t>A1</t>
    <phoneticPr fontId="143" type="noConversion"/>
  </si>
  <si>
    <t>A4</t>
    <phoneticPr fontId="143" type="noConversion"/>
  </si>
  <si>
    <t>A3</t>
    <phoneticPr fontId="143" type="noConversion"/>
  </si>
  <si>
    <t>土地面积</t>
    <phoneticPr fontId="143" type="noConversion"/>
  </si>
  <si>
    <t>建筑物面积</t>
    <phoneticPr fontId="143" type="noConversion"/>
  </si>
  <si>
    <t>成本比率</t>
  </si>
  <si>
    <t>景观</t>
    <phoneticPr fontId="25" type="noConversion"/>
  </si>
  <si>
    <t>湖景</t>
    <phoneticPr fontId="25" type="noConversion"/>
  </si>
  <si>
    <t>无</t>
    <phoneticPr fontId="25"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</si>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</sst>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137" fillId="0" borderId="83" xfId="0" applyNumberFormat="1" applyFont="1" applyFill="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123825</xdr:colOff>
      <xdr:row>30</xdr:row>
      <xdr:rowOff>129539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6981825" cy="5273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30</xdr:row>
      <xdr:rowOff>104776</xdr:rowOff>
    </xdr:from>
    <xdr:to>
      <xdr:col>10</xdr:col>
      <xdr:colOff>38101</xdr:colOff>
      <xdr:row>63</xdr:row>
      <xdr:rowOff>94187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248276"/>
          <a:ext cx="6896100" cy="56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133351</xdr:rowOff>
    </xdr:from>
    <xdr:to>
      <xdr:col>10</xdr:col>
      <xdr:colOff>104775</xdr:colOff>
      <xdr:row>95</xdr:row>
      <xdr:rowOff>81679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934701"/>
          <a:ext cx="6962775" cy="5434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0</xdr:row>
      <xdr:rowOff>0</xdr:rowOff>
    </xdr:from>
    <xdr:to>
      <xdr:col>23</xdr:col>
      <xdr:colOff>323850</xdr:colOff>
      <xdr:row>35</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62775" y="0"/>
          <a:ext cx="9134475"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523875</xdr:colOff>
      <xdr:row>35</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612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152400</xdr:colOff>
      <xdr:row>0</xdr:row>
      <xdr:rowOff>0</xdr:rowOff>
    </xdr:from>
    <xdr:to>
      <xdr:col>17</xdr:col>
      <xdr:colOff>133350</xdr:colOff>
      <xdr:row>36</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5467350" cy="632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7</xdr:col>
      <xdr:colOff>381000</xdr:colOff>
      <xdr:row>63</xdr:row>
      <xdr:rowOff>47625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343650"/>
          <a:ext cx="5181600" cy="450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10</xdr:col>
      <xdr:colOff>581025</xdr:colOff>
      <xdr:row>34</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74390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35</xdr:row>
      <xdr:rowOff>152401</xdr:rowOff>
    </xdr:from>
    <xdr:to>
      <xdr:col>10</xdr:col>
      <xdr:colOff>542925</xdr:colOff>
      <xdr:row>64</xdr:row>
      <xdr:rowOff>50389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153151"/>
          <a:ext cx="7400924" cy="48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1</xdr:row>
      <xdr:rowOff>19050</xdr:rowOff>
    </xdr:from>
    <xdr:to>
      <xdr:col>23</xdr:col>
      <xdr:colOff>466605</xdr:colOff>
      <xdr:row>34</xdr:row>
      <xdr:rowOff>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39125" y="190500"/>
          <a:ext cx="8000880" cy="56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4&#22312;&#24314;&#65288;&#33258;&#25345;&#21830;&#19994;&#32508;&#21512;&#203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商业 (2)"/>
      <sheetName val="收益法 (地下商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及位置"/>
      <sheetName val="取费依据"/>
      <sheetName val="案例位置"/>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22911.8</v>
          </cell>
          <cell r="B3">
            <v>146597.31000000003</v>
          </cell>
        </row>
      </sheetData>
      <sheetData sheetId="12"/>
      <sheetData sheetId="13"/>
      <sheetData sheetId="14"/>
      <sheetData sheetId="15"/>
      <sheetData sheetId="16">
        <row r="14">
          <cell r="B14">
            <v>146597.31000000003</v>
          </cell>
          <cell r="C14">
            <v>22911.8</v>
          </cell>
          <cell r="D14">
            <v>109325</v>
          </cell>
          <cell r="G14">
            <v>109325</v>
          </cell>
        </row>
      </sheetData>
      <sheetData sheetId="17">
        <row r="19">
          <cell r="G19">
            <v>109325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剩余法-待开发"/>
      <sheetName val="收益还原法"/>
      <sheetName val="地价"/>
      <sheetName val="不动产比较法-住宅"/>
      <sheetName val="比较法-商业"/>
      <sheetName val="比较法-车位"/>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A3">
            <v>14367.1</v>
          </cell>
          <cell r="B3">
            <v>85000</v>
          </cell>
        </row>
      </sheetData>
      <sheetData sheetId="11"/>
      <sheetData sheetId="12"/>
      <sheetData sheetId="13"/>
      <sheetData sheetId="14"/>
      <sheetData sheetId="15">
        <row r="14">
          <cell r="B14">
            <v>85000</v>
          </cell>
          <cell r="C14">
            <v>14367.1</v>
          </cell>
          <cell r="D14">
            <v>25925</v>
          </cell>
          <cell r="G14">
            <v>25925</v>
          </cell>
        </row>
      </sheetData>
      <sheetData sheetId="16">
        <row r="19">
          <cell r="G19">
            <v>25925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福建省泉州市丰泽区城东组团华大片区，东至铁路，西至324国道，南邻通源街，北至城东街2012-16号地块一期出让国有建设用地使用权及在建建筑物房地产抵押价值预评估</v>
      </c>
    </row>
    <row r="3" spans="1:2" s="1596" customFormat="1">
      <c r="A3" s="1594" t="s">
        <v>1221</v>
      </c>
      <c r="B3" s="1595" t="str">
        <f>'预评函-封皮'!B40</f>
        <v>泉州华大泰禾广场投资有限公司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康正预评字2018-1-0689号</v>
      </c>
    </row>
    <row r="6" spans="1:2" s="1593" customFormat="1" ht="15" thickTop="1">
      <c r="A6" s="1591" t="s">
        <v>1224</v>
      </c>
      <c r="B6" s="1592" t="str">
        <f>'预评函-1'!A4</f>
        <v>受贵公司委托，我公司对福建省泉州市丰泽区城东组团华大片区，东至铁路，西至324国道，南邻通源街，北至城东街2012-16号地块一期出让国有建设用地使用权及在建建筑物房地产抵押价值进行了预评估。</v>
      </c>
    </row>
    <row r="7" spans="1:2" s="1596" customFormat="1">
      <c r="A7" s="1594" t="s">
        <v>1264</v>
      </c>
      <c r="B7" s="1595" t="str">
        <f>'预评函-1'!A7</f>
        <v>估价对象为福建省泉州市丰泽区城东组团华大片区，东至铁路，西至324国道，南邻通源街，北至城东街2012-16号地块一期出让国有建设用地使用权及在建建筑物房地产，为泉州华大泰禾广场投资有限公司所有。根据《国有土地使用证》[泉国有（2013）第200160号]，估价对象（分摊）出让国有建设用地使用权面积为16752.1平方米。根据《建设工程规划许可证》[建字第350503201630013号]，估价对象建筑面积为94334.89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福建省泉州市丰泽区城东组团华大片区，东至铁路，西至324国道，南邻通源街，北至城东街2012-16号地块一期出让国有建设用地使用权及在建建筑物房地产,属泉州华大泰禾广场投资有限公司开发建设的综合项目（商业、办公），该项目尚在开发建设中。根据《国有土地使用证》[泉国有（2013）第200160号]，估价对象（分摊）出让国有建设用地使用权面积为16752.1平方米。根据《建设工程规划许可证》[建字第350503201630013号]，估价对象规划建筑面积为94334.89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为估价委托人在向大业信托办理贷款手续过程中，确定房地产抵押贷款额度提供参考依据而评估房地产抵押价值。</v>
      </c>
    </row>
    <row r="12" spans="1:2" s="1596" customFormat="1">
      <c r="A12" s="1594" t="s">
        <v>1226</v>
      </c>
      <c r="B12" s="1595" t="e">
        <f>'预评函-1'!A15</f>
        <v>#REF!</v>
      </c>
    </row>
    <row r="13" spans="1:2" s="1596" customFormat="1">
      <c r="A13" s="1594" t="s">
        <v>1227</v>
      </c>
      <c r="B13" s="1595" t="str">
        <f>'预评函-1'!A18</f>
        <v>本次估价的“房地产价值”是指在正常市场情况下，在价值时点2018年9月26日，估价对象规划用途为商业、地下车库，土地取得方式为出让，出让国有建设用地使用权剩余土地使用年限为商业34年、地下车库44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七通”（即通路、通电、通讯、通上水、通下水、、）、红线内场地平整条件下，剩余土地使用年限为商业34年、地下车库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63069</v>
      </c>
    </row>
    <row r="21" spans="1:2" s="1596" customFormat="1">
      <c r="A21" s="1594" t="s">
        <v>1235</v>
      </c>
      <c r="B21" s="1595">
        <f ca="1">'预评函-2'!D7</f>
        <v>6686</v>
      </c>
    </row>
    <row r="22" spans="1:2" s="1596" customFormat="1">
      <c r="A22" s="1594" t="s">
        <v>1236</v>
      </c>
      <c r="B22" s="1595" t="str">
        <f ca="1">'预评函-2'!D6</f>
        <v>陆亿叁仟零陆拾玖万元整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63069</v>
      </c>
    </row>
    <row r="31" spans="1:2" s="1596" customFormat="1">
      <c r="A31" s="1594" t="s">
        <v>1274</v>
      </c>
      <c r="B31" s="1595">
        <f ca="1">'预评函-2'!D15</f>
        <v>6686</v>
      </c>
    </row>
    <row r="32" spans="1:2" s="1596" customFormat="1">
      <c r="A32" s="1594" t="s">
        <v>1241</v>
      </c>
      <c r="B32" s="1595" t="str">
        <f ca="1">'预评函-2'!D14</f>
        <v>陆亿叁仟零陆拾玖万元整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福建省泉州市丰泽区城东组团华大片区，东至铁路，西至324国道，南邻通源街，北至城东街2012-16号地块一期出让国有建设用地使用权及在建建筑物房地产</v>
      </c>
    </row>
    <row r="42" spans="1:2" s="1596" customFormat="1">
      <c r="A42" s="1594" t="s">
        <v>1288</v>
      </c>
      <c r="B42" s="1595" t="str">
        <f>'预评函-3'!B2</f>
        <v>建筑面积</v>
      </c>
    </row>
    <row r="43" spans="1:2" s="1596" customFormat="1">
      <c r="A43" s="1594" t="s">
        <v>1289</v>
      </c>
      <c r="B43" s="1595">
        <f>'预评函-3'!B4</f>
        <v>94334.89</v>
      </c>
    </row>
    <row r="44" spans="1:2" s="1596" customFormat="1">
      <c r="A44" s="1594" t="s">
        <v>1273</v>
      </c>
      <c r="B44" s="1595" t="str">
        <f>'预评函-3'!C2</f>
        <v>(分摊)土地面积</v>
      </c>
    </row>
    <row r="45" spans="1:2" s="1596" customFormat="1">
      <c r="A45" s="1594" t="s">
        <v>1245</v>
      </c>
      <c r="B45" s="1595">
        <f>'预评函-3'!C4</f>
        <v>16752.099999999999</v>
      </c>
    </row>
    <row r="46" spans="1:2" s="1596" customFormat="1">
      <c r="A46" s="1594" t="s">
        <v>1271</v>
      </c>
      <c r="B46" s="1595" t="str">
        <f>'预评函-3'!D2</f>
        <v>出让国有建设用地使用权价值</v>
      </c>
    </row>
    <row r="47" spans="1:2" s="1596" customFormat="1">
      <c r="A47" s="1594" t="s">
        <v>1246</v>
      </c>
      <c r="B47" s="1595">
        <f ca="1">'预评函-3'!D4</f>
        <v>36202</v>
      </c>
    </row>
    <row r="48" spans="1:2" s="1596" customFormat="1">
      <c r="A48" s="1594" t="s">
        <v>1247</v>
      </c>
      <c r="B48" s="1595">
        <f ca="1">'预评函-3'!E4</f>
        <v>3838</v>
      </c>
    </row>
    <row r="49" spans="1:2" s="1596" customFormat="1">
      <c r="A49" s="1594" t="s">
        <v>1248</v>
      </c>
      <c r="B49" s="1595" t="str">
        <f ca="1">'预评函-3'!D5</f>
        <v>叁亿陆仟贰佰零贰万元整</v>
      </c>
    </row>
    <row r="50" spans="1:2" s="1596" customFormat="1">
      <c r="A50" s="1594" t="s">
        <v>1272</v>
      </c>
      <c r="B50" s="1595" t="str">
        <f>'预评函-3'!F2</f>
        <v>在建建筑物价值</v>
      </c>
    </row>
    <row r="51" spans="1:2" s="1596" customFormat="1">
      <c r="A51" s="1594" t="s">
        <v>1249</v>
      </c>
      <c r="B51" s="1595">
        <f ca="1">'预评函-3'!F4</f>
        <v>26867</v>
      </c>
    </row>
    <row r="52" spans="1:2" s="1596" customFormat="1">
      <c r="A52" s="1594" t="s">
        <v>1250</v>
      </c>
      <c r="B52" s="1595">
        <f ca="1">'预评函-3'!G4</f>
        <v>2848</v>
      </c>
    </row>
    <row r="53" spans="1:2" s="1596" customFormat="1">
      <c r="A53" s="1594" t="s">
        <v>1278</v>
      </c>
      <c r="B53" s="1595" t="str">
        <f ca="1">'预评函-3'!F5</f>
        <v>贰亿陆仟捌佰陆拾柒万元整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泉州华大泰禾广场投资有限公司拟使用福建省泉州市丰泽区城东组团华大片区，东至铁路，西至324国道，南邻通源街，北至城东街2012-16号地块一期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B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1281</v>
      </c>
    </row>
    <row r="55" spans="1:4">
      <c r="A55" s="3015"/>
      <c r="B55" s="2025" t="s">
        <v>865</v>
      </c>
      <c r="C55" s="2022" t="s">
        <v>1282</v>
      </c>
    </row>
    <row r="56" spans="1:4">
      <c r="A56" s="3015"/>
      <c r="B56" s="2025" t="s">
        <v>866</v>
      </c>
      <c r="C56" s="2022" t="s">
        <v>1286</v>
      </c>
    </row>
    <row r="57" spans="1:4">
      <c r="A57" s="301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K16" sqref="K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福建省泉州市丰泽区城东组团华大片区，东至铁路，西至324国道，南邻通源街，北至城东街2012-16号地块一期出让国有建设用地使用权及在建建筑物房地产抵押价值预评估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福建省泉州市丰泽区城东组团华大片区，东至铁路，西至324国道，南邻通源街，北至城东街2012-16号地块一期出让国有建设用地使用权及在建建筑物房地产抵押价值</v>
      </c>
    </row>
    <row r="2" spans="1:19" ht="18" customHeight="1">
      <c r="A2" s="2029" t="s">
        <v>1777</v>
      </c>
      <c r="B2" s="1042" t="s">
        <v>3040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福建省泉州市丰泽区城东组团华大片区，东至铁路，西至324国道，南邻通源街，北至城东街2012-16号地块一期出让国有建设用地使用权及在建建筑物房地产</v>
      </c>
    </row>
    <row r="3" spans="1:19" ht="18" customHeight="1">
      <c r="A3" s="2038" t="s">
        <v>1778</v>
      </c>
      <c r="B3" s="2039">
        <v>43369</v>
      </c>
      <c r="C3" s="2040" t="s">
        <v>1779</v>
      </c>
      <c r="D3" s="2039">
        <v>43369</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1120050019</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38" t="s">
        <v>3043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9" t="s">
        <v>3044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38" t="s">
        <v>3043</v>
      </c>
      <c r="C7" s="2051"/>
      <c r="D7" s="2052"/>
      <c r="E7" s="2037"/>
      <c r="F7" s="2045"/>
      <c r="G7" s="2045"/>
      <c r="H7" s="2045"/>
      <c r="I7" s="2045"/>
      <c r="J7" s="2045"/>
      <c r="K7" s="2054"/>
      <c r="L7" s="2031"/>
      <c r="M7" s="2031"/>
      <c r="N7" s="2032"/>
      <c r="O7" s="2033"/>
      <c r="P7" s="2032"/>
      <c r="Q7" s="2032"/>
      <c r="R7" s="2032"/>
    </row>
    <row r="8" spans="1:19" ht="18" customHeight="1">
      <c r="A8" s="2050" t="s">
        <v>1784</v>
      </c>
      <c r="B8" s="2055" t="s">
        <v>3045</v>
      </c>
      <c r="C8" s="2056"/>
      <c r="D8" s="3027" t="s">
        <v>1785</v>
      </c>
      <c r="E8" s="2057" t="s">
        <v>3046</v>
      </c>
      <c r="F8" s="2058"/>
      <c r="G8" s="2029"/>
      <c r="H8" s="2029"/>
      <c r="I8" s="2029"/>
      <c r="J8" s="2045"/>
      <c r="K8" s="2046"/>
      <c r="L8" s="2031"/>
      <c r="M8" s="2031"/>
      <c r="N8" s="2032"/>
      <c r="O8" s="2033"/>
      <c r="P8" s="2032"/>
      <c r="Q8" s="2032"/>
      <c r="R8" s="2032"/>
    </row>
    <row r="9" spans="1:19" ht="18" customHeight="1" thickBot="1">
      <c r="A9" s="2043" t="s">
        <v>1786</v>
      </c>
      <c r="B9" s="2059" t="s">
        <v>3046</v>
      </c>
      <c r="C9" s="2060"/>
      <c r="D9" s="3028"/>
      <c r="E9" s="2059"/>
      <c r="F9" s="2061"/>
      <c r="G9" s="2062"/>
      <c r="H9" s="2062"/>
      <c r="I9" s="2062"/>
      <c r="J9" s="2045"/>
      <c r="K9" s="2054"/>
      <c r="L9" s="2031"/>
      <c r="M9" s="2031"/>
      <c r="N9" s="2032"/>
      <c r="O9" s="2033"/>
      <c r="P9" s="2032"/>
      <c r="Q9" s="2032"/>
      <c r="R9" s="2032"/>
    </row>
    <row r="10" spans="1:19" ht="18" customHeight="1" thickTop="1" thickBot="1">
      <c r="A10" s="2063" t="s">
        <v>1787</v>
      </c>
      <c r="B10" s="2064" t="s">
        <v>3047</v>
      </c>
      <c r="C10" s="2940" t="s">
        <v>3048</v>
      </c>
      <c r="D10" s="2049"/>
      <c r="E10" s="2065" t="s">
        <v>1788</v>
      </c>
      <c r="F10" s="2066" t="s">
        <v>3049</v>
      </c>
      <c r="G10" s="2067"/>
      <c r="H10" s="2068"/>
      <c r="I10" s="2049"/>
      <c r="J10" s="2045"/>
      <c r="K10" s="2054"/>
      <c r="L10" s="2031"/>
      <c r="M10" s="2031"/>
      <c r="N10" s="2032"/>
      <c r="O10" s="2033"/>
      <c r="P10" s="2032"/>
      <c r="Q10" s="2032"/>
      <c r="R10" s="2032"/>
    </row>
    <row r="11" spans="1:19" ht="18" customHeight="1" thickTop="1">
      <c r="A11" s="2069" t="s">
        <v>1789</v>
      </c>
      <c r="B11" s="2070" t="s">
        <v>3050</v>
      </c>
      <c r="C11" s="2938" t="s">
        <v>3043</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3051</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v>66747</v>
      </c>
      <c r="E13" s="2078">
        <v>55790</v>
      </c>
      <c r="F13" s="2078">
        <v>59442</v>
      </c>
      <c r="G13" s="2078">
        <v>59442</v>
      </c>
      <c r="H13" s="2078"/>
      <c r="I13" s="1050"/>
      <c r="J13" s="2045"/>
      <c r="K13" s="2054"/>
      <c r="L13" s="2031"/>
      <c r="M13" s="2031"/>
      <c r="N13" s="2032"/>
      <c r="O13" s="2033"/>
      <c r="P13" s="2032"/>
      <c r="Q13" s="2032"/>
      <c r="R13" s="2032"/>
    </row>
    <row r="14" spans="1:19" ht="18" customHeight="1">
      <c r="A14" s="2075"/>
      <c r="B14" s="2076"/>
      <c r="C14" s="2077" t="s">
        <v>1799</v>
      </c>
      <c r="D14" s="1053">
        <v>70</v>
      </c>
      <c r="E14" s="1053">
        <v>40</v>
      </c>
      <c r="F14" s="1053">
        <v>50</v>
      </c>
      <c r="G14" s="1053">
        <v>50</v>
      </c>
      <c r="H14" s="1053"/>
      <c r="I14" s="1053"/>
      <c r="J14" s="2045"/>
      <c r="K14" s="2079"/>
      <c r="L14" s="2031"/>
      <c r="M14" s="2031"/>
      <c r="N14" s="2032"/>
      <c r="O14" s="2033"/>
      <c r="P14" s="2032"/>
      <c r="Q14" s="2032"/>
      <c r="R14" s="2032"/>
    </row>
    <row r="15" spans="1:19" ht="18" customHeight="1">
      <c r="A15" s="2063"/>
      <c r="B15" s="2080"/>
      <c r="C15" s="2077" t="s">
        <v>1800</v>
      </c>
      <c r="D15" s="1052">
        <f>IF(B12="出让",IF(D13="","",ROUNDDOWN(MIN((D13-$B$3)/365,D14),2)),D14)</f>
        <v>64.040000000000006</v>
      </c>
      <c r="E15" s="1052">
        <f>IF(B12="出让",IF(E13="","",ROUNDDOWN(MIN((E13-$B$3)/365,E14),2)),E14)</f>
        <v>34.03</v>
      </c>
      <c r="F15" s="1052">
        <f>IF(B12="出让",IF(F13="","",ROUNDDOWN(MIN((F13-$B$3)/365,F14),2)),F14)</f>
        <v>44.03</v>
      </c>
      <c r="G15" s="1052">
        <f>IF(B12="出让",IF(G13="","",ROUNDDOWN(MIN((G13-$B$3)/365,G14),2)),G14)</f>
        <v>44.03</v>
      </c>
      <c r="H15" s="1052" t="str">
        <f>IF(B12="出让",IF(H13="","",ROUNDDOWN(MIN((H13-$B$3)/365,H14),2)),H14)</f>
        <v/>
      </c>
      <c r="I15" s="1052" t="str">
        <f>IF(B12="出让",IF(I13="","",ROUNDDOWN(MIN((I13-$B$3)/365,I14),2)),I14)</f>
        <v/>
      </c>
      <c r="J15" s="2045"/>
      <c r="K15" s="2081"/>
      <c r="L15" s="2082"/>
      <c r="M15" s="2082"/>
      <c r="N15" s="2083"/>
      <c r="O15" s="2082"/>
      <c r="P15" s="2083"/>
      <c r="Q15" s="2032"/>
      <c r="R15" s="2032"/>
    </row>
    <row r="16" spans="1:19" ht="30.75" customHeight="1">
      <c r="A16" s="2065" t="s">
        <v>1801</v>
      </c>
      <c r="B16" s="3034" t="s">
        <v>3052</v>
      </c>
      <c r="C16" s="3035"/>
      <c r="D16" s="3036"/>
      <c r="E16" s="2084" t="s">
        <v>1802</v>
      </c>
      <c r="F16" s="3037" t="s">
        <v>3053</v>
      </c>
      <c r="G16" s="3038"/>
      <c r="H16" s="3038"/>
      <c r="I16" s="3039"/>
      <c r="J16" s="2032"/>
      <c r="K16" s="2081"/>
      <c r="L16" s="2082"/>
      <c r="M16" s="2082"/>
      <c r="N16" s="2083"/>
      <c r="O16" s="2082"/>
      <c r="P16" s="2083"/>
      <c r="Q16" s="2032"/>
      <c r="R16" s="2032"/>
    </row>
    <row r="17" spans="1:22" ht="18" customHeight="1">
      <c r="A17" s="2085" t="s">
        <v>1803</v>
      </c>
      <c r="B17" s="2038" t="s">
        <v>1804</v>
      </c>
      <c r="C17" s="1057">
        <f>'数据-汇总表'!E3</f>
        <v>94334.89</v>
      </c>
      <c r="D17" s="2086" t="s">
        <v>1805</v>
      </c>
      <c r="E17" s="3040" t="s">
        <v>3055</v>
      </c>
      <c r="F17" s="3041"/>
      <c r="G17" s="3041"/>
      <c r="H17" s="3041"/>
      <c r="I17" s="3042"/>
      <c r="J17" s="2032"/>
      <c r="K17" s="2087"/>
      <c r="L17" s="2082"/>
      <c r="M17" s="2082"/>
      <c r="N17" s="2083"/>
      <c r="O17" s="2082"/>
      <c r="P17" s="2083"/>
      <c r="Q17" s="2032"/>
      <c r="R17" s="2032"/>
      <c r="S17" s="2032"/>
      <c r="T17" s="2032"/>
      <c r="U17" s="2032"/>
      <c r="V17" s="2032"/>
    </row>
    <row r="18" spans="1:22" ht="36" customHeight="1" thickBot="1">
      <c r="A18" s="2088" t="s">
        <v>70</v>
      </c>
      <c r="B18" s="2041" t="s">
        <v>1806</v>
      </c>
      <c r="C18" s="1447">
        <f>'数据-汇总表'!D3</f>
        <v>16752.099999999999</v>
      </c>
      <c r="D18" s="2089" t="s">
        <v>1805</v>
      </c>
      <c r="E18" s="3043" t="s">
        <v>3054</v>
      </c>
      <c r="F18" s="3044"/>
      <c r="G18" s="3044"/>
      <c r="H18" s="3044"/>
      <c r="I18" s="3045"/>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c r="D19" s="2091" t="s">
        <v>1809</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30" t="s">
        <v>1811</v>
      </c>
      <c r="C20" s="3031"/>
      <c r="D20" s="3032" t="s">
        <v>1812</v>
      </c>
      <c r="E20" s="3033"/>
      <c r="F20" s="2096" t="s">
        <v>1813</v>
      </c>
      <c r="G20" s="2045"/>
      <c r="H20" s="2045"/>
      <c r="I20" s="2045"/>
      <c r="J20" s="2045"/>
      <c r="K20" s="3029" t="s">
        <v>1814</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1"/>
      <c r="N20" s="2083"/>
      <c r="O20" s="2082"/>
      <c r="P20" s="2083"/>
      <c r="Q20" s="2032"/>
      <c r="R20" s="2032"/>
      <c r="S20" s="2032"/>
      <c r="T20" s="2032"/>
      <c r="U20" s="2032"/>
      <c r="V20" s="2032"/>
    </row>
    <row r="21" spans="1:22" ht="24.75" customHeight="1">
      <c r="A21" s="2095"/>
      <c r="B21" s="2097" t="s">
        <v>3056</v>
      </c>
      <c r="C21" s="2098" t="s">
        <v>1815</v>
      </c>
      <c r="D21" s="2099"/>
      <c r="E21" s="2100"/>
      <c r="F21" s="2101"/>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c r="C22" s="2098"/>
      <c r="D22" s="2029"/>
      <c r="E22" s="2029"/>
      <c r="F22" s="2103"/>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1816</v>
      </c>
      <c r="B23" s="183" t="s">
        <v>1817</v>
      </c>
      <c r="C23" s="2105"/>
      <c r="D23" s="2106" t="s">
        <v>1817</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1818</v>
      </c>
      <c r="C24" s="2110"/>
      <c r="D24" s="2104" t="s">
        <v>1818</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1819</v>
      </c>
      <c r="C25" s="2110"/>
      <c r="D25" s="2104" t="s">
        <v>1819</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1820</v>
      </c>
      <c r="C26" s="2114"/>
      <c r="D26" s="2115" t="s">
        <v>1821</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7" t="s">
        <v>1822</v>
      </c>
      <c r="B27" s="2063" t="s">
        <v>1823</v>
      </c>
      <c r="C27" s="2118" t="s">
        <v>3057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7"/>
      <c r="B28" s="2038" t="s">
        <v>1824</v>
      </c>
      <c r="C28" s="2120" t="s">
        <v>3058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7"/>
      <c r="B29" s="2038" t="s">
        <v>1825</v>
      </c>
      <c r="C29" s="2123" t="s">
        <v>3059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8"/>
      <c r="B30" s="2038" t="s">
        <v>1826</v>
      </c>
      <c r="C30" s="3019"/>
      <c r="D30" s="3020"/>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1" t="s">
        <v>1827</v>
      </c>
      <c r="B31" s="2125" t="s">
        <v>3060</v>
      </c>
      <c r="C31" s="2126" t="str">
        <f>IF(B31="现房","成新及维护状况正常否",IF(B31="在建","工程状态是否正常",IF(B31="土地","是否闲置","-")))</f>
        <v>工程状态是否正常</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2"/>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2"/>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1828</v>
      </c>
      <c r="B34" s="2132" t="s">
        <v>3061</v>
      </c>
      <c r="C34" s="2132" t="s">
        <v>3062</v>
      </c>
      <c r="D34" s="2132" t="s">
        <v>3063</v>
      </c>
      <c r="E34" s="2132" t="s">
        <v>3064</v>
      </c>
      <c r="F34" s="2132" t="s">
        <v>3065</v>
      </c>
      <c r="G34" s="2132"/>
      <c r="H34" s="2132"/>
      <c r="I34" s="2045"/>
      <c r="J34" s="2045"/>
      <c r="K34" s="1798">
        <f>COUNTIF(B34:H34,"——")</f>
        <v>0</v>
      </c>
      <c r="L34" s="2073" t="s">
        <v>1829</v>
      </c>
      <c r="M34" s="2073" t="s">
        <v>1830</v>
      </c>
      <c r="N34" s="2073" t="s">
        <v>1831</v>
      </c>
      <c r="O34" s="2073" t="s">
        <v>1832</v>
      </c>
      <c r="P34" s="2073" t="s">
        <v>1833</v>
      </c>
      <c r="Q34" s="2073" t="s">
        <v>1834</v>
      </c>
      <c r="R34" s="2073" t="s">
        <v>1835</v>
      </c>
      <c r="S34" s="3016" t="s">
        <v>1836</v>
      </c>
      <c r="T34" s="2133" t="str">
        <f>NUMBERSTRING(7-K34,1)&amp;"通"</f>
        <v>七通</v>
      </c>
      <c r="U34" s="2032"/>
      <c r="V34" s="2032"/>
    </row>
    <row r="35" spans="1:22" ht="18" customHeight="1">
      <c r="A35" s="2134"/>
      <c r="B35" s="3023" t="s">
        <v>1837</v>
      </c>
      <c r="C35" s="3023"/>
      <c r="D35" s="3023"/>
      <c r="E35" s="3023"/>
      <c r="F35" s="2135" t="str">
        <f>C10</f>
        <v>福建省泉州市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32"/>
      <c r="V35" s="2032"/>
    </row>
    <row r="36" spans="1:22" ht="18" customHeight="1">
      <c r="A36" s="2136"/>
      <c r="B36" s="2135" t="s">
        <v>1838</v>
      </c>
      <c r="C36" s="2135" t="s">
        <v>1839</v>
      </c>
      <c r="D36" s="2135" t="s">
        <v>1840</v>
      </c>
      <c r="E36" s="2135" t="s">
        <v>1841</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1842</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1843</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1845</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1846</v>
      </c>
      <c r="B42" s="1798" t="s">
        <v>1847</v>
      </c>
      <c r="C42" s="1798" t="s">
        <v>1848</v>
      </c>
      <c r="D42" s="1798" t="s">
        <v>1849</v>
      </c>
      <c r="E42" s="1798" t="s">
        <v>1850</v>
      </c>
      <c r="F42" s="1798" t="s">
        <v>1851</v>
      </c>
      <c r="G42" s="1798" t="s">
        <v>1852</v>
      </c>
      <c r="H42" s="1798" t="s">
        <v>1853</v>
      </c>
      <c r="I42" s="1798" t="s">
        <v>1854</v>
      </c>
      <c r="J42" s="2151" t="s">
        <v>1855</v>
      </c>
      <c r="K42" s="2074" t="s">
        <v>1856</v>
      </c>
      <c r="L42" s="2074" t="s">
        <v>1857</v>
      </c>
      <c r="M42" s="2074" t="s">
        <v>1858</v>
      </c>
      <c r="N42" s="1798" t="s">
        <v>1859</v>
      </c>
      <c r="O42" s="1798" t="s">
        <v>1860</v>
      </c>
      <c r="P42" s="1798" t="s">
        <v>1861</v>
      </c>
      <c r="Q42" s="2073" t="s">
        <v>1862</v>
      </c>
      <c r="R42" s="2073" t="s">
        <v>1863</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1869</v>
      </c>
      <c r="AZ2" s="1273"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16752.099999999999</v>
      </c>
      <c r="B3" s="14">
        <f>IF(C3="否",G5-AT5,G5)</f>
        <v>94334.89</v>
      </c>
      <c r="C3" s="2167" t="s">
        <v>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6"/>
      <c r="C5" s="1806"/>
      <c r="D5" s="1809"/>
      <c r="E5" s="16" t="s">
        <v>1</v>
      </c>
      <c r="F5" s="16">
        <f>SUM(F13:F587)</f>
        <v>0</v>
      </c>
      <c r="G5" s="16">
        <f>SUM(G13:G587)</f>
        <v>94334.89</v>
      </c>
      <c r="H5" s="16">
        <f t="shared" ref="H5:AT5" si="0">SUM(H13:H656)</f>
        <v>89703.23</v>
      </c>
      <c r="I5" s="16">
        <f t="shared" si="0"/>
        <v>66561.350000000006</v>
      </c>
      <c r="J5" s="16">
        <f t="shared" si="0"/>
        <v>0</v>
      </c>
      <c r="K5" s="16">
        <f t="shared" si="0"/>
        <v>4283.87</v>
      </c>
      <c r="L5" s="16">
        <f t="shared" si="0"/>
        <v>0</v>
      </c>
      <c r="M5" s="16">
        <f t="shared" si="0"/>
        <v>18858.009999999998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4631.66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466.43999999999994</v>
      </c>
      <c r="AM5" s="16">
        <f t="shared" si="0"/>
        <v>0</v>
      </c>
      <c r="AN5" s="16">
        <f t="shared" si="0"/>
        <v>4165.22</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94334.89</v>
      </c>
      <c r="BA5" s="18">
        <f t="shared" si="1"/>
        <v>89703.23</v>
      </c>
      <c r="BB5" s="18">
        <f t="shared" si="1"/>
        <v>66561.350000000006</v>
      </c>
      <c r="BC5" s="18">
        <f t="shared" si="1"/>
        <v>4283.87</v>
      </c>
      <c r="BD5" s="18">
        <f t="shared" si="1"/>
        <v>18858.009999999998</v>
      </c>
      <c r="BE5" s="18">
        <f t="shared" si="1"/>
        <v>0</v>
      </c>
      <c r="BF5" s="18">
        <f t="shared" si="1"/>
        <v>0</v>
      </c>
      <c r="BG5" s="18">
        <f t="shared" si="1"/>
        <v>0</v>
      </c>
      <c r="BH5" s="18">
        <f t="shared" si="1"/>
        <v>0</v>
      </c>
      <c r="BI5" s="18">
        <f t="shared" si="1"/>
        <v>0</v>
      </c>
      <c r="BJ5" s="18">
        <f t="shared" si="1"/>
        <v>0</v>
      </c>
      <c r="BK5" s="18">
        <f t="shared" si="1"/>
        <v>0</v>
      </c>
      <c r="BL5" s="18">
        <f t="shared" si="1"/>
        <v>4631.66</v>
      </c>
      <c r="BM5" s="18">
        <f t="shared" si="1"/>
        <v>0</v>
      </c>
      <c r="BN5" s="18">
        <f t="shared" si="1"/>
        <v>0</v>
      </c>
      <c r="BO5" s="18">
        <f t="shared" si="1"/>
        <v>0</v>
      </c>
      <c r="BP5" s="18">
        <f t="shared" si="1"/>
        <v>0</v>
      </c>
      <c r="BQ5" s="18">
        <f t="shared" si="1"/>
        <v>466.43999999999994</v>
      </c>
      <c r="BR5" s="18">
        <f t="shared" si="1"/>
        <v>4165.22</v>
      </c>
      <c r="BS5" s="18">
        <f t="shared" si="1"/>
        <v>0</v>
      </c>
      <c r="BT5" s="19">
        <f t="shared" si="1"/>
        <v>0</v>
      </c>
    </row>
    <row r="6" spans="1:72" s="2176" customFormat="1" ht="12.75">
      <c r="A6" s="15" t="s">
        <v>1873</v>
      </c>
      <c r="B6" s="2173"/>
      <c r="C6" s="2173"/>
      <c r="D6" s="2174"/>
      <c r="E6" s="16">
        <f>H6+AC6+AT6</f>
        <v>16752.09</v>
      </c>
      <c r="F6" s="16" t="s">
        <v>1</v>
      </c>
      <c r="G6" s="16" t="s">
        <v>2</v>
      </c>
      <c r="H6" s="20">
        <f>SUMIF(I$12:AB$12,"总值",I6:AB6)</f>
        <v>15929.6</v>
      </c>
      <c r="I6" s="16">
        <f t="shared" ref="I6:AB6" si="2">ROUND($A$3*I5/$B$3,2)</f>
        <v>11820.04</v>
      </c>
      <c r="J6" s="16">
        <f t="shared" si="2"/>
        <v>0</v>
      </c>
      <c r="K6" s="16">
        <f t="shared" si="2"/>
        <v>760.73</v>
      </c>
      <c r="L6" s="16">
        <f t="shared" si="2"/>
        <v>0</v>
      </c>
      <c r="M6" s="16">
        <f t="shared" si="2"/>
        <v>3348.83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822.49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82.83</v>
      </c>
      <c r="AM6" s="16">
        <f t="shared" si="3"/>
        <v>0</v>
      </c>
      <c r="AN6" s="16">
        <f t="shared" si="3"/>
        <v>739.66</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16752.099999999999</v>
      </c>
      <c r="AZ6" s="16" t="s">
        <v>3</v>
      </c>
      <c r="BA6" s="16">
        <f>ROUND($AY$6*BA5/$AZ$5,2)</f>
        <v>15929.6</v>
      </c>
      <c r="BB6" s="16">
        <f>ROUND($AY$6*BB5/$AZ$5,2)</f>
        <v>11820.04</v>
      </c>
      <c r="BC6" s="16">
        <f t="shared" ref="BC6:BH6" si="4">ROUND($AY$6*BC5/$AZ$5,2)</f>
        <v>760.73</v>
      </c>
      <c r="BD6" s="16">
        <f t="shared" si="4"/>
        <v>3348.83</v>
      </c>
      <c r="BE6" s="16">
        <f t="shared" si="4"/>
        <v>0</v>
      </c>
      <c r="BF6" s="16">
        <f t="shared" si="4"/>
        <v>0</v>
      </c>
      <c r="BG6" s="16">
        <f t="shared" si="4"/>
        <v>0</v>
      </c>
      <c r="BH6" s="16">
        <f t="shared" si="4"/>
        <v>0</v>
      </c>
      <c r="BI6" s="16">
        <f t="shared" ref="BI6:BT6" si="5">ROUND($AY$6*BI5/$AZ$5,2)</f>
        <v>0</v>
      </c>
      <c r="BJ6" s="16">
        <f t="shared" si="5"/>
        <v>0</v>
      </c>
      <c r="BK6" s="16">
        <f t="shared" si="5"/>
        <v>0</v>
      </c>
      <c r="BL6" s="16">
        <f t="shared" si="5"/>
        <v>822.5</v>
      </c>
      <c r="BM6" s="16">
        <f t="shared" si="5"/>
        <v>0</v>
      </c>
      <c r="BN6" s="16">
        <f t="shared" si="5"/>
        <v>0</v>
      </c>
      <c r="BO6" s="16">
        <f t="shared" si="5"/>
        <v>0</v>
      </c>
      <c r="BP6" s="16">
        <f t="shared" si="5"/>
        <v>0</v>
      </c>
      <c r="BQ6" s="16">
        <f t="shared" si="5"/>
        <v>82.83</v>
      </c>
      <c r="BR6" s="16">
        <f t="shared" si="5"/>
        <v>739.66</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1881</v>
      </c>
      <c r="AV7" s="23" t="s">
        <v>1882</v>
      </c>
      <c r="AW7" s="2165" t="s">
        <v>1883</v>
      </c>
      <c r="AX7" s="23" t="s">
        <v>1876</v>
      </c>
      <c r="AY7" s="1806"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1"/>
      <c r="K8" s="1821"/>
      <c r="L8" s="1821"/>
      <c r="M8" s="1821"/>
      <c r="N8" s="1821"/>
      <c r="O8" s="1821"/>
      <c r="P8" s="1821"/>
      <c r="Q8" s="1821"/>
      <c r="R8" s="1821"/>
      <c r="S8" s="1821"/>
      <c r="T8" s="1821"/>
      <c r="U8" s="1821"/>
      <c r="V8" s="2185"/>
      <c r="W8" s="1821"/>
      <c r="X8" s="1821"/>
      <c r="Y8" s="1821"/>
      <c r="Z8" s="1821"/>
      <c r="AA8" s="2185"/>
      <c r="AB8" s="2186"/>
      <c r="AC8" s="984" t="s">
        <v>1887</v>
      </c>
      <c r="AD8" s="2187"/>
      <c r="AE8" s="2179"/>
      <c r="AF8" s="1821"/>
      <c r="AG8" s="1821"/>
      <c r="AH8" s="1821"/>
      <c r="AI8" s="1821"/>
      <c r="AJ8" s="1821"/>
      <c r="AK8" s="1821"/>
      <c r="AL8" s="1821"/>
      <c r="AM8" s="1821"/>
      <c r="AN8" s="1821"/>
      <c r="AO8" s="1821"/>
      <c r="AP8" s="1821"/>
      <c r="AQ8" s="1821"/>
      <c r="AR8" s="1821"/>
      <c r="AS8" s="1821"/>
      <c r="AT8" s="1295" t="s">
        <v>1888</v>
      </c>
      <c r="AU8" s="2181" t="s">
        <v>1889</v>
      </c>
      <c r="AV8" s="1295"/>
      <c r="AW8" s="2164"/>
      <c r="AX8" s="1295"/>
      <c r="AY8" s="2165"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1892</v>
      </c>
      <c r="I9" s="2190" t="s">
        <v>3067</v>
      </c>
      <c r="J9" s="984"/>
      <c r="K9" s="2190" t="s">
        <v>3067</v>
      </c>
      <c r="L9" s="984"/>
      <c r="M9" s="2190" t="s">
        <v>3068</v>
      </c>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t="s">
        <v>1377</v>
      </c>
      <c r="L10" s="984"/>
      <c r="M10" s="2196" t="s">
        <v>3069</v>
      </c>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t="s">
        <v>3184</v>
      </c>
      <c r="L11" s="2202"/>
      <c r="M11" s="2201"/>
      <c r="N11" s="2202"/>
      <c r="O11" s="2201"/>
      <c r="P11" s="2202"/>
      <c r="Q11" s="2201"/>
      <c r="R11" s="2202"/>
      <c r="S11" s="2201"/>
      <c r="T11" s="2202"/>
      <c r="U11" s="2201"/>
      <c r="V11" s="2202"/>
      <c r="W11" s="2201"/>
      <c r="X11" s="2202"/>
      <c r="Y11" s="2201"/>
      <c r="Z11" s="2202"/>
      <c r="AA11" s="2201"/>
      <c r="AB11" s="2202"/>
      <c r="AC11" s="1295"/>
      <c r="AD11" s="2203" t="s">
        <v>1902</v>
      </c>
      <c r="AE11" s="1822"/>
      <c r="AF11" s="2203" t="s">
        <v>1902</v>
      </c>
      <c r="AG11" s="1822"/>
      <c r="AH11" s="2203" t="s">
        <v>1903</v>
      </c>
      <c r="AI11" s="2204"/>
      <c r="AJ11" s="2203" t="s">
        <v>1903</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t="str">
        <f>K10</f>
        <v>商业</v>
      </c>
      <c r="BD11" s="2186" t="str">
        <f>M10</f>
        <v>车库</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8"/>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f>I11</f>
        <v>0</v>
      </c>
      <c r="BC12" s="2211" t="str">
        <f>K11</f>
        <v>底商</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139</v>
      </c>
      <c r="D13" s="2212" t="s">
        <v>3066</v>
      </c>
      <c r="E13" s="16">
        <f>IF($C$3="是",ROUND($A$3*G13/$B$3,2),ROUND($A$3*(G13-AT13)/$B$3,2))</f>
        <v>16752.099999999999</v>
      </c>
      <c r="F13" s="32"/>
      <c r="G13" s="33">
        <f>H13+AC13+AT13</f>
        <v>94334.89</v>
      </c>
      <c r="H13" s="20">
        <f>SUMIF(I$12:AB$12,"总值",I13:AB13)</f>
        <v>89703.23</v>
      </c>
      <c r="I13" s="2213">
        <v>66561.350000000006</v>
      </c>
      <c r="J13" s="2213"/>
      <c r="K13" s="2213">
        <v>4283.87</v>
      </c>
      <c r="L13" s="2213"/>
      <c r="M13" s="2213">
        <v>18858.009999999998</v>
      </c>
      <c r="N13" s="2213"/>
      <c r="O13" s="2213"/>
      <c r="P13" s="2213"/>
      <c r="Q13" s="2213"/>
      <c r="R13" s="2213"/>
      <c r="S13" s="2213"/>
      <c r="T13" s="2213"/>
      <c r="U13" s="2213"/>
      <c r="V13" s="2213"/>
      <c r="W13" s="2213"/>
      <c r="X13" s="2213"/>
      <c r="Y13" s="2213"/>
      <c r="Z13" s="2213"/>
      <c r="AA13" s="2213"/>
      <c r="AB13" s="2213"/>
      <c r="AC13" s="16">
        <f>SUMIF(AD$12:AS$12,"总值",AD13:AS13)</f>
        <v>4631.66</v>
      </c>
      <c r="AD13" s="2214"/>
      <c r="AE13" s="2214"/>
      <c r="AF13" s="2214"/>
      <c r="AG13" s="2214"/>
      <c r="AH13" s="2214"/>
      <c r="AI13" s="2214"/>
      <c r="AJ13" s="2214"/>
      <c r="AK13" s="2214"/>
      <c r="AL13" s="2214">
        <f>253.88+31.77+97.32+83.47</f>
        <v>466.43999999999994</v>
      </c>
      <c r="AM13" s="2214"/>
      <c r="AN13" s="2214">
        <f>739.13+57.5+2668.13+366.9+130.73+108.63+94.2</f>
        <v>4165.22</v>
      </c>
      <c r="AO13" s="2214"/>
      <c r="AP13" s="2214"/>
      <c r="AQ13" s="2214"/>
      <c r="AR13" s="2214"/>
      <c r="AS13" s="2214"/>
      <c r="AT13" s="2215"/>
      <c r="AU13" s="2216"/>
      <c r="AV13" s="11">
        <f t="shared" ref="AV13:AX17" si="6">A13</f>
        <v>0</v>
      </c>
      <c r="AW13" s="11">
        <f t="shared" si="6"/>
        <v>0</v>
      </c>
      <c r="AX13" s="11" t="str">
        <f t="shared" si="6"/>
        <v>A1</v>
      </c>
      <c r="AY13" s="1809">
        <f>ROUND($AY$6*AZ13/$AZ$5,2)</f>
        <v>16752.099999999999</v>
      </c>
      <c r="AZ13" s="16">
        <f>BA13+BL13</f>
        <v>94334.89</v>
      </c>
      <c r="BA13" s="16">
        <f>SUM(BB13:BK13)</f>
        <v>89703.23</v>
      </c>
      <c r="BB13" s="16">
        <f>IF($D13="是",I13-J13,0)</f>
        <v>66561.350000000006</v>
      </c>
      <c r="BC13" s="16">
        <f>IF($D13="是",K13-L13,0)</f>
        <v>4283.87</v>
      </c>
      <c r="BD13" s="16">
        <f>IF($D13="是",M13-N13,0)</f>
        <v>18858.009999999998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4631.66</v>
      </c>
      <c r="BM13" s="16">
        <f>IF($D13="是",AD13-AE13,0)</f>
        <v>0</v>
      </c>
      <c r="BN13" s="16">
        <f>IF($D13="是",AF13-AG13,0)</f>
        <v>0</v>
      </c>
      <c r="BO13" s="16">
        <f>IF($D13="是",AH13-AI13,0)</f>
        <v>0</v>
      </c>
      <c r="BP13" s="16">
        <f>IF($D13="是",AJ13-AK13,0)</f>
        <v>0</v>
      </c>
      <c r="BQ13" s="16">
        <f>IF($D13="是",AL13-AM13,0)</f>
        <v>466.43999999999994</v>
      </c>
      <c r="BR13" s="16">
        <f>IF($D13="是",AN13-AO13,0)</f>
        <v>4165.22</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A21" sqref="A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7" t="s">
        <v>1932</v>
      </c>
      <c r="B2" s="3057"/>
      <c r="C2" s="3057"/>
      <c r="D2" s="970" t="s">
        <v>1908</v>
      </c>
      <c r="E2" s="2226" t="s">
        <v>1909</v>
      </c>
      <c r="F2" s="1395"/>
      <c r="G2" s="2227"/>
      <c r="H2" s="2228"/>
      <c r="I2" s="2229" t="s">
        <v>1933</v>
      </c>
      <c r="J2" s="1395"/>
      <c r="K2" s="1395"/>
      <c r="L2" s="1395"/>
      <c r="M2" s="1395"/>
      <c r="N2" s="1430"/>
      <c r="O2" s="1395"/>
      <c r="P2" s="1395"/>
    </row>
    <row r="3" spans="1:16" ht="15.75" thickBot="1">
      <c r="A3" s="3058" t="s">
        <v>1906</v>
      </c>
      <c r="B3" s="3058"/>
      <c r="C3" s="3058"/>
      <c r="D3" s="46">
        <f>'数据-基础表'!AY6</f>
        <v>16752.099999999999</v>
      </c>
      <c r="E3" s="46">
        <f>'数据-基础表'!AZ5</f>
        <v>94334.89</v>
      </c>
      <c r="F3" s="1395"/>
      <c r="G3" s="1402"/>
      <c r="H3" s="1250" t="s">
        <v>1907</v>
      </c>
      <c r="I3" s="55">
        <f>ROUND('数据-基础表'!B3/'数据-基础表'!A3,2)</f>
        <v>5.63</v>
      </c>
      <c r="J3" s="1395"/>
      <c r="K3" s="1395"/>
      <c r="L3" s="1395"/>
      <c r="M3" s="1395"/>
      <c r="N3" s="1430"/>
      <c r="O3" s="1395"/>
      <c r="P3" s="1395"/>
    </row>
    <row r="4" spans="1:16" ht="15">
      <c r="A4" s="3059"/>
      <c r="B4" s="3060"/>
      <c r="C4" s="3061"/>
      <c r="D4" s="2230" t="s">
        <v>1908</v>
      </c>
      <c r="E4" s="2231" t="s">
        <v>1909</v>
      </c>
      <c r="F4" s="1395"/>
      <c r="G4" s="2232" t="s">
        <v>1934</v>
      </c>
      <c r="H4" s="1250" t="s">
        <v>1914</v>
      </c>
      <c r="I4" s="55">
        <f>ROUND(SUMIF('数据-基础表'!I9:AS9,"地上",'数据-基础表'!I5:AS5)/'数据-基础表'!A3,2)</f>
        <v>4.26</v>
      </c>
      <c r="J4" s="1395"/>
      <c r="K4" s="1395"/>
      <c r="L4" s="1395"/>
      <c r="M4" s="1395"/>
      <c r="N4" s="1430"/>
      <c r="O4" s="1395"/>
      <c r="P4" s="1395"/>
    </row>
    <row r="5" spans="1:16">
      <c r="A5" s="47" t="s">
        <v>1910</v>
      </c>
      <c r="B5" s="3062" t="s">
        <v>1911</v>
      </c>
      <c r="C5" s="3062"/>
      <c r="D5" s="48">
        <f>ROUND($D$3*E5/$E$3,2)</f>
        <v>0</v>
      </c>
      <c r="E5" s="49">
        <f>SUMIF('数据-基础表'!$11:$11,"住宅",'数据-基础表'!$5:$5)</f>
        <v>0</v>
      </c>
      <c r="F5" s="1395"/>
      <c r="G5" s="1402"/>
      <c r="H5" s="1250" t="s">
        <v>1907</v>
      </c>
      <c r="I5" s="55">
        <f>ROUND(E31/D31,2)</f>
        <v>5.63</v>
      </c>
      <c r="J5" s="1395"/>
      <c r="K5" s="1395"/>
      <c r="L5" s="1395"/>
      <c r="M5" s="1395"/>
      <c r="N5" s="1395"/>
      <c r="O5" s="1395"/>
      <c r="P5" s="1395"/>
    </row>
    <row r="6" spans="1:16" ht="15" thickBot="1">
      <c r="A6" s="2233"/>
      <c r="B6" s="3062" t="s">
        <v>1912</v>
      </c>
      <c r="C6" s="3062"/>
      <c r="D6" s="48">
        <f>ROUND($D$3*E6/$E$3,2)</f>
        <v>16752.099999999999</v>
      </c>
      <c r="E6" s="49">
        <f>E3-E5</f>
        <v>94334.89</v>
      </c>
      <c r="F6" s="1395"/>
      <c r="G6" s="2234" t="s">
        <v>1913</v>
      </c>
      <c r="H6" s="1402" t="s">
        <v>1914</v>
      </c>
      <c r="I6" s="942">
        <f>ROUND(F31/D31,2)</f>
        <v>4.26</v>
      </c>
      <c r="J6" s="1395"/>
      <c r="K6" s="1395"/>
      <c r="L6" s="1395"/>
      <c r="M6" s="1395"/>
      <c r="N6" s="1395"/>
      <c r="O6" s="1395"/>
      <c r="P6" s="1395"/>
    </row>
    <row r="7" spans="1:16" ht="15">
      <c r="A7" s="3054"/>
      <c r="B7" s="3055"/>
      <c r="C7" s="3056"/>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12580.78</v>
      </c>
      <c r="E8" s="51">
        <f>SUMIF('数据-基础表'!BB10:BK10,"地上",'数据-基础表'!BB5:BK5)</f>
        <v>70845.22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3348.83</v>
      </c>
      <c r="E13" s="51">
        <f>SUMPRODUCT(('数据-基础表'!BB10:BK10="地下")*('数据-基础表'!BB11:BK11="车库")*('数据-基础表'!BB5:BK5))</f>
        <v>18858.009999999998</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15929.61</v>
      </c>
      <c r="E16" s="53">
        <f>SUM(E8:E15)</f>
        <v>89703.23</v>
      </c>
      <c r="F16" s="1395"/>
      <c r="G16" s="2236"/>
      <c r="H16" s="2239" t="s">
        <v>1936</v>
      </c>
      <c r="I16" s="2240"/>
      <c r="J16" s="1395"/>
      <c r="K16" s="3051" t="s">
        <v>1936</v>
      </c>
      <c r="L16" s="3052"/>
      <c r="M16" s="3052"/>
      <c r="N16" s="3052"/>
      <c r="O16" s="3052"/>
      <c r="P16" s="3053"/>
    </row>
    <row r="17" spans="1:19" ht="15">
      <c r="A17" s="2241" t="s">
        <v>1937</v>
      </c>
      <c r="B17" s="2242" t="s">
        <v>1938</v>
      </c>
      <c r="C17" s="2243" t="s">
        <v>1939</v>
      </c>
      <c r="D17" s="2244" t="s">
        <v>1927</v>
      </c>
      <c r="E17" s="2245" t="s">
        <v>1928</v>
      </c>
      <c r="F17" s="2246"/>
      <c r="G17" s="2247"/>
      <c r="H17" s="2248" t="s">
        <v>1940</v>
      </c>
      <c r="I17" s="2249" t="s">
        <v>1925</v>
      </c>
      <c r="J17" s="1395"/>
      <c r="K17" s="3048" t="s">
        <v>1941</v>
      </c>
      <c r="L17" s="3049"/>
      <c r="M17" s="3050"/>
      <c r="N17" s="3048" t="s">
        <v>1942</v>
      </c>
      <c r="O17" s="3049"/>
      <c r="P17" s="3050"/>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41" t="s">
        <v>3186</v>
      </c>
      <c r="D19" s="48">
        <f>ROUND($D$3*E19/$E$3,2)</f>
        <v>11820.04</v>
      </c>
      <c r="E19" s="56">
        <f t="shared" ref="E19:E26" si="1">SUM(F19:G19)</f>
        <v>66561.350000000006</v>
      </c>
      <c r="F19" s="57">
        <f>'数据-基础表'!I13</f>
        <v>66561.350000000006</v>
      </c>
      <c r="G19" s="58"/>
      <c r="H19" s="723">
        <f>ROUND($D$3*I19/$E$3,2)</f>
        <v>610.30999999999995</v>
      </c>
      <c r="I19" s="51">
        <f t="shared" ref="I19:I26" si="2">IF($I$17="自定义",P19,M19)</f>
        <v>3436.77</v>
      </c>
      <c r="J19" s="1395"/>
      <c r="K19" s="1394">
        <f t="shared" ref="K19:K26" si="3">ROUND(E$28*E19/E$27,2)</f>
        <v>3436.77</v>
      </c>
      <c r="L19" s="1250">
        <f t="shared" ref="L19:L26" si="4">ROUND(IF(COUNTIF(C19,"*住宅*")&gt;0,E$29*E19/E$32,0),2)</f>
        <v>0</v>
      </c>
      <c r="M19" s="1406">
        <f>K19+L19</f>
        <v>3436.77</v>
      </c>
      <c r="N19" s="2259"/>
      <c r="O19" s="2260"/>
      <c r="P19" s="1406">
        <f>N19+O19</f>
        <v>0</v>
      </c>
      <c r="R19" s="1250">
        <f t="shared" ref="R19:S26" si="5">D19+H19</f>
        <v>12430.35</v>
      </c>
      <c r="S19" s="1251">
        <f t="shared" si="5"/>
        <v>69998.12000000001</v>
      </c>
    </row>
    <row r="20" spans="1:19">
      <c r="A20" s="2261"/>
      <c r="B20" s="50" t="s">
        <v>1954</v>
      </c>
      <c r="C20" s="2941" t="s">
        <v>3187</v>
      </c>
      <c r="D20" s="48">
        <f t="shared" ref="D20:D26" si="6">ROUND($D$3*E20/$E$3,2)</f>
        <v>760.73</v>
      </c>
      <c r="E20" s="56">
        <f t="shared" si="1"/>
        <v>4283.87</v>
      </c>
      <c r="F20" s="57">
        <f>'数据-基础表'!K13</f>
        <v>4283.87</v>
      </c>
      <c r="G20" s="58"/>
      <c r="H20" s="723">
        <f t="shared" ref="H20:H26" si="7">ROUND($D$3*I20/$E$3,2)</f>
        <v>39.28</v>
      </c>
      <c r="I20" s="51">
        <f t="shared" si="2"/>
        <v>221.19</v>
      </c>
      <c r="J20" s="1395"/>
      <c r="K20" s="1394">
        <f t="shared" si="3"/>
        <v>221.19</v>
      </c>
      <c r="L20" s="1250">
        <f t="shared" si="4"/>
        <v>0</v>
      </c>
      <c r="M20" s="1406">
        <f t="shared" ref="M20:M26" si="8">K20+L20</f>
        <v>221.19</v>
      </c>
      <c r="N20" s="2259"/>
      <c r="O20" s="2260"/>
      <c r="P20" s="1406">
        <f t="shared" ref="P20:P26" si="9">N20+O20</f>
        <v>0</v>
      </c>
      <c r="R20" s="1250">
        <f t="shared" si="5"/>
        <v>800.01</v>
      </c>
      <c r="S20" s="1251">
        <f t="shared" si="5"/>
        <v>4505.0599999999995</v>
      </c>
    </row>
    <row r="21" spans="1:19">
      <c r="A21" s="2261"/>
      <c r="B21" s="50" t="s">
        <v>1954</v>
      </c>
      <c r="C21" s="2941" t="s">
        <v>3188</v>
      </c>
      <c r="D21" s="48">
        <f t="shared" si="6"/>
        <v>3348.83</v>
      </c>
      <c r="E21" s="56">
        <f t="shared" si="1"/>
        <v>18858.009999999998</v>
      </c>
      <c r="F21" s="57"/>
      <c r="G21" s="58">
        <f>'数据-基础表'!M13</f>
        <v>18858.009999999998</v>
      </c>
      <c r="H21" s="723">
        <f t="shared" si="7"/>
        <v>172.91</v>
      </c>
      <c r="I21" s="51">
        <f t="shared" si="2"/>
        <v>973.7</v>
      </c>
      <c r="J21" s="1395"/>
      <c r="K21" s="1394">
        <f t="shared" si="3"/>
        <v>973.7</v>
      </c>
      <c r="L21" s="1250">
        <f t="shared" si="4"/>
        <v>0</v>
      </c>
      <c r="M21" s="1406">
        <f t="shared" si="8"/>
        <v>973.7</v>
      </c>
      <c r="N21" s="2259"/>
      <c r="O21" s="2260"/>
      <c r="P21" s="1406">
        <f t="shared" si="9"/>
        <v>0</v>
      </c>
      <c r="R21" s="1250">
        <f t="shared" si="5"/>
        <v>3521.74</v>
      </c>
      <c r="S21" s="1251">
        <f t="shared" si="5"/>
        <v>19831.71</v>
      </c>
    </row>
    <row r="22" spans="1:19">
      <c r="A22" s="2261"/>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1955</v>
      </c>
      <c r="D27" s="1396">
        <f>SUM(D19:D26)</f>
        <v>15929.6</v>
      </c>
      <c r="E27" s="1397">
        <f>IF(SUM(E19:E26)='数据-基础表'!BA5,SUM(E19:E26),IF(F27="地上面积有误","面积有误","地下面积有误"))</f>
        <v>89703.23</v>
      </c>
      <c r="F27" s="1396">
        <f>IF(SUM(F19:F26)=E8,SUM(F19:F26),"地上面积有误")</f>
        <v>70845.22</v>
      </c>
      <c r="G27" s="1398">
        <f>SUM(G19:G26)</f>
        <v>18858.009999999998</v>
      </c>
      <c r="H27" s="1399">
        <f>SUM(H19:H26)</f>
        <v>822.49999999999989</v>
      </c>
      <c r="I27" s="1400">
        <f>SUM(I19:I26)</f>
        <v>4631.66</v>
      </c>
      <c r="J27" s="1395"/>
      <c r="K27" s="1403">
        <f>SUM(K19:K26)</f>
        <v>4631.66</v>
      </c>
      <c r="L27" s="1404">
        <f>SUM(L19:L26)</f>
        <v>0</v>
      </c>
      <c r="M27" s="1407">
        <f>SUM(M19:M26)</f>
        <v>4631.66</v>
      </c>
      <c r="N27" s="1403">
        <f t="shared" ref="N27:O27" si="10">SUM(N19:N26)</f>
        <v>0</v>
      </c>
      <c r="O27" s="1404">
        <f t="shared" si="10"/>
        <v>0</v>
      </c>
      <c r="P27" s="1405">
        <f>SUM(P19:P26)</f>
        <v>0</v>
      </c>
      <c r="R27" s="1252">
        <f>IF(SUM(R19:R26)=$D$3,SUM(R19:R26),SUM(R19:R26)&amp;"误差"&amp;ROUND(SUM(R19:R26)-$D$3,2))</f>
        <v>16752.099999999999</v>
      </c>
      <c r="S27" s="1250">
        <f>IF(SUM(S19:S26)=$E$3,SUM(S19:S26),SUM(S19:S26)&amp;"误差"&amp;ROUND(SUM(S19:S26)-E3,2))</f>
        <v>94334.890000000014</v>
      </c>
    </row>
    <row r="28" spans="1:19">
      <c r="A28" s="2261"/>
      <c r="B28" s="50" t="s">
        <v>1956</v>
      </c>
      <c r="C28" s="1262" t="s">
        <v>1957</v>
      </c>
      <c r="D28" s="48">
        <f>ROUND($D$3*E28/$E$3,2)</f>
        <v>822.5</v>
      </c>
      <c r="E28" s="56">
        <f>SUM(F28:G28)</f>
        <v>4631.66</v>
      </c>
      <c r="F28" s="64">
        <f>'数据-基础表'!BQ5+'数据-基础表'!BS5</f>
        <v>466.43999999999994</v>
      </c>
      <c r="G28" s="65">
        <f>'数据-基础表'!BR5+'数据-基础表'!BT5</f>
        <v>4165.22</v>
      </c>
      <c r="H28" s="1395"/>
      <c r="I28" s="1395"/>
      <c r="J28" s="1395"/>
      <c r="K28" s="1395"/>
      <c r="L28" s="1395"/>
      <c r="M28" s="1395"/>
      <c r="N28" s="1395"/>
      <c r="O28" s="1395"/>
      <c r="P28" s="1395"/>
    </row>
    <row r="29" spans="1:19">
      <c r="A29" s="2261"/>
      <c r="B29" s="50" t="s">
        <v>1956</v>
      </c>
      <c r="C29" s="2265"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1955</v>
      </c>
      <c r="D30" s="1396">
        <f>SUM(D28:D29)</f>
        <v>822.5</v>
      </c>
      <c r="E30" s="1396">
        <f>SUM(E28:E29)</f>
        <v>4631.66</v>
      </c>
      <c r="F30" s="1396">
        <f>SUM(F28:F29)</f>
        <v>466.43999999999994</v>
      </c>
      <c r="G30" s="1398">
        <f>SUM(G28:G29)</f>
        <v>4165.22</v>
      </c>
      <c r="H30" s="1395"/>
      <c r="I30" s="1395"/>
      <c r="J30" s="1395"/>
      <c r="K30" s="1395"/>
      <c r="L30" s="1395"/>
      <c r="M30" s="1395"/>
      <c r="N30" s="1395"/>
      <c r="O30" s="1395"/>
      <c r="P30" s="1395"/>
    </row>
    <row r="31" spans="1:19" ht="15.75" thickBot="1">
      <c r="A31" s="2267"/>
      <c r="B31" s="2268"/>
      <c r="C31" s="1010" t="s">
        <v>1959</v>
      </c>
      <c r="D31" s="729">
        <f>D27+D30</f>
        <v>16752.099999999999</v>
      </c>
      <c r="E31" s="729">
        <f>E27+E30</f>
        <v>94334.89</v>
      </c>
      <c r="F31" s="730">
        <f>F27+F30</f>
        <v>71311.66</v>
      </c>
      <c r="G31" s="731">
        <f>G27+G30</f>
        <v>23023.23</v>
      </c>
      <c r="H31" s="1395"/>
      <c r="I31" s="1395"/>
      <c r="J31" s="1395"/>
      <c r="K31" s="1395"/>
      <c r="L31" s="1395"/>
      <c r="M31" s="1395"/>
      <c r="N31" s="1395"/>
      <c r="O31" s="1395"/>
      <c r="P31" s="1395"/>
    </row>
    <row r="32" spans="1:19">
      <c r="A32" s="2232"/>
      <c r="B32" s="2232" t="s">
        <v>1960</v>
      </c>
      <c r="C32" s="2232"/>
      <c r="D32" s="2232"/>
      <c r="E32" s="1277">
        <f>SUMIF(C19:C26,"*住宅*",E19:E26)</f>
        <v>0</v>
      </c>
      <c r="F32" s="2232"/>
      <c r="G32" s="2232"/>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1962</v>
      </c>
      <c r="B2" s="1269">
        <f>项目基本情况!B3</f>
        <v>43369</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3" t="s">
        <v>1967</v>
      </c>
      <c r="AA4" s="2243"/>
      <c r="AB4" s="2243"/>
      <c r="AC4" s="2243"/>
      <c r="AD4" s="2243"/>
      <c r="AE4" s="2241" t="s">
        <v>1968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1969</v>
      </c>
      <c r="B5" s="2288" t="s">
        <v>1970</v>
      </c>
      <c r="C5" s="2289" t="s">
        <v>1971</v>
      </c>
      <c r="D5" s="2290" t="s">
        <v>1972</v>
      </c>
      <c r="E5" s="1271" t="s">
        <v>1973</v>
      </c>
      <c r="F5" s="2291" t="s">
        <v>1974</v>
      </c>
      <c r="G5" s="1271" t="s">
        <v>1975</v>
      </c>
      <c r="H5" s="1271" t="s">
        <v>1976</v>
      </c>
      <c r="I5" s="1271"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70" t="s">
        <v>1989</v>
      </c>
      <c r="V5" s="1271" t="s">
        <v>1990</v>
      </c>
      <c r="W5" s="1271" t="s">
        <v>1991</v>
      </c>
      <c r="X5" s="71"/>
      <c r="Y5" s="70" t="s">
        <v>1992</v>
      </c>
      <c r="Z5" s="2301" t="s">
        <v>1989</v>
      </c>
      <c r="AA5" s="1271" t="s">
        <v>1990</v>
      </c>
      <c r="AB5" s="1271" t="s">
        <v>1991</v>
      </c>
      <c r="AC5" s="71"/>
      <c r="AD5" s="71" t="s">
        <v>1992</v>
      </c>
      <c r="AE5" s="1270" t="s">
        <v>1993</v>
      </c>
      <c r="AF5" s="1271" t="s">
        <v>1994</v>
      </c>
      <c r="AG5" s="70" t="s">
        <v>1995</v>
      </c>
      <c r="AH5" s="1270" t="s">
        <v>1996</v>
      </c>
      <c r="AI5" s="2301" t="s">
        <v>1997</v>
      </c>
      <c r="AJ5" s="2301" t="s">
        <v>1998</v>
      </c>
      <c r="AK5" s="1271" t="s">
        <v>1999</v>
      </c>
      <c r="AL5" s="1271" t="s">
        <v>2000</v>
      </c>
      <c r="AM5" s="70" t="s">
        <v>2001</v>
      </c>
      <c r="AN5" s="2302" t="s">
        <v>2002</v>
      </c>
      <c r="AO5" s="2073" t="s">
        <v>2003</v>
      </c>
      <c r="AP5" s="1252" t="s">
        <v>2004</v>
      </c>
      <c r="AQ5" s="2303" t="s">
        <v>2005</v>
      </c>
      <c r="AR5" s="2303"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4" t="str">
        <f>'数据-汇总表'!C19</f>
        <v>SOHO</v>
      </c>
      <c r="B6" s="2305" t="str">
        <f>IF(A6=0,"","经营性")</f>
        <v>经营性</v>
      </c>
      <c r="C6" s="2306" t="s">
        <v>27</v>
      </c>
      <c r="D6" s="1054">
        <f>SUMIF(项目基本情况!D$12:I$12,C6,项目基本情况!D$14:I$14)</f>
        <v>50</v>
      </c>
      <c r="E6" s="1051">
        <f>IF(B6="","",SUMIF(项目基本情况!D$12:I$12,C6,项目基本情况!D$13:I$13))</f>
        <v>59442</v>
      </c>
      <c r="F6" s="72">
        <f>SUMIF(项目基本情况!D$12:I$12,C6,项目基本情况!D$15:I$15)</f>
        <v>44.03</v>
      </c>
      <c r="G6" s="73">
        <f>IF(ISERROR(ROUND(POWER(1+H6,D6-F6)*(POWER(1+H6,F6)-1)/(POWER(1+H6,D6)-1),3)),0,ROUND(POWER(1+H6,D6-F6)*(POWER(1+H6,F6)-1)/(POWER(1+H6,D6)-1),3))</f>
        <v>0.96799999999999997</v>
      </c>
      <c r="H6" s="802">
        <v>0.05</v>
      </c>
      <c r="I6" s="802">
        <v>5.5E-2</v>
      </c>
      <c r="J6" s="74">
        <v>8.5000000000000006E-2</v>
      </c>
      <c r="K6" s="1254">
        <f>SUMIF('数据-汇总表'!C$19:C$33,A6,'数据-汇总表'!E$19:E$33)</f>
        <v>66561.350000000006</v>
      </c>
      <c r="L6" s="803">
        <v>4500</v>
      </c>
      <c r="M6" s="75">
        <f t="shared" ref="M6:M14" si="0">ROUND(K6*L6/10000,0)</f>
        <v>29953</v>
      </c>
      <c r="N6" s="801">
        <f>L22</f>
        <v>0.35099999999999998</v>
      </c>
      <c r="O6" s="75">
        <f>IF($N$5="成新度","——",ROUND(M6*N6,0))</f>
        <v>10514</v>
      </c>
      <c r="P6" s="76">
        <f>IF($N$5="成新度","——",M6-O6)</f>
        <v>19439</v>
      </c>
      <c r="Q6" s="804">
        <v>0.15</v>
      </c>
      <c r="R6" s="77">
        <f ca="1">SUMIF('数据-汇总表'!C$19:C$33,A6,'数据-汇总表'!R$19:R$27)</f>
        <v>12430.35</v>
      </c>
      <c r="S6" s="54">
        <f>IF('数据-汇总表'!$I$17="按面积比例",SUMIF('数据-汇总表'!C$19:C$33,A6,'数据-汇总表'!K$19:K$33),SUMIF('数据-汇总表'!C$19:C$33,A6,'数据-汇总表'!N$19:N$33))</f>
        <v>3436.77</v>
      </c>
      <c r="T6" s="1446">
        <f>ROUND($L$14*S6/10000,0)</f>
        <v>1031</v>
      </c>
      <c r="U6" s="78"/>
      <c r="V6" s="79"/>
      <c r="W6" s="79"/>
      <c r="X6" s="1264"/>
      <c r="Y6" s="80"/>
      <c r="Z6" s="81"/>
      <c r="AA6" s="74"/>
      <c r="AB6" s="74"/>
      <c r="AC6" s="1264"/>
      <c r="AD6" s="82"/>
      <c r="AE6" s="1265" t="e">
        <f ca="1">IF(AN6="",0,SUMIF(INDIRECT("'"&amp;AN6&amp;"'"&amp;"!E:E"),$AE$5,INDIRECT("'"&amp;AN6&amp;"'"&amp;"!F:F")))</f>
        <v>#N/A</v>
      </c>
      <c r="AF6" s="1807"/>
      <c r="AG6" s="147">
        <f>IF(AF6="",0,AE6-AF6)</f>
        <v>0</v>
      </c>
      <c r="AH6" s="83"/>
      <c r="AI6" s="85">
        <v>365</v>
      </c>
      <c r="AJ6" s="86"/>
      <c r="AK6" s="87"/>
      <c r="AL6" s="88"/>
      <c r="AM6" s="89"/>
      <c r="AN6" s="2307" t="s">
        <v>3106</v>
      </c>
      <c r="AO6" s="55" t="e">
        <f ca="1">SUMIF(INDIRECT("'"&amp;AN6&amp;"'"&amp;"!A:A"),"总价",INDIRECT("'"&amp;AN6&amp;"'"&amp;"!B:B"))</f>
        <v>#N/A</v>
      </c>
      <c r="AP6" s="2308">
        <f>IF(C6="住宅",K6*L6,0)</f>
        <v>0</v>
      </c>
      <c r="AQ6" s="55">
        <f>ROUND($L$14*$N$14*S6/10000,0)</f>
        <v>0</v>
      </c>
      <c r="AR6" s="55">
        <f>ROUND($L$14*(1-$N$14)*S6/10000,0)</f>
        <v>1031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t="str">
        <f>'数据-汇总表'!C20</f>
        <v>底商</v>
      </c>
      <c r="B7" s="2305" t="str">
        <f t="shared" ref="B7:B13" si="1">IF(A7=0,"","经营性")</f>
        <v>经营性</v>
      </c>
      <c r="C7" s="2306" t="s">
        <v>1377</v>
      </c>
      <c r="D7" s="1054">
        <f>SUMIF(项目基本情况!D$12:I$12,C7,项目基本情况!D$14:I$14)</f>
        <v>40</v>
      </c>
      <c r="E7" s="1051">
        <f>IF(B7="","",SUMIF(项目基本情况!D$12:I$12,C7,项目基本情况!D$13:I$13))</f>
        <v>55790</v>
      </c>
      <c r="F7" s="72">
        <f>SUMIF(项目基本情况!D$12:I$12,C7,项目基本情况!D$15:I$15)</f>
        <v>34.03</v>
      </c>
      <c r="G7" s="73">
        <f t="shared" ref="G7:G11" si="2">IF(ISERROR(ROUND(POWER(1+H7,D7-F7)*(POWER(1+H7,F7)-1)/(POWER(1+H7,D7)-1),3)),0,ROUND(POWER(1+H7,D7-F7)*(POWER(1+H7,F7)-1)/(POWER(1+H7,D7)-1),3))</f>
        <v>0.95</v>
      </c>
      <c r="H7" s="802">
        <v>5.5E-2</v>
      </c>
      <c r="I7" s="802">
        <v>0.06</v>
      </c>
      <c r="J7" s="74">
        <v>8.5000000000000006E-2</v>
      </c>
      <c r="K7" s="1254">
        <f>SUMIF('数据-汇总表'!C$19:C$33,A7,'数据-汇总表'!E$19:E$33)</f>
        <v>4283.87</v>
      </c>
      <c r="L7" s="803">
        <v>3500</v>
      </c>
      <c r="M7" s="75">
        <f t="shared" si="0"/>
        <v>1499</v>
      </c>
      <c r="N7" s="801">
        <f>L28</f>
        <v>0.41799999999999998</v>
      </c>
      <c r="O7" s="75">
        <f t="shared" ref="O7:O14" si="3">IF($N$5="成新度","——",ROUND(M7*N7,0))</f>
        <v>627</v>
      </c>
      <c r="P7" s="76">
        <f t="shared" ref="P7:P14" si="4">IF($N$5="成新度","——",M7-O7)</f>
        <v>872</v>
      </c>
      <c r="Q7" s="804">
        <v>0.25</v>
      </c>
      <c r="R7" s="77">
        <f ca="1">SUMIF('数据-汇总表'!C$19:C$33,A7,'数据-汇总表'!R$19:R$27)</f>
        <v>800.01</v>
      </c>
      <c r="S7" s="54">
        <f>IF('数据-汇总表'!$I$17="按面积比例",SUMIF('数据-汇总表'!C$19:C$33,A7,'数据-汇总表'!K$19:K$33),SUMIF('数据-汇总表'!C$19:C$33,A7,'数据-汇总表'!N$19:N$33))</f>
        <v>221.19</v>
      </c>
      <c r="T7" s="1446">
        <f t="shared" ref="T7:T13" si="5">ROUND($L$14*S7/10000,0)</f>
        <v>66</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66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t="str">
        <f>'数据-汇总表'!C21</f>
        <v>地下车库</v>
      </c>
      <c r="B8" s="2305" t="str">
        <f t="shared" si="1"/>
        <v>经营性</v>
      </c>
      <c r="C8" s="2306" t="s">
        <v>3069</v>
      </c>
      <c r="D8" s="1054">
        <f>SUMIF(项目基本情况!D$12:I$12,C8,项目基本情况!D$14:I$14)</f>
        <v>50</v>
      </c>
      <c r="E8" s="1051">
        <f>IF(B8="","",SUMIF(项目基本情况!D$12:I$12,C8,项目基本情况!D$13:I$13))</f>
        <v>59442</v>
      </c>
      <c r="F8" s="72">
        <f>SUMIF(项目基本情况!D$12:I$12,C8,项目基本情况!D$15:I$15)</f>
        <v>44.03</v>
      </c>
      <c r="G8" s="73">
        <f t="shared" si="2"/>
        <v>0.96299999999999997</v>
      </c>
      <c r="H8" s="802">
        <v>4.4999999999999998E-2</v>
      </c>
      <c r="I8" s="802">
        <v>0.05</v>
      </c>
      <c r="J8" s="74">
        <v>8.5000000000000006E-2</v>
      </c>
      <c r="K8" s="1254">
        <f>SUMIF('数据-汇总表'!C$19:C$33,A8,'数据-汇总表'!E$19:E$33)</f>
        <v>18858.009999999998</v>
      </c>
      <c r="L8" s="803">
        <v>3000</v>
      </c>
      <c r="M8" s="75">
        <f>ROUND(K8*L8/10000,0)</f>
        <v>5657</v>
      </c>
      <c r="N8" s="801">
        <v>0.7</v>
      </c>
      <c r="O8" s="75">
        <f t="shared" si="3"/>
        <v>3960</v>
      </c>
      <c r="P8" s="76">
        <f t="shared" si="4"/>
        <v>1697</v>
      </c>
      <c r="Q8" s="804">
        <v>0.05</v>
      </c>
      <c r="R8" s="77">
        <f ca="1">SUMIF('数据-汇总表'!C$19:C$33,A8,'数据-汇总表'!R$19:R$27)</f>
        <v>3521.74</v>
      </c>
      <c r="S8" s="54">
        <f>IF('数据-汇总表'!$I$17="按面积比例",SUMIF('数据-汇总表'!C$19:C$33,A8,'数据-汇总表'!K$19:K$33),SUMIF('数据-汇总表'!C$19:C$33,A8,'数据-汇总表'!N$19:N$33))</f>
        <v>973.7</v>
      </c>
      <c r="T8" s="1446">
        <f t="shared" si="5"/>
        <v>292</v>
      </c>
      <c r="U8" s="805"/>
      <c r="V8" s="806"/>
      <c r="W8" s="806"/>
      <c r="X8" s="1264"/>
      <c r="Y8" s="807"/>
      <c r="Z8" s="81"/>
      <c r="AA8" s="74"/>
      <c r="AB8" s="74"/>
      <c r="AC8" s="1264"/>
      <c r="AD8" s="82"/>
      <c r="AE8" s="1265">
        <f t="shared" ca="1" si="6"/>
        <v>0</v>
      </c>
      <c r="AF8" s="1807"/>
      <c r="AG8" s="147">
        <f t="shared" si="7"/>
        <v>0</v>
      </c>
      <c r="AH8" s="808">
        <v>523</v>
      </c>
      <c r="AI8" s="85"/>
      <c r="AJ8" s="86"/>
      <c r="AK8" s="809"/>
      <c r="AL8" s="810"/>
      <c r="AM8" s="811"/>
      <c r="AN8" s="2307"/>
      <c r="AO8" s="55" t="e">
        <f t="shared" ca="1" si="8"/>
        <v>#REF!</v>
      </c>
      <c r="AP8" s="2308">
        <f t="shared" si="9"/>
        <v>0</v>
      </c>
      <c r="AQ8" s="55">
        <f t="shared" si="10"/>
        <v>0</v>
      </c>
      <c r="AR8" s="55">
        <f t="shared" si="11"/>
        <v>292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2007</v>
      </c>
      <c r="B14" s="2305" t="s">
        <v>2008</v>
      </c>
      <c r="C14" s="2310" t="s">
        <v>2007</v>
      </c>
      <c r="D14" s="1054"/>
      <c r="E14" s="1051"/>
      <c r="F14" s="72"/>
      <c r="G14" s="73"/>
      <c r="H14" s="1253"/>
      <c r="I14" s="1253"/>
      <c r="J14" s="1253"/>
      <c r="K14" s="1254">
        <f>SUMIF('数据-汇总表'!C$19:C$33,A14,'数据-汇总表'!E$19:E$33)</f>
        <v>4631.66</v>
      </c>
      <c r="L14" s="91">
        <v>3000</v>
      </c>
      <c r="M14" s="75">
        <f t="shared" si="0"/>
        <v>1389</v>
      </c>
      <c r="N14" s="92"/>
      <c r="O14" s="75">
        <f t="shared" si="3"/>
        <v>0</v>
      </c>
      <c r="P14" s="76">
        <f t="shared" si="4"/>
        <v>1389</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2009</v>
      </c>
      <c r="B15" s="2305" t="s">
        <v>2008</v>
      </c>
      <c r="C15" s="2310"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2011</v>
      </c>
      <c r="B16" s="97"/>
      <c r="C16" s="1008"/>
      <c r="D16" s="2312"/>
      <c r="E16" s="97"/>
      <c r="F16" s="97"/>
      <c r="G16" s="98">
        <f>ROUND(SUMPRODUCT(G6:G13,K6:K13)/SUMPRODUCT((G6:G13&gt;0)*(K6:K13)),3)</f>
        <v>0.96599999999999997</v>
      </c>
      <c r="H16" s="99">
        <f>ROUND(SUMPRODUCT(H6:H13,K6:K13)/SUMPRODUCT((H6:H13&gt;0)*(K6:K13)),3)</f>
        <v>4.9000000000000002E-2</v>
      </c>
      <c r="I16" s="100"/>
      <c r="J16" s="100"/>
      <c r="K16" s="101">
        <f>SUM(K6:K15)</f>
        <v>94334.89</v>
      </c>
      <c r="L16" s="102">
        <f>ROUND(M16*10000/SUM(K6:K14),0)</f>
        <v>4081</v>
      </c>
      <c r="M16" s="102">
        <f>SUM(M6:M14)</f>
        <v>38498</v>
      </c>
      <c r="N16" s="103">
        <f>ROUND(SUMPRODUCT(M6:M14,N6:N14)/M16,3)</f>
        <v>0.39200000000000002</v>
      </c>
      <c r="O16" s="102">
        <f>SUM(O6:O14)</f>
        <v>15101</v>
      </c>
      <c r="P16" s="102">
        <f>SUM(P6:P14)</f>
        <v>23397</v>
      </c>
      <c r="Q16" s="104">
        <f>ROUND(SUMPRODUCT(Q6:Q13,K6:K13)/SUMPRODUCT((Q6:Q13&gt;0)*(K6:K13)),2)</f>
        <v>0.13</v>
      </c>
      <c r="R16" s="1258">
        <f ca="1">SUM(R6:R13)</f>
        <v>16752.099999999999</v>
      </c>
      <c r="S16" s="105">
        <f>SUM(S6:S13)</f>
        <v>4631.66</v>
      </c>
      <c r="T16" s="106">
        <f>IF(SUMIF(T6:T13,"&lt;9E307")=M14,SUMIF(T6:T13,"&lt;9E307"),"有误，请检查")</f>
        <v>1389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78"/>
      <c r="C18" s="2275"/>
      <c r="D18" s="2276"/>
      <c r="E18" s="2275"/>
      <c r="F18" s="2275"/>
      <c r="G18" s="2275"/>
      <c r="H18" s="2275"/>
      <c r="I18" s="2275"/>
      <c r="J18" s="2275"/>
      <c r="K18" s="168"/>
      <c r="L18" s="168"/>
      <c r="M18" s="2966" t="s">
        <v>3190</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2013</v>
      </c>
      <c r="B19" s="112">
        <v>0</v>
      </c>
      <c r="C19" s="2275" t="s">
        <v>2014</v>
      </c>
      <c r="D19" s="2276"/>
      <c r="E19" s="2275"/>
      <c r="F19" s="2275"/>
      <c r="G19" s="2275"/>
      <c r="H19" s="2275"/>
      <c r="I19" s="2275"/>
      <c r="J19" s="2275"/>
      <c r="K19" s="168"/>
      <c r="L19" s="168"/>
      <c r="M19" s="2966" t="s">
        <v>3191</v>
      </c>
      <c r="N19" s="2271">
        <f>K6</f>
        <v>66561.350000000006</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2015</v>
      </c>
      <c r="B20" s="113">
        <v>3</v>
      </c>
      <c r="C20" s="2275" t="s">
        <v>2016</v>
      </c>
      <c r="D20" s="2276"/>
      <c r="E20" s="2275"/>
      <c r="F20" s="2275"/>
      <c r="G20" s="2275"/>
      <c r="H20" s="2275"/>
      <c r="I20" s="2275"/>
      <c r="J20" s="2275"/>
      <c r="K20" s="168">
        <f>(10/27+17/27)/2</f>
        <v>0.5</v>
      </c>
      <c r="L20" s="2476">
        <f>K20</f>
        <v>0.5</v>
      </c>
      <c r="M20" s="2966" t="s">
        <v>3189</v>
      </c>
      <c r="N20" s="1584">
        <v>46779.65</v>
      </c>
      <c r="O20" s="2966" t="s">
        <v>3193</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2017</v>
      </c>
      <c r="B21" s="113">
        <v>1.5</v>
      </c>
      <c r="C21" s="2275"/>
      <c r="D21" s="2276"/>
      <c r="E21" s="2275"/>
      <c r="F21" s="2275"/>
      <c r="G21" s="2275"/>
      <c r="H21" s="2275"/>
      <c r="I21" s="2275"/>
      <c r="J21" s="2275"/>
      <c r="K21" s="168"/>
      <c r="L21" s="2476">
        <v>0</v>
      </c>
      <c r="M21" s="2966" t="s">
        <v>3192</v>
      </c>
      <c r="N21" s="2271">
        <f>N19-N20</f>
        <v>19781.700000000004</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2018</v>
      </c>
      <c r="B22" s="114">
        <f>B19+B20</f>
        <v>3</v>
      </c>
      <c r="C22" s="2275"/>
      <c r="D22" s="2276"/>
      <c r="E22" s="2275"/>
      <c r="F22" s="2275"/>
      <c r="G22" s="2275"/>
      <c r="H22" s="2275"/>
      <c r="I22" s="2275"/>
      <c r="J22" s="2275"/>
      <c r="K22" s="168"/>
      <c r="L22" s="2479">
        <f>ROUND((L20*N20+L21*N21)/N19,3)</f>
        <v>0.35099999999999998</v>
      </c>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2019</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2020</v>
      </c>
      <c r="B24" s="115">
        <f>B20-B21</f>
        <v>1.5</v>
      </c>
      <c r="C24" s="2275"/>
      <c r="D24" s="2276"/>
      <c r="E24" s="2275"/>
      <c r="F24" s="2275"/>
      <c r="G24" s="2275"/>
      <c r="H24" s="2275"/>
      <c r="I24" s="2275"/>
      <c r="J24" s="2275"/>
      <c r="K24" s="168"/>
      <c r="L24" s="168"/>
      <c r="M24" s="2966" t="s">
        <v>3194</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2966" t="s">
        <v>3191</v>
      </c>
      <c r="N25" s="2271">
        <f>K7</f>
        <v>4283.87</v>
      </c>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2021</v>
      </c>
      <c r="B26" s="2318" t="s">
        <v>2022</v>
      </c>
      <c r="C26" s="2319" t="s">
        <v>2023</v>
      </c>
      <c r="D26" s="2276"/>
      <c r="E26" s="2275"/>
      <c r="F26" s="2275"/>
      <c r="G26" s="2275"/>
      <c r="H26" s="2275"/>
      <c r="I26" s="2275"/>
      <c r="J26" s="2275"/>
      <c r="K26" s="168"/>
      <c r="L26" s="2476">
        <v>0.8</v>
      </c>
      <c r="M26" s="2966" t="s">
        <v>3189</v>
      </c>
      <c r="N26" s="1584">
        <v>2236.38</v>
      </c>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2024</v>
      </c>
      <c r="B27" s="116">
        <v>60</v>
      </c>
      <c r="C27" s="1767" t="s">
        <v>2025</v>
      </c>
      <c r="D27" s="2321"/>
      <c r="E27" s="1430"/>
      <c r="F27" s="1430"/>
      <c r="G27" s="2275"/>
      <c r="H27" s="2275"/>
      <c r="I27" s="2275"/>
      <c r="J27" s="2275"/>
      <c r="K27" s="168"/>
      <c r="L27" s="2476">
        <v>0</v>
      </c>
      <c r="M27" s="2966" t="s">
        <v>3192</v>
      </c>
      <c r="N27" s="2271">
        <f>N25-N26</f>
        <v>2047.4899999999998</v>
      </c>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80</v>
      </c>
      <c r="C28" s="2324"/>
      <c r="D28" s="2321"/>
      <c r="E28" s="1430"/>
      <c r="F28" s="1430"/>
      <c r="G28" s="2275"/>
      <c r="H28" s="2275"/>
      <c r="I28" s="2275"/>
      <c r="J28" s="2275"/>
      <c r="K28" s="168"/>
      <c r="L28" s="2479">
        <f>ROUND((L26*N26+L27*N27)/N25,3)</f>
        <v>0.41799999999999998</v>
      </c>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 ca="1">成本法!C10</f>
        <v>755</v>
      </c>
      <c r="C29" s="1767" t="s">
        <v>2028</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6" t="s">
        <v>2033</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6" t="s">
        <v>2035</v>
      </c>
      <c r="D34" s="2276" t="s">
        <v>2036</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6" t="s">
        <v>2038</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6" t="s">
        <v>2040</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2041</v>
      </c>
      <c r="B37" s="124">
        <v>0.02</v>
      </c>
      <c r="C37" s="1766" t="s">
        <v>2042</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2043</v>
      </c>
      <c r="B38" s="122">
        <v>0.03</v>
      </c>
      <c r="C38" s="1766" t="s">
        <v>2042</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2044</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2045</v>
      </c>
      <c r="B40" s="1303">
        <f ca="1">存贷款利率!G1</f>
        <v>4.7500000000000001E-2</v>
      </c>
      <c r="C40" s="1766" t="s">
        <v>2046</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2047</v>
      </c>
      <c r="B41" s="125">
        <f>B42+B43</f>
        <v>5.6000000000000001E-2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2048</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2049</v>
      </c>
      <c r="B43" s="127">
        <f>B42*(B44+B45+B46)+B47</f>
        <v>6.000000000000001E-3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2050</v>
      </c>
      <c r="B44" s="128">
        <v>7.0000000000000007E-2</v>
      </c>
      <c r="C44" s="1766" t="s">
        <v>2051</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2052</v>
      </c>
      <c r="B45" s="126">
        <v>0.03</v>
      </c>
      <c r="C45" s="1767" t="s">
        <v>2053</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2054</v>
      </c>
      <c r="B46" s="126">
        <v>0.02</v>
      </c>
      <c r="C46" s="1767" t="s">
        <v>2055</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2056</v>
      </c>
      <c r="B47" s="129"/>
      <c r="C47" s="1767" t="s">
        <v>2057</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2058</v>
      </c>
      <c r="B48" s="130">
        <v>0.03</v>
      </c>
      <c r="C48" s="1774" t="s">
        <v>2059</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2060</v>
      </c>
      <c r="B49" s="126">
        <v>5.0000000000000001E-4</v>
      </c>
      <c r="C49" s="1774" t="s">
        <v>2061</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2062</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2063</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2064</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2065</v>
      </c>
      <c r="B53" s="2334" t="s">
        <v>442</v>
      </c>
      <c r="C53" s="1430" t="s">
        <v>2066</v>
      </c>
      <c r="D53" s="2335" t="s">
        <v>2067</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2068</v>
      </c>
      <c r="B54" s="84">
        <v>25</v>
      </c>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2069</v>
      </c>
      <c r="B55" s="84">
        <v>20</v>
      </c>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2070</v>
      </c>
      <c r="B56" s="84">
        <v>15</v>
      </c>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2071</v>
      </c>
      <c r="B57" s="84">
        <v>10</v>
      </c>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2072</v>
      </c>
      <c r="B58" s="84">
        <v>6</v>
      </c>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2073</v>
      </c>
      <c r="B59" s="84"/>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2074</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2075</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2076</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2077</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63" t="s">
        <v>2078</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67.5">
      <c r="A3" s="415" t="s">
        <v>2081</v>
      </c>
      <c r="B3" s="1271" t="s">
        <v>2082</v>
      </c>
      <c r="C3" s="2944" t="s">
        <v>3072</v>
      </c>
      <c r="D3" s="2368"/>
      <c r="E3" s="431" t="s">
        <v>2081</v>
      </c>
      <c r="F3" s="2369" t="s">
        <v>2083</v>
      </c>
      <c r="G3" s="2370" t="s">
        <v>2084</v>
      </c>
      <c r="H3" s="2366"/>
      <c r="I3" s="2366"/>
      <c r="J3" s="2366"/>
      <c r="K3" s="2366"/>
      <c r="L3" s="2366"/>
      <c r="M3" s="2366"/>
      <c r="N3" s="2366"/>
      <c r="O3" s="2366"/>
      <c r="P3" s="2366"/>
      <c r="Q3" s="2366"/>
      <c r="R3" s="2366"/>
    </row>
    <row r="4" spans="1:29" ht="54">
      <c r="A4" s="431"/>
      <c r="B4" s="1798" t="s">
        <v>2085</v>
      </c>
      <c r="C4" s="2943" t="s">
        <v>3246</v>
      </c>
      <c r="D4" s="2368"/>
      <c r="E4" s="2371"/>
      <c r="F4" s="42" t="s">
        <v>2086</v>
      </c>
      <c r="G4" s="2372" t="s">
        <v>2087</v>
      </c>
      <c r="H4" s="2366"/>
      <c r="I4" s="2366"/>
      <c r="J4" s="2366"/>
      <c r="K4" s="2366"/>
      <c r="L4" s="2366"/>
      <c r="M4" s="2366"/>
      <c r="N4" s="2366"/>
      <c r="O4" s="2366"/>
      <c r="P4" s="2366"/>
      <c r="Q4" s="2366"/>
      <c r="R4" s="2366"/>
    </row>
    <row r="5" spans="1:29" ht="67.5">
      <c r="A5" s="431"/>
      <c r="B5" s="1798" t="s">
        <v>2088</v>
      </c>
      <c r="C5" s="2943" t="s">
        <v>3164</v>
      </c>
      <c r="D5" s="2368"/>
      <c r="E5" s="2371"/>
      <c r="F5" s="1798" t="s">
        <v>2089</v>
      </c>
      <c r="G5" s="2372" t="s">
        <v>2090</v>
      </c>
      <c r="H5" s="2366"/>
      <c r="I5" s="2366"/>
      <c r="J5" s="2366"/>
      <c r="K5" s="2366"/>
      <c r="L5" s="2366"/>
      <c r="M5" s="2366"/>
      <c r="N5" s="2366"/>
      <c r="O5" s="2366"/>
      <c r="P5" s="2366"/>
      <c r="Q5" s="2366"/>
      <c r="R5" s="2366"/>
    </row>
    <row r="6" spans="1:29" ht="81">
      <c r="A6" s="431"/>
      <c r="B6" s="1798" t="s">
        <v>2091</v>
      </c>
      <c r="C6" s="2942" t="s">
        <v>3244</v>
      </c>
      <c r="D6" s="2368"/>
      <c r="E6" s="2371"/>
      <c r="F6" s="1798" t="s">
        <v>2092</v>
      </c>
      <c r="G6" s="2372" t="s">
        <v>2093</v>
      </c>
      <c r="H6" s="2366"/>
      <c r="I6" s="2366"/>
      <c r="J6" s="2366"/>
      <c r="K6" s="2366"/>
      <c r="L6" s="2366"/>
      <c r="M6" s="2366"/>
      <c r="N6" s="2366"/>
      <c r="O6" s="2366"/>
      <c r="P6" s="2366"/>
      <c r="Q6" s="2366"/>
      <c r="R6" s="2366"/>
    </row>
    <row r="7" spans="1:29" ht="108.75" thickBot="1">
      <c r="A7" s="431"/>
      <c r="B7" s="1798" t="s">
        <v>2089</v>
      </c>
      <c r="C7" s="2942" t="s">
        <v>3242</v>
      </c>
      <c r="D7" s="2373"/>
      <c r="E7" s="2374"/>
      <c r="F7" s="2375" t="s">
        <v>2094</v>
      </c>
      <c r="G7" s="2376" t="s">
        <v>2095</v>
      </c>
      <c r="H7" s="2366"/>
      <c r="I7" s="2366"/>
      <c r="J7" s="2366"/>
      <c r="K7" s="2366"/>
      <c r="L7" s="2366"/>
      <c r="M7" s="2366"/>
      <c r="N7" s="2366"/>
      <c r="O7" s="2366"/>
      <c r="P7" s="2366"/>
      <c r="Q7" s="2366"/>
      <c r="R7" s="2366"/>
    </row>
    <row r="8" spans="1:29" ht="27">
      <c r="A8" s="431"/>
      <c r="B8" s="1798" t="s">
        <v>2092</v>
      </c>
      <c r="C8" s="2942" t="s">
        <v>3161</v>
      </c>
      <c r="D8" s="2373"/>
      <c r="E8" s="2373"/>
      <c r="F8" s="1136"/>
      <c r="G8" s="1136"/>
      <c r="H8" s="2366"/>
      <c r="I8" s="2366"/>
      <c r="J8" s="2366"/>
      <c r="K8" s="2366"/>
      <c r="L8" s="2366"/>
      <c r="M8" s="2366"/>
      <c r="N8" s="2366"/>
      <c r="O8" s="2366"/>
      <c r="P8" s="2366"/>
      <c r="Q8" s="2366"/>
      <c r="R8" s="2366"/>
    </row>
    <row r="9" spans="1:29" ht="67.5">
      <c r="A9" s="431"/>
      <c r="B9" s="1798" t="s">
        <v>2096</v>
      </c>
      <c r="C9" s="2943" t="s">
        <v>3249</v>
      </c>
      <c r="D9" s="2368"/>
      <c r="E9" s="2373"/>
      <c r="F9" s="1136"/>
      <c r="G9" s="1136"/>
      <c r="H9" s="2366"/>
      <c r="I9" s="2366"/>
      <c r="J9" s="2366"/>
      <c r="K9" s="2366"/>
      <c r="L9" s="2366"/>
      <c r="M9" s="2366"/>
      <c r="N9" s="2366"/>
      <c r="O9" s="2366"/>
      <c r="P9" s="2366"/>
      <c r="Q9" s="2366"/>
      <c r="R9" s="2366"/>
    </row>
    <row r="10" spans="1:29" s="117" customFormat="1" ht="15.75" thickBot="1">
      <c r="A10" s="2377"/>
      <c r="B10" s="2378" t="s">
        <v>2097</v>
      </c>
      <c r="C10" s="2945" t="s">
        <v>3073</v>
      </c>
      <c r="D10" s="2368"/>
      <c r="E10" s="2368"/>
      <c r="F10" s="1136"/>
      <c r="G10" s="1136"/>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4"/>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4"/>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2098</v>
      </c>
      <c r="B13" s="2383"/>
      <c r="C13" s="2383"/>
      <c r="D13" s="2390"/>
      <c r="E13" s="2383"/>
      <c r="F13" s="2383"/>
      <c r="G13" s="2383"/>
    </row>
    <row r="14" spans="1:29" ht="15.75" thickBot="1">
      <c r="A14" s="2394"/>
      <c r="B14" s="2395"/>
      <c r="C14" s="2396" t="s">
        <v>2099</v>
      </c>
      <c r="D14" s="2368"/>
      <c r="E14" s="2397"/>
      <c r="F14" s="2397"/>
      <c r="G14" s="2363" t="s">
        <v>2100</v>
      </c>
    </row>
    <row r="15" spans="1:29" ht="71.25">
      <c r="A15" s="68" t="s">
        <v>2101</v>
      </c>
      <c r="B15" s="1270" t="s">
        <v>2082</v>
      </c>
      <c r="C15" s="2398" t="str">
        <f>C3</f>
        <v>估价对象周边居住用地比例较大、居住小区规模较大和社区发展完善程度较好，综合评价居住社区成熟度较好。</v>
      </c>
      <c r="D15" s="2368"/>
      <c r="E15" s="2399" t="s">
        <v>2102</v>
      </c>
      <c r="F15" s="1270" t="s">
        <v>2103</v>
      </c>
      <c r="G15" s="135" t="str">
        <f>G3</f>
        <v>估价对象位于XX开发区，园区建设成熟度XX，产业集聚程度XX</v>
      </c>
    </row>
    <row r="16" spans="1:29" ht="57">
      <c r="A16" s="645"/>
      <c r="B16" s="2400" t="s">
        <v>2085</v>
      </c>
      <c r="C16" s="2401" t="str">
        <f>C4</f>
        <v>估价对象位于丰泽区城东组团华大片区，周边商业氛围成熟度一般，人流量一般，商业繁华度一般。</v>
      </c>
      <c r="D16" s="2368"/>
      <c r="E16" s="2402"/>
      <c r="F16" s="2403" t="s">
        <v>2086</v>
      </c>
      <c r="G16" s="136" t="str">
        <f>G4</f>
        <v>估价对象周边道路状况、公共交通通达情况、停车便捷程度，综合评价交通便捷度较好</v>
      </c>
    </row>
    <row r="17" spans="1:18" ht="71.25">
      <c r="A17" s="645"/>
      <c r="B17" s="2400" t="s">
        <v>2088</v>
      </c>
      <c r="C17" s="2401" t="str">
        <f>C5</f>
        <v>估价对象位于丰泽区城东组团华大片区，周边办公楼项目较多，入驻率较高，有兴业大厦、博亚大厦等，办公集聚程度较好。</v>
      </c>
      <c r="D17" s="2373"/>
      <c r="E17" s="2402"/>
      <c r="F17" s="2403" t="s">
        <v>2104</v>
      </c>
      <c r="G17" s="1572"/>
    </row>
    <row r="18" spans="1:18" ht="85.5">
      <c r="A18" s="645"/>
      <c r="B18" s="2403" t="s">
        <v>2091</v>
      </c>
      <c r="C18" s="136" t="str">
        <f>C6</f>
        <v>估价对象周边路网密集程度一般、公共交通通达情况一般，有7路、11路、35路等公共交通，停车便捷程度一般，综合评价交通便捷度一般。</v>
      </c>
      <c r="D18" s="2373"/>
      <c r="E18" s="2402"/>
      <c r="F18" s="2403" t="s">
        <v>2094</v>
      </c>
      <c r="G18" s="136" t="str">
        <f>G7</f>
        <v>该园区内是否有污染型企业，绿化情况，卫生条件，整体环境状况判断</v>
      </c>
    </row>
    <row r="19" spans="1:18" ht="28.5">
      <c r="A19" s="645"/>
      <c r="B19" s="2403" t="s">
        <v>2105</v>
      </c>
      <c r="C19" s="2956" t="s">
        <v>3163</v>
      </c>
      <c r="D19" s="2368"/>
      <c r="E19" s="2402"/>
      <c r="F19" s="1798" t="s">
        <v>2089</v>
      </c>
      <c r="G19" s="136" t="str">
        <f>G5</f>
        <v>估价对象所在区域公共配套设施齐备情况</v>
      </c>
    </row>
    <row r="20" spans="1:18" ht="71.25">
      <c r="A20" s="645"/>
      <c r="B20" s="2403" t="s">
        <v>2106</v>
      </c>
      <c r="C20" s="2401" t="str">
        <f>C9</f>
        <v>区域自然环境：绿化条件较好，2公里内无公园；人文环境：有华侨大学等人文景观；综合评价环境状况一般。</v>
      </c>
      <c r="D20" s="2373"/>
      <c r="E20" s="2402"/>
      <c r="F20" s="1798" t="s">
        <v>2107</v>
      </c>
      <c r="G20" s="136" t="str">
        <f>G6</f>
        <v>估价对象所在区域基础设施水平</v>
      </c>
    </row>
    <row r="21" spans="1:18" ht="114">
      <c r="A21" s="645"/>
      <c r="B21" s="1798" t="s">
        <v>2089</v>
      </c>
      <c r="C21" s="136" t="str">
        <f>C7</f>
        <v>估价对象所在区域2公里内有：银行（中国银行、泉州银行），购物（香港城购物中心、新天意购物广场），医院（丰泽常橙医院、华侨大学医院），学校（城东中学、鹤山小学）等，公共配套设施齐备情况较好。</v>
      </c>
      <c r="D21" s="2368"/>
      <c r="E21" s="2402"/>
      <c r="F21" s="2403" t="s">
        <v>2108</v>
      </c>
      <c r="G21" s="2404"/>
    </row>
    <row r="22" spans="1:18" ht="13.5" customHeight="1">
      <c r="A22" s="645"/>
      <c r="B22" s="1798" t="s">
        <v>2092</v>
      </c>
      <c r="C22" s="136" t="str">
        <f>C8</f>
        <v>估价对象所在区域基础设施水平达到“五通”。</v>
      </c>
      <c r="D22" s="2368"/>
      <c r="E22" s="2402"/>
      <c r="F22" s="2403" t="s">
        <v>2097</v>
      </c>
      <c r="G22" s="1572"/>
    </row>
    <row r="23" spans="1:18" s="2366" customFormat="1" ht="15.75" thickBot="1">
      <c r="A23" s="645"/>
      <c r="B23" s="2403" t="s">
        <v>2108</v>
      </c>
      <c r="C23" s="2404"/>
      <c r="D23" s="2391"/>
      <c r="E23" s="2405"/>
      <c r="F23" s="2406" t="s">
        <v>2109</v>
      </c>
      <c r="G23" s="2407"/>
      <c r="H23" s="2391"/>
      <c r="I23" s="2392"/>
      <c r="J23" s="2391"/>
      <c r="K23" s="2391"/>
      <c r="L23" s="2392"/>
      <c r="M23" s="2391"/>
      <c r="N23" s="2391"/>
      <c r="O23" s="2392"/>
      <c r="P23" s="2391"/>
      <c r="Q23" s="2391"/>
      <c r="R23" s="2393"/>
    </row>
    <row r="24" spans="1:18" s="2366" customFormat="1" ht="15.75" thickBot="1">
      <c r="A24" s="2408"/>
      <c r="B24" s="2406" t="s">
        <v>2110</v>
      </c>
      <c r="C24" s="137" t="str">
        <f>C10</f>
        <v>城市主干道——城华南路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325932.2</v>
      </c>
      <c r="C1" s="1745"/>
      <c r="D1" s="1745"/>
      <c r="E1" s="1745"/>
      <c r="F1" s="1745"/>
      <c r="G1" s="1743"/>
    </row>
    <row r="2" spans="1:10" ht="16.5">
      <c r="A2" s="1746" t="s">
        <v>1353</v>
      </c>
      <c r="B2" s="1746">
        <f>SUM(C14:C23)</f>
        <v>54030.999999999993</v>
      </c>
      <c r="C2" s="1745"/>
      <c r="D2" s="1745"/>
      <c r="E2" s="1745"/>
      <c r="F2" s="1745"/>
      <c r="G2" s="1743"/>
    </row>
    <row r="3" spans="1:10" ht="16.5">
      <c r="A3" s="1746" t="s">
        <v>1362</v>
      </c>
      <c r="B3" s="1747">
        <f>项目基本情况!B3</f>
        <v>43369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198319</v>
      </c>
      <c r="C5" s="1746">
        <f ca="1">ROUND(B5*10000/$B$1,0)</f>
        <v>6085</v>
      </c>
      <c r="D5" s="1746">
        <f ca="1">ROUND(B5*10000/$B$2,0)</f>
        <v>36705</v>
      </c>
      <c r="E5" s="1745"/>
      <c r="F5" s="1743"/>
      <c r="G5" s="1743"/>
    </row>
    <row r="6" spans="1:10" ht="16.5">
      <c r="A6" s="1746" t="s">
        <v>1356</v>
      </c>
      <c r="B6" s="1746">
        <f ca="1">SUM(G14:G23)</f>
        <v>198319</v>
      </c>
      <c r="C6" s="1746">
        <f ca="1">ROUND(B6*10000/$B$1,0)</f>
        <v>6085</v>
      </c>
      <c r="D6" s="1746">
        <f ca="1">ROUND(B6*10000/$B$2,0)</f>
        <v>36705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94334.89</v>
      </c>
      <c r="C14" s="1744">
        <f>结果表!C118</f>
        <v>16752.099999999999</v>
      </c>
      <c r="D14" s="1744">
        <f ca="1">结果表!H118</f>
        <v>63069</v>
      </c>
      <c r="E14" s="1744">
        <f ca="1">ROUND(D14*10000/B14,0)</f>
        <v>6686</v>
      </c>
      <c r="F14" s="1744">
        <f ca="1">ROUND(D14*10000/C14,0)</f>
        <v>37648</v>
      </c>
      <c r="G14" s="1744">
        <f ca="1">结果表!D122</f>
        <v>63069</v>
      </c>
      <c r="H14" s="1744" t="str">
        <f>结果表!D124</f>
        <v>——</v>
      </c>
      <c r="I14" s="1744" t="str">
        <f>结果表!D126</f>
        <v>——</v>
      </c>
      <c r="J14" s="1743"/>
    </row>
    <row r="15" spans="1:10" ht="16.5">
      <c r="A15" s="1742" t="s">
        <v>1349</v>
      </c>
      <c r="B15" s="1749">
        <f>[1]系统读取表!$B$14</f>
        <v>146597.31000000003</v>
      </c>
      <c r="C15" s="1749">
        <f>[1]系统读取表!$C$14</f>
        <v>22911.8</v>
      </c>
      <c r="D15" s="1749">
        <f ca="1">[1]系统读取表!$D$14</f>
        <v>109325</v>
      </c>
      <c r="E15" s="1744">
        <f t="shared" ref="E15:E23" ca="1" si="0">ROUND(D15*10000/B15,0)</f>
        <v>7458</v>
      </c>
      <c r="F15" s="1744">
        <f t="shared" ref="F15:F23" ca="1" si="1">ROUND(D15*10000/C15,0)</f>
        <v>47716</v>
      </c>
      <c r="G15" s="1750">
        <f ca="1">[1]系统读取表!$G$14</f>
        <v>109325</v>
      </c>
      <c r="H15" s="1750"/>
      <c r="I15" s="1749"/>
      <c r="J15" s="1743"/>
    </row>
    <row r="16" spans="1:10" ht="16.5">
      <c r="A16" s="1742" t="s">
        <v>1348</v>
      </c>
      <c r="B16" s="1749">
        <f>[2]系统读取表!$B$14</f>
        <v>85000</v>
      </c>
      <c r="C16" s="1749">
        <f>[2]系统读取表!$C$14</f>
        <v>14367.1</v>
      </c>
      <c r="D16" s="1749">
        <f ca="1">[2]系统读取表!$D$14</f>
        <v>25925</v>
      </c>
      <c r="E16" s="1744">
        <f t="shared" ca="1" si="0"/>
        <v>3050</v>
      </c>
      <c r="F16" s="1744">
        <f t="shared" ca="1" si="1"/>
        <v>18045</v>
      </c>
      <c r="G16" s="1750">
        <f ca="1">[2]系统读取表!$G$14</f>
        <v>25925</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B103" zoomScaleSheetLayoutView="100" zoomScalePageLayoutView="80" workbookViewId="0">
      <selection activeCell="J122" sqref="J1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4" t="s">
        <v>2111</v>
      </c>
      <c r="B1" s="2414"/>
      <c r="C1" s="2415"/>
      <c r="D1" s="2414"/>
      <c r="E1" s="2414"/>
      <c r="F1" s="2416" t="s">
        <v>2112</v>
      </c>
      <c r="G1" s="2070" t="s">
        <v>2113</v>
      </c>
      <c r="H1" s="2417" t="str">
        <f>IF(G1="现房","——","估价对象范围")</f>
        <v>估价对象范围</v>
      </c>
      <c r="I1" s="2418" t="s">
        <v>3264</v>
      </c>
    </row>
    <row r="2" spans="1:12" ht="21.75" customHeight="1" thickBot="1">
      <c r="A2" s="3098" t="str">
        <f>项目基本情况!S2</f>
        <v>福建省泉州市丰泽区城东组团华大片区，东至铁路，西至324国道，南邻通源街，北至城东街2012-16号地块一期出让国有建设用地使用权及在建建筑物房地产</v>
      </c>
      <c r="B2" s="3099"/>
      <c r="C2" s="3099"/>
      <c r="D2" s="3099"/>
      <c r="E2" s="3099"/>
      <c r="F2" s="3099"/>
      <c r="G2" s="3099"/>
      <c r="H2" s="3099"/>
      <c r="I2" s="3100"/>
    </row>
    <row r="3" spans="1:12" ht="12.75">
      <c r="A3" s="3102" t="s">
        <v>2114</v>
      </c>
      <c r="B3" s="3103"/>
      <c r="C3" s="3103"/>
      <c r="D3" s="3103"/>
      <c r="E3" s="3103"/>
      <c r="F3" s="3103"/>
      <c r="G3" s="3103"/>
      <c r="H3" s="3103"/>
      <c r="I3" s="3103"/>
    </row>
    <row r="4" spans="1:12" ht="14.25">
      <c r="A4" s="2421" t="s">
        <v>2115</v>
      </c>
      <c r="B4" s="2422" t="s">
        <v>2116</v>
      </c>
      <c r="C4" s="2423" t="s">
        <v>3181</v>
      </c>
      <c r="D4" s="2423" t="s">
        <v>3182</v>
      </c>
      <c r="E4" s="3095" t="s">
        <v>2117</v>
      </c>
      <c r="F4" s="3096"/>
      <c r="G4" s="3096"/>
      <c r="H4" s="3096"/>
      <c r="I4" s="310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78" t="s">
        <v>2118</v>
      </c>
      <c r="B5" s="3016">
        <v>25</v>
      </c>
      <c r="C5" s="3081"/>
      <c r="D5" s="3101"/>
      <c r="E5" s="140" t="s">
        <v>2119</v>
      </c>
      <c r="F5" s="2425"/>
      <c r="G5" s="2425"/>
      <c r="H5" s="2425"/>
      <c r="I5" s="1834"/>
    </row>
    <row r="6" spans="1:12" ht="12.75">
      <c r="A6" s="3078"/>
      <c r="B6" s="3016"/>
      <c r="C6" s="3082"/>
      <c r="D6" s="3101"/>
      <c r="E6" s="140" t="s">
        <v>2120</v>
      </c>
      <c r="F6" s="2425"/>
      <c r="G6" s="2425"/>
      <c r="H6" s="2425"/>
      <c r="I6" s="1834"/>
    </row>
    <row r="7" spans="1:12" ht="12.75">
      <c r="A7" s="3078"/>
      <c r="B7" s="3016"/>
      <c r="C7" s="3083"/>
      <c r="D7" s="3101"/>
      <c r="E7" s="140" t="s">
        <v>2121</v>
      </c>
      <c r="F7" s="2425"/>
      <c r="G7" s="2425"/>
      <c r="H7" s="2425"/>
      <c r="I7" s="1834"/>
    </row>
    <row r="8" spans="1:12" ht="12.75">
      <c r="A8" s="3078" t="s">
        <v>2122</v>
      </c>
      <c r="B8" s="3016">
        <v>15</v>
      </c>
      <c r="C8" s="3081"/>
      <c r="D8" s="3101"/>
      <c r="E8" s="140" t="s">
        <v>2123</v>
      </c>
      <c r="F8" s="2425"/>
      <c r="G8" s="2425"/>
      <c r="H8" s="2425"/>
      <c r="I8" s="1834"/>
    </row>
    <row r="9" spans="1:12" ht="12.75">
      <c r="A9" s="3078"/>
      <c r="B9" s="3016"/>
      <c r="C9" s="3083"/>
      <c r="D9" s="3101"/>
      <c r="E9" s="140" t="s">
        <v>2124</v>
      </c>
      <c r="F9" s="2425"/>
      <c r="G9" s="2425"/>
      <c r="H9" s="2425"/>
      <c r="I9" s="1834"/>
    </row>
    <row r="10" spans="1:12" ht="12.75">
      <c r="A10" s="3078" t="s">
        <v>2125</v>
      </c>
      <c r="B10" s="3016">
        <v>15</v>
      </c>
      <c r="C10" s="3081"/>
      <c r="D10" s="3101"/>
      <c r="E10" s="140" t="s">
        <v>2126</v>
      </c>
      <c r="F10" s="2425"/>
      <c r="G10" s="2425"/>
      <c r="H10" s="2425"/>
      <c r="I10" s="1834"/>
    </row>
    <row r="11" spans="1:12" ht="12.75">
      <c r="A11" s="3078"/>
      <c r="B11" s="3016"/>
      <c r="C11" s="3083"/>
      <c r="D11" s="3101"/>
      <c r="E11" s="140" t="s">
        <v>2127</v>
      </c>
      <c r="F11" s="2425"/>
      <c r="G11" s="2425"/>
      <c r="H11" s="2425"/>
      <c r="I11" s="1834"/>
    </row>
    <row r="12" spans="1:12" ht="12.75">
      <c r="A12" s="3078" t="s">
        <v>2128</v>
      </c>
      <c r="B12" s="3016">
        <v>15</v>
      </c>
      <c r="C12" s="3081"/>
      <c r="D12" s="3101"/>
      <c r="E12" s="140" t="s">
        <v>2129</v>
      </c>
      <c r="F12" s="2425"/>
      <c r="G12" s="2425"/>
      <c r="H12" s="2425"/>
      <c r="I12" s="1834"/>
    </row>
    <row r="13" spans="1:12" ht="12.75">
      <c r="A13" s="3078"/>
      <c r="B13" s="3016"/>
      <c r="C13" s="3083"/>
      <c r="D13" s="3101"/>
      <c r="E13" s="140" t="s">
        <v>2130</v>
      </c>
      <c r="F13" s="2425"/>
      <c r="G13" s="2425"/>
      <c r="H13" s="2425"/>
      <c r="I13" s="1834"/>
    </row>
    <row r="14" spans="1:12" ht="12.75">
      <c r="A14" s="3078" t="s">
        <v>2131</v>
      </c>
      <c r="B14" s="3016">
        <v>30</v>
      </c>
      <c r="C14" s="3081">
        <v>4</v>
      </c>
      <c r="D14" s="3101">
        <v>6</v>
      </c>
      <c r="E14" s="140" t="s">
        <v>2132</v>
      </c>
      <c r="F14" s="2425"/>
      <c r="G14" s="2425"/>
      <c r="H14" s="2425"/>
      <c r="I14" s="1834"/>
    </row>
    <row r="15" spans="1:12" ht="12.75">
      <c r="A15" s="3078"/>
      <c r="B15" s="3016"/>
      <c r="C15" s="3082"/>
      <c r="D15" s="3101"/>
      <c r="E15" s="140" t="s">
        <v>2133</v>
      </c>
      <c r="F15" s="2425"/>
      <c r="G15" s="2425"/>
      <c r="H15" s="2425"/>
      <c r="I15" s="1834"/>
    </row>
    <row r="16" spans="1:12" ht="12.75">
      <c r="A16" s="3078"/>
      <c r="B16" s="3016"/>
      <c r="C16" s="3083"/>
      <c r="D16" s="3101"/>
      <c r="E16" s="140" t="s">
        <v>2134</v>
      </c>
      <c r="F16" s="2425"/>
      <c r="G16" s="2425"/>
      <c r="H16" s="2425"/>
      <c r="I16" s="1834"/>
    </row>
    <row r="17" spans="1:35" ht="15">
      <c r="A17" s="2426" t="s">
        <v>2135</v>
      </c>
      <c r="B17" s="64"/>
      <c r="C17" s="141">
        <f>SUM(C5:C16)</f>
        <v>4</v>
      </c>
      <c r="D17" s="141">
        <f>SUM(D5:D16)</f>
        <v>6</v>
      </c>
      <c r="E17" s="138"/>
      <c r="F17" s="138"/>
      <c r="G17" s="138"/>
      <c r="H17" s="138"/>
      <c r="I17" s="138"/>
      <c r="K17" s="2424"/>
      <c r="L17" s="2427" t="s">
        <v>2136</v>
      </c>
      <c r="M17" s="2427" t="s">
        <v>2137</v>
      </c>
    </row>
    <row r="18" spans="1:35" ht="15.75" thickBot="1">
      <c r="A18" s="2428" t="s">
        <v>2138</v>
      </c>
      <c r="B18" s="2429"/>
      <c r="C18" s="142">
        <f>ROUND(C17/SUM(C17:D17),2)</f>
        <v>0.4</v>
      </c>
      <c r="D18" s="142">
        <f>1-C18</f>
        <v>0.6</v>
      </c>
      <c r="E18" s="138"/>
      <c r="F18" s="138"/>
      <c r="G18" s="138"/>
      <c r="H18" s="138"/>
      <c r="I18" s="138"/>
      <c r="K18" s="2424" t="s">
        <v>2139</v>
      </c>
      <c r="L18" s="2424">
        <f>IF(C1="",'数据-汇总表'!E3,SUMIF(项目类型,C1,'数据-汇总表'!E17:E26)+SUMIF(项目类型,C1,'数据-汇总表'!I17:I26))</f>
        <v>94334.89</v>
      </c>
      <c r="M18" s="2424">
        <f>IF(C1="",'数据-汇总表'!E3,SUMIF(项目类型,C1,'数据-汇总表'!E17:E26))</f>
        <v>94334.89</v>
      </c>
    </row>
    <row r="19" spans="1:35" ht="15">
      <c r="A19" s="2430" t="s">
        <v>2140</v>
      </c>
      <c r="B19" s="2431" t="s">
        <v>2141</v>
      </c>
      <c r="C19" s="143">
        <f ca="1">SUMIF(INDIRECT("'"&amp;C4&amp;"'"&amp;"!A:A"),结果表!B19,INDIRECT("'"&amp;C4&amp;"'"&amp;"!B:B"))</f>
        <v>50509</v>
      </c>
      <c r="D19" s="144">
        <f ca="1">SUMIF(INDIRECT("'"&amp;D4&amp;"'"&amp;"!A:A"),结果表!B19,INDIRECT("'"&amp;D4&amp;"'"&amp;"!B:B"))</f>
        <v>71443</v>
      </c>
      <c r="E19" s="2430" t="s">
        <v>2142</v>
      </c>
      <c r="F19" s="2431" t="s">
        <v>2141</v>
      </c>
      <c r="G19" s="145">
        <f ca="1">ROUND(C19*$C$18+D19*$D$18,0)</f>
        <v>63069</v>
      </c>
      <c r="H19" s="2432" t="s">
        <v>2143</v>
      </c>
      <c r="I19" s="138"/>
      <c r="J19" s="795">
        <f ca="1">G19+[1]结果表!$G$19</f>
        <v>172394</v>
      </c>
      <c r="K19" s="2424" t="s">
        <v>2144</v>
      </c>
      <c r="L19" s="2424">
        <f>IF(C1="",'数据-汇总表'!D3,SUMIF(项目类型,C1,'数据-汇总表'!D17:D26)+SUMIF(项目类型,C1,'数据-汇总表'!H17:H27))</f>
        <v>16752.099999999999</v>
      </c>
      <c r="M19" s="2424">
        <f>IF(C1="",'数据-汇总表'!D3,SUMIF(项目类型,C1,'数据-汇总表'!D17:D26))</f>
        <v>16752.099999999999</v>
      </c>
    </row>
    <row r="20" spans="1:35" ht="15">
      <c r="A20" s="2433"/>
      <c r="B20" s="1250" t="s">
        <v>2145</v>
      </c>
      <c r="C20" s="146">
        <f ca="1">SUMIF(INDIRECT("'"&amp;C4&amp;"'"&amp;"!A:A"),结果表!B20,INDIRECT("'"&amp;C4&amp;"'"&amp;"!B:B"))</f>
        <v>5354</v>
      </c>
      <c r="D20" s="147">
        <f ca="1">SUMIF(INDIRECT("'"&amp;D4&amp;"'"&amp;"!A:A"),结果表!B20,INDIRECT("'"&amp;D4&amp;"'"&amp;"!B:B"))</f>
        <v>7573</v>
      </c>
      <c r="E20" s="2433"/>
      <c r="F20" s="1250" t="s">
        <v>2145</v>
      </c>
      <c r="G20" s="148">
        <f ca="1">ROUND(C20*$C$18+D20*$D$18,0)</f>
        <v>6685</v>
      </c>
      <c r="H20" s="983" t="s">
        <v>2146</v>
      </c>
      <c r="I20" s="138"/>
      <c r="J20" s="795">
        <f ca="1">[2]结果表!$G$19</f>
        <v>25925</v>
      </c>
    </row>
    <row r="21" spans="1:35" ht="15" customHeight="1" thickBot="1">
      <c r="A21" s="1003"/>
      <c r="B21" s="2434" t="s">
        <v>2147</v>
      </c>
      <c r="C21" s="789">
        <f ca="1">ROUND(C19*10000/L19,0)</f>
        <v>30151</v>
      </c>
      <c r="D21" s="790">
        <f ca="1">ROUND(D19*10000/L19,0)</f>
        <v>42647</v>
      </c>
      <c r="E21" s="1003"/>
      <c r="F21" s="2434" t="s">
        <v>2147</v>
      </c>
      <c r="G21" s="149">
        <f ca="1">ROUND(G19*10000/L19,0)</f>
        <v>37648</v>
      </c>
      <c r="H21" s="2435" t="s">
        <v>2146</v>
      </c>
      <c r="I21" s="138"/>
      <c r="J21" s="795">
        <f ca="1">J19+J20</f>
        <v>198319</v>
      </c>
    </row>
    <row r="22" spans="1:35" ht="15" thickBot="1">
      <c r="A22" s="2279" t="s">
        <v>2148</v>
      </c>
      <c r="B22" s="2436"/>
      <c r="C22" s="2437"/>
      <c r="D22" s="791">
        <f ca="1">IF(C19&lt;D19,D19/C19-1,C19/D19-1)</f>
        <v>0.41446078916628726</v>
      </c>
      <c r="E22" s="138"/>
      <c r="F22" s="138"/>
      <c r="G22" s="138"/>
      <c r="H22" s="138"/>
      <c r="I22" s="138"/>
    </row>
    <row r="23" spans="1:35" ht="13.5" thickBot="1">
      <c r="A23" s="2414"/>
      <c r="B23" s="2414"/>
      <c r="C23" s="2414"/>
      <c r="D23" s="2414"/>
      <c r="E23" s="138"/>
      <c r="F23" s="138"/>
      <c r="G23" s="138"/>
      <c r="H23" s="138"/>
      <c r="I23" s="138"/>
    </row>
    <row r="24" spans="1:35" ht="14.25">
      <c r="A24" s="3072" t="s">
        <v>2149</v>
      </c>
      <c r="B24" s="2431" t="s">
        <v>2141</v>
      </c>
      <c r="C24" s="145">
        <f>IF(B30=0,0,D30)</f>
        <v>0</v>
      </c>
      <c r="D24" s="2438"/>
      <c r="E24" s="138"/>
      <c r="F24" s="138"/>
      <c r="G24" s="138"/>
      <c r="H24" s="138"/>
      <c r="I24" s="138"/>
    </row>
    <row r="25" spans="1:35" ht="14.25">
      <c r="A25" s="3073"/>
      <c r="B25" s="1250" t="s">
        <v>2145</v>
      </c>
      <c r="C25" s="150">
        <f>IF(B30=0,0,C30)</f>
        <v>0</v>
      </c>
      <c r="D25" s="2439"/>
      <c r="E25" s="138"/>
      <c r="F25" s="138"/>
      <c r="G25" s="138"/>
      <c r="H25" s="138"/>
      <c r="I25" s="138"/>
    </row>
    <row r="26" spans="1:35" ht="13.5" customHeight="1">
      <c r="A26" s="2440" t="s">
        <v>2150</v>
      </c>
      <c r="B26" s="151" t="s">
        <v>2151</v>
      </c>
      <c r="C26" s="151" t="s">
        <v>2152</v>
      </c>
      <c r="D26" s="152" t="s">
        <v>2153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2154</v>
      </c>
      <c r="B30" s="151"/>
      <c r="C30" s="151"/>
      <c r="D30" s="151"/>
      <c r="E30" s="2921"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2155</v>
      </c>
      <c r="B32" s="2444"/>
      <c r="C32" s="153">
        <f ca="1">IF(D32="总价",G19-C24,G20-C25)</f>
        <v>63069</v>
      </c>
      <c r="D32" s="2445" t="s">
        <v>2156</v>
      </c>
      <c r="E32" s="138"/>
      <c r="F32" s="138"/>
      <c r="G32" s="138"/>
      <c r="H32" s="138"/>
      <c r="I32" s="138"/>
    </row>
    <row r="33" spans="1:15" ht="15">
      <c r="A33" s="960" t="s">
        <v>2157</v>
      </c>
      <c r="B33" s="2446"/>
      <c r="C33" s="2447" t="s">
        <v>3270</v>
      </c>
      <c r="D33" s="2448" t="s">
        <v>3181</v>
      </c>
      <c r="E33" s="2449" t="s">
        <v>2158</v>
      </c>
      <c r="F33" s="2450" t="str">
        <f>IF(D32="楼面单价","取值（单价）","取值（总价）")</f>
        <v>取值（总价）</v>
      </c>
      <c r="G33" s="138"/>
      <c r="H33" s="138"/>
      <c r="I33" s="138"/>
    </row>
    <row r="34" spans="1:15" ht="15">
      <c r="A34" s="2451"/>
      <c r="B34" s="2452" t="s">
        <v>2159</v>
      </c>
      <c r="C34" s="157">
        <f ca="1">IF(C33="自定义",F34,C32-C35)</f>
        <v>36202</v>
      </c>
      <c r="D34" s="1058">
        <f ca="1">IF(C33="自定义",ROUND(C34/C32,3),IF(C33="收益比率",SUMIF(INDIRECT("'"&amp;D33&amp;"'"&amp;"!b:b"),"土地收益比率",INDIRECT("'"&amp;D33&amp;"'"&amp;"!c:c")),SUMIF(INDIRECT("'"&amp;D33&amp;"'"&amp;"!b:b"),"土地成本比率",INDIRECT("'"&amp;D33&amp;"'"&amp;"!c:c"))))</f>
        <v>0.57400000000000007</v>
      </c>
      <c r="E34" s="2453" t="s">
        <v>2160</v>
      </c>
      <c r="F34" s="1739"/>
      <c r="G34" s="138"/>
      <c r="H34" s="138"/>
      <c r="I34" s="138"/>
    </row>
    <row r="35" spans="1:15" ht="15.75" thickBot="1">
      <c r="A35" s="2454"/>
      <c r="B35" s="2455" t="s">
        <v>2161</v>
      </c>
      <c r="C35" s="1444">
        <f ca="1">IF(C33="自定义",F35,ROUND(C32*D35,0))</f>
        <v>26867</v>
      </c>
      <c r="D35" s="1445">
        <f ca="1">IF(C33="自定义",ROUND(C35/C32,3),IF(C33="收益比率",SUMIF(INDIRECT("'"&amp;D33&amp;"'"&amp;"!b:b"),"建筑物收益比率",INDIRECT("'"&amp;D33&amp;"'"&amp;"!c:c")),SUMIF(INDIRECT("'"&amp;D33&amp;"'"&amp;"!b:b"),"建筑物成本比率",INDIRECT("'"&amp;D33&amp;"'"&amp;"!c:c"))))</f>
        <v>0.42599999999999999</v>
      </c>
      <c r="E35" s="2456" t="s">
        <v>2162</v>
      </c>
      <c r="F35" s="163"/>
      <c r="G35" s="138"/>
      <c r="H35" s="138"/>
      <c r="I35" s="138"/>
    </row>
    <row r="36" spans="1:15" ht="15.75" thickBot="1">
      <c r="A36" s="3090" t="s">
        <v>2163</v>
      </c>
      <c r="B36" s="2457" t="s">
        <v>2164</v>
      </c>
      <c r="C36" s="154"/>
      <c r="D36" s="2458"/>
      <c r="E36" s="2459"/>
      <c r="F36" s="2460"/>
      <c r="G36" s="138"/>
      <c r="H36" s="138"/>
      <c r="I36" s="138"/>
    </row>
    <row r="37" spans="1:15" ht="15.75" thickBot="1">
      <c r="A37" s="3091"/>
      <c r="B37" s="2265" t="s">
        <v>2165</v>
      </c>
      <c r="C37" s="156"/>
      <c r="D37" s="1395"/>
      <c r="E37" s="1395"/>
      <c r="F37" s="2460"/>
      <c r="G37" s="138"/>
      <c r="H37" s="138"/>
      <c r="I37" s="138"/>
    </row>
    <row r="38" spans="1:15" ht="15.75" thickBot="1">
      <c r="A38" s="3092"/>
      <c r="B38" s="2461" t="s">
        <v>2166</v>
      </c>
      <c r="C38" s="727"/>
      <c r="D38" s="2462" t="s">
        <v>2167</v>
      </c>
      <c r="E38" s="1395"/>
      <c r="F38" s="2460"/>
      <c r="G38" s="138"/>
      <c r="H38" s="138"/>
      <c r="I38" s="138"/>
    </row>
    <row r="39" spans="1:15" ht="15">
      <c r="A39" s="2433" t="s">
        <v>2168</v>
      </c>
      <c r="B39" s="2463" t="s">
        <v>2169</v>
      </c>
      <c r="C39" s="2464" t="s">
        <v>2170</v>
      </c>
      <c r="D39" s="2464" t="s">
        <v>2171</v>
      </c>
      <c r="E39" s="2465" t="s">
        <v>2172</v>
      </c>
      <c r="F39" s="2460"/>
      <c r="G39" s="138"/>
      <c r="H39" s="138"/>
      <c r="I39" s="138"/>
    </row>
    <row r="40" spans="1:15" ht="14.25">
      <c r="A40" s="2466" t="s">
        <v>2173</v>
      </c>
      <c r="B40" s="158"/>
      <c r="C40" s="159"/>
      <c r="D40" s="159"/>
      <c r="E40" s="160"/>
      <c r="F40" s="2460"/>
      <c r="G40" s="138"/>
      <c r="H40" s="138"/>
      <c r="I40" s="138"/>
    </row>
    <row r="41" spans="1:15" ht="14.25">
      <c r="A41" s="2466" t="s">
        <v>2174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4"/>
      <c r="B43" s="2164"/>
      <c r="C43" s="2164"/>
      <c r="D43" s="2164"/>
      <c r="E43" s="2164"/>
      <c r="F43" s="2468"/>
      <c r="G43" s="2468"/>
      <c r="H43" s="2468"/>
      <c r="I43" s="2469"/>
    </row>
    <row r="44" spans="1:15" ht="18.75">
      <c r="A44" s="2470" t="s">
        <v>2175</v>
      </c>
      <c r="B44" s="2471"/>
      <c r="C44" s="2471"/>
      <c r="D44" s="2472"/>
      <c r="E44" s="2472"/>
      <c r="F44" s="2473"/>
      <c r="G44" s="2473"/>
      <c r="H44" s="2473"/>
      <c r="I44" s="2473"/>
      <c r="J44" s="2474" t="s">
        <v>2176</v>
      </c>
      <c r="K44" s="2475"/>
      <c r="L44" s="2475"/>
      <c r="M44" s="2475"/>
      <c r="N44" s="2475"/>
      <c r="O44" s="2475"/>
    </row>
    <row r="45" spans="1:15" ht="14.25" customHeight="1" thickBot="1">
      <c r="A45" s="3069" t="s">
        <v>2177</v>
      </c>
      <c r="B45" s="3070"/>
      <c r="C45" s="3071"/>
      <c r="D45" s="164">
        <f ca="1">ROUND(H101*F45,0)</f>
        <v>63069</v>
      </c>
      <c r="E45" s="165" t="s">
        <v>2178</v>
      </c>
      <c r="F45" s="166">
        <v>1</v>
      </c>
      <c r="G45" s="167" t="s">
        <v>2179</v>
      </c>
      <c r="H45" s="138"/>
      <c r="I45" s="138"/>
      <c r="J45" s="3129" t="s">
        <v>2180</v>
      </c>
      <c r="K45" s="3129"/>
      <c r="L45" s="3129"/>
      <c r="M45" s="3129"/>
      <c r="N45" s="3129"/>
      <c r="O45" s="3129"/>
    </row>
    <row r="46" spans="1:15" ht="14.25" customHeight="1">
      <c r="A46" s="3066" t="s">
        <v>2181</v>
      </c>
      <c r="B46" s="3067"/>
      <c r="C46" s="3067"/>
      <c r="D46" s="3067"/>
      <c r="E46" s="3067"/>
      <c r="F46" s="3067"/>
      <c r="G46" s="3068"/>
      <c r="H46" s="2476"/>
      <c r="I46" s="168"/>
      <c r="J46" s="1812">
        <v>1</v>
      </c>
      <c r="K46" s="3129" t="s">
        <v>2182</v>
      </c>
      <c r="L46" s="3129"/>
      <c r="M46" s="3149"/>
      <c r="N46" s="3149"/>
      <c r="O46" s="3149"/>
    </row>
    <row r="47" spans="1:15" ht="12" customHeight="1">
      <c r="A47" s="169" t="s">
        <v>2183</v>
      </c>
      <c r="B47" s="170"/>
      <c r="C47" s="171"/>
      <c r="D47" s="172" t="s">
        <v>2184</v>
      </c>
      <c r="E47" s="24" t="s">
        <v>2185</v>
      </c>
      <c r="F47" s="173" t="s">
        <v>2186</v>
      </c>
      <c r="G47" s="174" t="s">
        <v>2187</v>
      </c>
      <c r="H47" s="2476"/>
      <c r="I47" s="168"/>
      <c r="J47" s="1812">
        <v>2</v>
      </c>
      <c r="K47" s="3129" t="s">
        <v>2188</v>
      </c>
      <c r="L47" s="3129"/>
      <c r="M47" s="3150">
        <f>'数据-取费表'!B2</f>
        <v>43369</v>
      </c>
      <c r="N47" s="3150"/>
      <c r="O47" s="3150"/>
    </row>
    <row r="48" spans="1:15" ht="25.5">
      <c r="A48" s="3097" t="s">
        <v>2189</v>
      </c>
      <c r="B48" s="3080"/>
      <c r="C48" s="3080"/>
      <c r="D48" s="140">
        <f>IF(H48="情况1",0,IF(H48="情况2",D52,IF(H48="情况3",D53,IF(H48="情况4",D54))))</f>
        <v>0</v>
      </c>
      <c r="E48" s="1801" t="str">
        <f>IF(H48="情况4","(销售额-原购置价)×税（费）率","销售额×税（费）率")</f>
        <v>销售额×税（费）率</v>
      </c>
      <c r="F48" s="175" t="str">
        <f>IF(H48="情况1","免征",'数据-取费表'!B41)</f>
        <v>免征</v>
      </c>
      <c r="G48" s="2477" t="s">
        <v>2190</v>
      </c>
      <c r="H48" s="2478" t="s">
        <v>2191</v>
      </c>
      <c r="I48" s="2476"/>
      <c r="J48" s="1812">
        <v>3</v>
      </c>
      <c r="K48" s="3129" t="s">
        <v>2192</v>
      </c>
      <c r="L48" s="3129"/>
      <c r="M48" s="3151">
        <f ca="1">H101</f>
        <v>63069</v>
      </c>
      <c r="N48" s="3151"/>
      <c r="O48" s="3151"/>
    </row>
    <row r="49" spans="1:35" ht="25.5" customHeight="1">
      <c r="A49" s="176" t="s">
        <v>2193</v>
      </c>
      <c r="B49" s="3065" t="s">
        <v>2194</v>
      </c>
      <c r="C49" s="3065"/>
      <c r="D49" s="177">
        <v>0</v>
      </c>
      <c r="E49" s="23" t="s">
        <v>2195</v>
      </c>
      <c r="F49" s="28" t="s">
        <v>34</v>
      </c>
      <c r="G49" s="3135"/>
      <c r="H49" s="138"/>
      <c r="I49" s="2479"/>
      <c r="J49" s="1812">
        <v>4</v>
      </c>
      <c r="K49" s="3129" t="str">
        <f>IF(项目基本情况!E8="房地产抵押价值","房地产抵押价值","抵押担保权已注销时的房地产抵押价值")</f>
        <v>房地产抵押价值</v>
      </c>
      <c r="L49" s="3129"/>
      <c r="M49" s="3151">
        <f ca="1">IF(项目基本情况!E8="房地产抵押价值",H107,H109)</f>
        <v>63069</v>
      </c>
      <c r="N49" s="3151"/>
      <c r="O49" s="3151"/>
    </row>
    <row r="50" spans="1:35" ht="25.5" customHeight="1">
      <c r="A50" s="178"/>
      <c r="B50" s="3065" t="s">
        <v>2196</v>
      </c>
      <c r="C50" s="3065"/>
      <c r="D50" s="179"/>
      <c r="E50" s="31"/>
      <c r="F50" s="180"/>
      <c r="G50" s="3136"/>
      <c r="H50" s="138"/>
      <c r="I50" s="2479"/>
      <c r="J50" s="3129" t="s">
        <v>2197</v>
      </c>
      <c r="K50" s="3129"/>
      <c r="L50" s="3129"/>
      <c r="M50" s="3129"/>
      <c r="N50" s="3129"/>
      <c r="O50" s="3129"/>
    </row>
    <row r="51" spans="1:35" ht="12" customHeight="1">
      <c r="A51" s="181"/>
      <c r="B51" s="3065" t="s">
        <v>2198</v>
      </c>
      <c r="C51" s="3065"/>
      <c r="D51" s="182"/>
      <c r="E51" s="30"/>
      <c r="F51" s="180"/>
      <c r="G51" s="3137"/>
      <c r="H51" s="138"/>
      <c r="I51" s="2479"/>
      <c r="J51" s="2480" t="s">
        <v>2199</v>
      </c>
      <c r="K51" s="3129" t="s">
        <v>2200</v>
      </c>
      <c r="L51" s="3129"/>
      <c r="M51" s="2480" t="s">
        <v>2201</v>
      </c>
      <c r="N51" s="2480" t="s">
        <v>2202</v>
      </c>
      <c r="O51" s="2480" t="s">
        <v>2203</v>
      </c>
    </row>
    <row r="52" spans="1:35" ht="24" customHeight="1">
      <c r="A52" s="183" t="s">
        <v>2204</v>
      </c>
      <c r="B52" s="3065" t="s">
        <v>2205</v>
      </c>
      <c r="C52" s="3065"/>
      <c r="D52" s="182">
        <f ca="1">ROUND(D45*'数据-取费表'!B41/(1+'数据-取费表'!C42),0)</f>
        <v>3364</v>
      </c>
      <c r="E52" s="11" t="s">
        <v>2206</v>
      </c>
      <c r="F52" s="184">
        <f>'数据-取费表'!B41</f>
        <v>5.6000000000000001E-2</v>
      </c>
      <c r="G52" s="2481"/>
      <c r="H52" s="138"/>
      <c r="I52" s="2479"/>
      <c r="J52" s="1812">
        <v>1</v>
      </c>
      <c r="K52" s="3130" t="s">
        <v>2207</v>
      </c>
      <c r="L52" s="3130"/>
      <c r="M52" s="1754">
        <f>D48</f>
        <v>0</v>
      </c>
      <c r="N52" s="1812" t="str">
        <f>E48</f>
        <v>销售额×税（费）率</v>
      </c>
      <c r="O52" s="1755" t="str">
        <f>F48</f>
        <v>免征</v>
      </c>
    </row>
    <row r="53" spans="1:35" ht="12" customHeight="1">
      <c r="A53" s="183" t="s">
        <v>2208</v>
      </c>
      <c r="B53" s="3088" t="s">
        <v>2209</v>
      </c>
      <c r="C53" s="3089"/>
      <c r="D53" s="182">
        <f ca="1">ROUND(D45*'数据-取费表'!B41/(1+'数据-取费表'!C42),0)</f>
        <v>3364</v>
      </c>
      <c r="E53" s="11" t="s">
        <v>2206</v>
      </c>
      <c r="F53" s="184">
        <f>'数据-取费表'!B41</f>
        <v>5.6000000000000001E-2</v>
      </c>
      <c r="G53" s="2481"/>
      <c r="H53" s="138"/>
      <c r="I53" s="2479"/>
      <c r="J53" s="1812">
        <v>2</v>
      </c>
      <c r="K53" s="3130" t="s">
        <v>2210</v>
      </c>
      <c r="L53" s="3130"/>
      <c r="M53" s="1754">
        <f t="shared" ref="M53:O54" ca="1" si="0">D55</f>
        <v>32</v>
      </c>
      <c r="N53" s="1812" t="str">
        <f t="shared" si="0"/>
        <v>销售额×税（费）率</v>
      </c>
      <c r="O53" s="1755">
        <f t="shared" si="0"/>
        <v>5.0000000000000001E-4</v>
      </c>
    </row>
    <row r="54" spans="1:35" ht="12" customHeight="1">
      <c r="A54" s="183" t="s">
        <v>2211</v>
      </c>
      <c r="B54" s="3088" t="s">
        <v>2212</v>
      </c>
      <c r="C54" s="3089"/>
      <c r="D54" s="182">
        <f ca="1">C68</f>
        <v>3364</v>
      </c>
      <c r="E54" s="30" t="s">
        <v>2213</v>
      </c>
      <c r="F54" s="184">
        <f>'数据-取费表'!B41</f>
        <v>5.6000000000000001E-2</v>
      </c>
      <c r="G54" s="2481"/>
      <c r="H54" s="2482"/>
      <c r="I54" s="2479"/>
      <c r="J54" s="1812">
        <v>3</v>
      </c>
      <c r="K54" s="3130" t="s">
        <v>2214</v>
      </c>
      <c r="L54" s="3130"/>
      <c r="M54" s="1754">
        <f t="shared" ca="1" si="0"/>
        <v>35698</v>
      </c>
      <c r="N54" s="1812" t="str">
        <f t="shared" si="0"/>
        <v>增值额×税（费）率</v>
      </c>
      <c r="O54" s="1756" t="str">
        <f t="shared" si="0"/>
        <v>——</v>
      </c>
    </row>
    <row r="55" spans="1:35" ht="24" customHeight="1">
      <c r="A55" s="3079" t="s">
        <v>2215</v>
      </c>
      <c r="B55" s="3080"/>
      <c r="C55" s="3080"/>
      <c r="D55" s="185">
        <f ca="1">IF(H55="个人住宅",0,ROUND(D45*I55,0))</f>
        <v>32</v>
      </c>
      <c r="E55" s="11" t="s">
        <v>2216</v>
      </c>
      <c r="F55" s="184">
        <f>IF(H55="正常",I55,"免征")</f>
        <v>5.0000000000000001E-4</v>
      </c>
      <c r="G55" s="2481"/>
      <c r="H55" s="2478" t="s">
        <v>2217</v>
      </c>
      <c r="I55" s="186">
        <f>'数据-取费表'!B49</f>
        <v>5.0000000000000001E-4</v>
      </c>
      <c r="J55" s="1812" t="str">
        <f>IF(H59="非个人房产","",4)</f>
        <v/>
      </c>
      <c r="K55" s="3130" t="str">
        <f>IF(H59="非个人房产","——","个人所得税")</f>
        <v>——</v>
      </c>
      <c r="L55" s="3130"/>
      <c r="M55" s="1757" t="str">
        <f>D59</f>
        <v>——</v>
      </c>
      <c r="N55" s="1810" t="str">
        <f>E59</f>
        <v>——</v>
      </c>
      <c r="O55" s="1758" t="str">
        <f>F59</f>
        <v>——</v>
      </c>
    </row>
    <row r="56" spans="1:35" ht="24.75">
      <c r="A56" s="3079" t="s">
        <v>2218</v>
      </c>
      <c r="B56" s="3080"/>
      <c r="C56" s="3080"/>
      <c r="D56" s="185">
        <f ca="1">IF(H56="个人住宅",D57,D58)</f>
        <v>35698</v>
      </c>
      <c r="E56" s="11" t="s">
        <v>2219</v>
      </c>
      <c r="F56" s="184" t="str">
        <f>IF(H56="正常",F58,"免征")</f>
        <v>——</v>
      </c>
      <c r="G56" s="2483" t="s">
        <v>2220</v>
      </c>
      <c r="H56" s="2484" t="s">
        <v>2217</v>
      </c>
      <c r="I56" s="2485"/>
      <c r="J56" s="1812" t="str">
        <f>IF(项目基本情况!K6="上海银行",IF(J55="",4,J55+1),"")</f>
        <v/>
      </c>
      <c r="K56" s="3153" t="str">
        <f>IF(项目基本情况!K6="上海银行","其他处置费用","")</f>
        <v/>
      </c>
      <c r="L56" s="3154"/>
      <c r="M56" s="1754" t="str">
        <f>IF(项目基本情况!K6="上海银行",M69,"")</f>
        <v/>
      </c>
      <c r="N56" s="3156" t="str">
        <f>IF(项目基本情况!K6="上海银行","包含处置中涉及的律师、诉讼、拍卖、评估等费用","")</f>
        <v/>
      </c>
      <c r="O56" s="3157"/>
    </row>
    <row r="57" spans="1:35" ht="12.75">
      <c r="A57" s="183" t="s">
        <v>2193</v>
      </c>
      <c r="B57" s="3095" t="s">
        <v>2221</v>
      </c>
      <c r="C57" s="3104"/>
      <c r="D57" s="187">
        <v>0</v>
      </c>
      <c r="E57" s="23" t="s">
        <v>2195</v>
      </c>
      <c r="F57" s="155"/>
      <c r="G57" s="2481"/>
      <c r="H57" s="2485"/>
      <c r="I57" s="2485"/>
      <c r="J57" s="3130">
        <f>IF(AND(J55="",J56=""),4,IF(项目基本情况!K6="上海银行",结果表!J56+1,结果表!J55+1))</f>
        <v>4</v>
      </c>
      <c r="K57" s="3130" t="s">
        <v>2222</v>
      </c>
      <c r="L57" s="2486" t="s">
        <v>2223</v>
      </c>
      <c r="M57" s="1759"/>
      <c r="N57" s="1760">
        <f ca="1">SUMIF(M52:M56,"&lt;9e307")</f>
        <v>35730</v>
      </c>
      <c r="O57" s="2487"/>
      <c r="P57" s="1753">
        <f ca="1">N57/M49</f>
        <v>0.56652238025020218</v>
      </c>
    </row>
    <row r="58" spans="1:35" ht="24.75">
      <c r="A58" s="183" t="s">
        <v>2204</v>
      </c>
      <c r="B58" s="3095" t="s">
        <v>2224</v>
      </c>
      <c r="C58" s="3096"/>
      <c r="D58" s="185">
        <f ca="1">IF(H58="转让取得",C81,C97)</f>
        <v>35698</v>
      </c>
      <c r="E58" s="11" t="s">
        <v>2219</v>
      </c>
      <c r="F58" s="24" t="s">
        <v>34</v>
      </c>
      <c r="G58" s="2481"/>
      <c r="H58" s="2484" t="s">
        <v>2225</v>
      </c>
      <c r="I58" s="2485"/>
      <c r="J58" s="3130"/>
      <c r="K58" s="3130"/>
      <c r="L58" s="2486" t="s">
        <v>2226</v>
      </c>
      <c r="M58" s="1761"/>
      <c r="N58" s="2488" t="str">
        <f ca="1">NUMBERSTRING(INT(N57*10000),2)&amp;"元整"</f>
        <v>叁亿伍仟柒佰叁拾万元整</v>
      </c>
      <c r="O58" s="2489"/>
    </row>
    <row r="59" spans="1:35" ht="24.75" thickBot="1">
      <c r="A59" s="3133" t="s">
        <v>2227</v>
      </c>
      <c r="B59" s="3134"/>
      <c r="C59" s="3134"/>
      <c r="D59" s="188" t="str">
        <f>IF(H59="非个人房产","——",IF(H59="个人住宅",0,ROUND(D45*I59,0)))</f>
        <v>——</v>
      </c>
      <c r="E59" s="189" t="str">
        <f>IF(H59="非个人房产","——","销售额×税（费）率")</f>
        <v>——</v>
      </c>
      <c r="F59" s="190" t="str">
        <f>IF(H59="非个人房产","——",IF(H59="个人住宅","免征",I59))</f>
        <v>——</v>
      </c>
      <c r="G59" s="2490" t="s">
        <v>2220</v>
      </c>
      <c r="H59" s="2484" t="s">
        <v>2228</v>
      </c>
      <c r="I59" s="191">
        <v>0.01</v>
      </c>
      <c r="J59" s="3131">
        <f>J57+1</f>
        <v>5</v>
      </c>
      <c r="K59" s="3130" t="s">
        <v>2229</v>
      </c>
      <c r="L59" s="1812" t="s">
        <v>2223</v>
      </c>
      <c r="M59" s="1762"/>
      <c r="N59" s="1763">
        <f ca="1">M49-N57</f>
        <v>27339</v>
      </c>
      <c r="O59" s="2491"/>
    </row>
    <row r="60" spans="1:35" ht="12" customHeight="1">
      <c r="A60" s="2492"/>
      <c r="B60" s="2414"/>
      <c r="C60" s="2414"/>
      <c r="D60" s="2414"/>
      <c r="E60" s="2165"/>
      <c r="F60" s="2485"/>
      <c r="G60" s="2485"/>
      <c r="H60" s="2493"/>
      <c r="I60" s="138"/>
      <c r="J60" s="3132"/>
      <c r="K60" s="3130"/>
      <c r="L60" s="2486" t="s">
        <v>2226</v>
      </c>
      <c r="M60" s="1761"/>
      <c r="N60" s="2488" t="str">
        <f ca="1">NUMBERSTRING(INT(N59*10000),2)&amp;"元整"</f>
        <v>贰亿柒仟叁佰叁拾玖万元整</v>
      </c>
      <c r="O60" s="2489"/>
    </row>
    <row r="61" spans="1:35" ht="13.5" thickBot="1">
      <c r="A61" s="3077" t="s">
        <v>2230</v>
      </c>
      <c r="B61" s="3077"/>
      <c r="C61" s="3077"/>
      <c r="D61" s="3077"/>
      <c r="E61" s="3077"/>
      <c r="F61" s="2485"/>
      <c r="G61" s="2485"/>
      <c r="H61" s="2493"/>
      <c r="I61" s="138"/>
      <c r="J61" s="1812">
        <f>J59+1</f>
        <v>6</v>
      </c>
      <c r="K61" s="3130" t="s">
        <v>2231</v>
      </c>
      <c r="L61" s="3130"/>
      <c r="M61" s="1764"/>
      <c r="N61" s="1765">
        <f ca="1">ROUND(N59*10000/'数据-汇总表'!E3,0)</f>
        <v>2898</v>
      </c>
      <c r="O61" s="2494"/>
    </row>
    <row r="62" spans="1:35" ht="12.75">
      <c r="A62" s="3093" t="s">
        <v>2232</v>
      </c>
      <c r="B62" s="3094"/>
      <c r="C62" s="1804"/>
      <c r="D62" s="1804" t="s">
        <v>2233</v>
      </c>
      <c r="E62" s="192" t="s">
        <v>2234</v>
      </c>
      <c r="F62" s="2485"/>
      <c r="G62" s="2485"/>
      <c r="H62" s="2493"/>
      <c r="I62" s="138"/>
    </row>
    <row r="63" spans="1:35" ht="12.75">
      <c r="A63" s="203" t="s">
        <v>775</v>
      </c>
      <c r="B63" s="193" t="s">
        <v>2235</v>
      </c>
      <c r="C63" s="194">
        <f ca="1">ROUND((C64+C65)/(1+'数据-取费表'!C42),0)</f>
        <v>60066</v>
      </c>
      <c r="D63" s="195"/>
      <c r="E63" s="196"/>
      <c r="F63" s="2485"/>
      <c r="G63" s="2485"/>
      <c r="H63" s="2493"/>
      <c r="I63" s="138"/>
      <c r="J63" s="3155" t="s">
        <v>2236</v>
      </c>
      <c r="K63" s="2495" t="s">
        <v>2237</v>
      </c>
      <c r="L63" s="1752">
        <f ca="1">IF(M49&gt;10000,M49*0.5%,IF(AND(M49&gt;1000,M49&lt;=10000),M49*1%,IF(AND(M49&gt;100,M49&lt;=1000),M49*3%,IF(AND(M49&gt;10,M49&lt;=100),M49*5%,M49*8%))))</f>
        <v>315.34500000000003</v>
      </c>
      <c r="M63" s="24">
        <f ca="1">ROUND(L63,1)</f>
        <v>315.3</v>
      </c>
      <c r="Z63" s="2419"/>
      <c r="AI63" s="2420"/>
    </row>
    <row r="64" spans="1:35" ht="14.25" customHeight="1">
      <c r="A64" s="197" t="s">
        <v>770</v>
      </c>
      <c r="B64" s="198" t="s">
        <v>2238</v>
      </c>
      <c r="C64" s="199">
        <f ca="1">D45</f>
        <v>63069</v>
      </c>
      <c r="D64" s="200" t="s">
        <v>32</v>
      </c>
      <c r="E64" s="201"/>
      <c r="F64" s="2485"/>
      <c r="G64" s="2485"/>
      <c r="H64" s="2493"/>
      <c r="I64" s="138"/>
      <c r="J64" s="3155"/>
      <c r="K64" s="2495" t="s">
        <v>2239</v>
      </c>
      <c r="L64" s="1752">
        <f ca="1">IF(M49&gt;2000,M49*0.5%,IF(AND(M49&gt;1000,M49&lt;=2000),M49*0.6%,IF(AND(M49&gt;500,M49&lt;=1000),M49*0.7%,IF(AND(M49&gt;200,M49&lt;=500),M49*0.8%,IF(AND(M49&gt;100,M49&lt;=200),M49*0.9%,IF(AND(M49&gt;50,M49&lt;=100),M49*1%,IF(AND(M49&gt;20,M49&lt;=50),M49*1.5%,IF(AND(M49&gt;10,M49&lt;=20),M49*2%,IF(AND(M49&gt;1,M49&lt;=10),M49*2.5%)))))))))</f>
        <v>315.34500000000003</v>
      </c>
      <c r="M64" s="24">
        <f t="shared" ref="M64:M65" ca="1" si="1">ROUND(L64,1)</f>
        <v>315.3</v>
      </c>
      <c r="N64" s="138" t="s">
        <v>2240</v>
      </c>
      <c r="Z64" s="2419"/>
      <c r="AI64" s="2420"/>
    </row>
    <row r="65" spans="1:35" ht="14.25" customHeight="1">
      <c r="A65" s="197" t="s">
        <v>771</v>
      </c>
      <c r="B65" s="198" t="s">
        <v>2241</v>
      </c>
      <c r="C65" s="202"/>
      <c r="D65" s="200"/>
      <c r="E65" s="201"/>
      <c r="F65" s="2485"/>
      <c r="G65" s="2485"/>
      <c r="H65" s="2493"/>
      <c r="I65" s="138"/>
      <c r="J65" s="3155"/>
      <c r="K65" s="2495" t="s">
        <v>2242</v>
      </c>
      <c r="L65" s="1752">
        <f ca="1">IF(M49&gt;1000,M49*0.1%,IF(AND(M49&gt;500,M49&lt;=1000),M49*0.5%,IF(AND(M49&gt;50,M49&lt;=500),M49*1%,IF(AND(M49&gt;1,M49&lt;=50),M49*1.5%))))</f>
        <v>63.069000000000003</v>
      </c>
      <c r="M65" s="24">
        <f t="shared" ca="1" si="1"/>
        <v>63.1</v>
      </c>
      <c r="N65" s="138" t="s">
        <v>2240</v>
      </c>
      <c r="Z65" s="2419"/>
      <c r="AI65" s="2420"/>
    </row>
    <row r="66" spans="1:35" ht="14.25" customHeight="1">
      <c r="A66" s="203" t="s">
        <v>772</v>
      </c>
      <c r="B66" s="204" t="s">
        <v>2243</v>
      </c>
      <c r="C66" s="205"/>
      <c r="D66" s="206" t="s">
        <v>32</v>
      </c>
      <c r="E66" s="1776" t="s">
        <v>1371</v>
      </c>
      <c r="F66" s="2485"/>
      <c r="G66" s="2485"/>
      <c r="H66" s="2493"/>
      <c r="I66" s="138"/>
      <c r="J66" s="3155"/>
      <c r="K66" s="2495" t="s">
        <v>2244</v>
      </c>
      <c r="L66" s="1752">
        <f ca="1">M49*0.5%</f>
        <v>315.34500000000003</v>
      </c>
      <c r="M66" s="24">
        <f ca="1">IF(L66&gt;0.5,0.5,ROUND(L66,0))</f>
        <v>0.5</v>
      </c>
      <c r="N66" s="138" t="s">
        <v>2245</v>
      </c>
      <c r="Z66" s="2419"/>
      <c r="AI66" s="2420"/>
    </row>
    <row r="67" spans="1:35" ht="14.25" customHeight="1">
      <c r="A67" s="203" t="s">
        <v>773</v>
      </c>
      <c r="B67" s="204" t="s">
        <v>2246</v>
      </c>
      <c r="C67" s="207">
        <f ca="1">C63-C66</f>
        <v>60066</v>
      </c>
      <c r="D67" s="200" t="s">
        <v>32</v>
      </c>
      <c r="E67" s="201"/>
      <c r="F67" s="2485"/>
      <c r="G67" s="2485"/>
      <c r="H67" s="2493"/>
      <c r="I67" s="138"/>
      <c r="J67" s="3155"/>
      <c r="K67" s="2495" t="s">
        <v>2247</v>
      </c>
      <c r="L67" s="1752">
        <f ca="1">IF(M49&gt;=10000,(8.25+(M49-10000)*0.01%),IF(AND(M49&gt;=8000,M49&lt;10000),(7.85+(M49-8000)*0.02%),IF(AND(M49&gt;=5000,M49&lt;8000),(6.65+(M49-5000)*0.04%),IF(AND(M49&gt;=2000,M49&lt;5000),(4.25+(PM49-2000)*0.08%),IF(AND(M49&gt;=1000,M49&lt;2000),(2.75+(M49-1000)*0.15%),IF(AND(M49&gt;=100,M49&lt;1000),(0.5+(M49-100)*0.25%),IF(AND(M49&gt;0,M49&lt;100),M49*0.5%)))))))</f>
        <v>13.556900000000001</v>
      </c>
      <c r="M67" s="24">
        <f ca="1">ROUND(L67*0.9,1)</f>
        <v>12.2</v>
      </c>
      <c r="Z67" s="2419"/>
      <c r="AI67" s="2420"/>
    </row>
    <row r="68" spans="1:35" ht="14.25" customHeight="1" thickBot="1">
      <c r="A68" s="208" t="s">
        <v>774</v>
      </c>
      <c r="B68" s="209" t="s">
        <v>2248</v>
      </c>
      <c r="C68" s="210">
        <f ca="1">IF(C67&lt;=0,0,ROUND(C67*D68,0))</f>
        <v>3364</v>
      </c>
      <c r="D68" s="211">
        <f>'数据-取费表'!B41</f>
        <v>5.6000000000000001E-2</v>
      </c>
      <c r="E68" s="212"/>
      <c r="F68" s="2485"/>
      <c r="G68" s="2485"/>
      <c r="H68" s="2493"/>
      <c r="I68" s="138"/>
      <c r="J68" s="3155"/>
      <c r="K68" s="2495" t="s">
        <v>2249</v>
      </c>
      <c r="L68" s="1752">
        <f ca="1">IF(M49&gt;10000,M49*0.5%,IF(AND(M49&gt;5000,M49&lt;=10000),M49*1%,IF(AND(M49&gt;1000,M49&lt;=5000),M49*2%,IF(AND(M49&gt;200,M49&lt;=1000),M49*3%,M49*5%))))</f>
        <v>315.34500000000003</v>
      </c>
      <c r="M68" s="24">
        <f ca="1">ROUND(L68,1)</f>
        <v>315.3</v>
      </c>
      <c r="Z68" s="2419"/>
      <c r="AI68" s="2420"/>
    </row>
    <row r="69" spans="1:35" s="2442" customFormat="1" ht="16.5" customHeight="1">
      <c r="A69" s="2496"/>
      <c r="B69" s="2497"/>
      <c r="C69" s="2498"/>
      <c r="D69" s="2499"/>
      <c r="E69" s="2500"/>
      <c r="F69" s="2165"/>
      <c r="G69" s="2165"/>
      <c r="H69" s="2164"/>
      <c r="I69" s="2414"/>
      <c r="J69" s="3155"/>
      <c r="K69" s="2495" t="s">
        <v>2250</v>
      </c>
      <c r="L69" s="2501"/>
      <c r="M69" s="24">
        <f ca="1">ROUND(SUM(M63:M68),0)</f>
        <v>1022</v>
      </c>
      <c r="N69" s="1753">
        <f ca="1">M69/M49</f>
        <v>1.6204474464475416E-2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4" t="s">
        <v>2251</v>
      </c>
      <c r="B70" s="3115"/>
      <c r="C70" s="3115"/>
      <c r="D70" s="3115"/>
      <c r="E70" s="3115"/>
      <c r="F70" s="3115"/>
      <c r="G70" s="3115"/>
      <c r="H70" s="311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3" t="s">
        <v>2232</v>
      </c>
      <c r="B71" s="3094"/>
      <c r="C71" s="1804"/>
      <c r="D71" s="1804" t="s">
        <v>2233</v>
      </c>
      <c r="E71" s="213" t="s">
        <v>2234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2252</v>
      </c>
      <c r="C72" s="207">
        <f ca="1">ROUND(D45/(1+'数据-取费表'!C42),0)</f>
        <v>60066</v>
      </c>
      <c r="D72" s="200" t="s">
        <v>32</v>
      </c>
      <c r="E72" s="1803"/>
      <c r="F72" s="1797"/>
      <c r="G72" s="1797"/>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2253</v>
      </c>
      <c r="C73" s="207">
        <f ca="1">C74+C78</f>
        <v>360</v>
      </c>
      <c r="D73" s="200" t="s">
        <v>32</v>
      </c>
      <c r="E73" s="1803"/>
      <c r="F73" s="1797"/>
      <c r="G73" s="1797"/>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2254</v>
      </c>
      <c r="C74" s="200">
        <f>ROUND(IF(G77="2016年5月1日后购买",C75/(1+'数据-取费表'!C42)+C76+C77,C75+C76+C77),0)</f>
        <v>0</v>
      </c>
      <c r="D74" s="200" t="s">
        <v>32</v>
      </c>
      <c r="E74" s="1803"/>
      <c r="F74" s="1797"/>
      <c r="G74" s="1797"/>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2255</v>
      </c>
      <c r="C75" s="218"/>
      <c r="D75" s="200" t="s">
        <v>32</v>
      </c>
      <c r="E75" s="219" t="s">
        <v>2256</v>
      </c>
      <c r="F75" s="2507" t="s">
        <v>2257</v>
      </c>
      <c r="G75" s="219" t="s">
        <v>2258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2259</v>
      </c>
      <c r="C76" s="200">
        <f>IF(F75="购房发票",ROUND(C75*H75*D76,0),0)</f>
        <v>0</v>
      </c>
      <c r="D76" s="222">
        <v>0.05</v>
      </c>
      <c r="E76" s="3088" t="s">
        <v>2260</v>
      </c>
      <c r="F76" s="3065"/>
      <c r="G76" s="3065"/>
      <c r="H76" s="311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9" t="s">
        <v>2263</v>
      </c>
      <c r="H77" s="180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2264</v>
      </c>
      <c r="C78" s="225">
        <f ca="1">ROUND(D45*D78/(1+'数据-取费表'!C42),0)</f>
        <v>360</v>
      </c>
      <c r="D78" s="226">
        <f>'数据-取费表'!B43</f>
        <v>6.000000000000001E-3</v>
      </c>
      <c r="E78" s="3074" t="s">
        <v>2265</v>
      </c>
      <c r="F78" s="3075"/>
      <c r="G78" s="3075"/>
      <c r="H78" s="308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2266</v>
      </c>
      <c r="C79" s="207">
        <f ca="1">C72-C73</f>
        <v>59706</v>
      </c>
      <c r="D79" s="200" t="s">
        <v>32</v>
      </c>
      <c r="E79" s="1803"/>
      <c r="F79" s="1797"/>
      <c r="G79" s="1797"/>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2267</v>
      </c>
      <c r="C80" s="227">
        <f ca="1">IF(C79&lt;=0,0,C79/C73)</f>
        <v>165.85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2268</v>
      </c>
      <c r="C81" s="228">
        <f ca="1">ROUND(IF(C79&lt;=0,0,IF(C80&gt;=200%,C79*60%-C73*35%,IF(C80&gt;=100%,C79*50%-C73*15%,IF(C80&gt;=50%,C79*40%-C73*5%,IF(C80&lt;50%,C79*30%,0))))),0)</f>
        <v>35698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4" t="s">
        <v>2269</v>
      </c>
      <c r="B83" s="3115"/>
      <c r="C83" s="3115"/>
      <c r="D83" s="3115"/>
      <c r="E83" s="3115"/>
      <c r="F83" s="3115"/>
      <c r="G83" s="3115"/>
      <c r="H83" s="311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3" t="s">
        <v>2232</v>
      </c>
      <c r="B84" s="3094"/>
      <c r="C84" s="1804"/>
      <c r="D84" s="1804" t="s">
        <v>2233</v>
      </c>
      <c r="E84" s="213" t="s">
        <v>2234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2252</v>
      </c>
      <c r="C85" s="207">
        <f ca="1">ROUND(D45/(1+'数据-取费表'!C42),0)</f>
        <v>60066</v>
      </c>
      <c r="D85" s="200" t="s">
        <v>32</v>
      </c>
      <c r="E85" s="1803"/>
      <c r="F85" s="1797"/>
      <c r="G85" s="1797"/>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2253</v>
      </c>
      <c r="C86" s="207">
        <f ca="1">IF(H88="仅含出让金",C87+C90+C91+C92+C93+C94,C87+C91+C92+C93+C94)</f>
        <v>360</v>
      </c>
      <c r="D86" s="235"/>
      <c r="E86" s="1803"/>
      <c r="F86" s="1797"/>
      <c r="G86" s="1797"/>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2270</v>
      </c>
      <c r="C87" s="225">
        <f>C88+C89</f>
        <v>0</v>
      </c>
      <c r="D87" s="226"/>
      <c r="E87" s="1799"/>
      <c r="F87" s="1800"/>
      <c r="G87" s="1800"/>
      <c r="H87" s="180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2271</v>
      </c>
      <c r="C88" s="236"/>
      <c r="D88" s="226"/>
      <c r="E88" s="237" t="s">
        <v>2272</v>
      </c>
      <c r="F88" s="1800"/>
      <c r="G88" s="238" t="s">
        <v>2273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2261</v>
      </c>
      <c r="C89" s="225">
        <f>ROUND(C88*D89,0)</f>
        <v>0</v>
      </c>
      <c r="D89" s="226">
        <f>'数据-取费表'!B48+'数据-取费表'!B49</f>
        <v>3.0499999999999999E-2</v>
      </c>
      <c r="E89" s="237" t="s">
        <v>2274</v>
      </c>
      <c r="F89" s="1800"/>
      <c r="G89" s="1800"/>
      <c r="H89" s="180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2275</v>
      </c>
      <c r="C90" s="236"/>
      <c r="D90" s="226"/>
      <c r="E90" s="237" t="str">
        <f>IF(H88="-","土地取得成本中已包含该笔费用"," ")</f>
        <v xml:space="preserve"> </v>
      </c>
      <c r="F90" s="1800"/>
      <c r="G90" s="1800"/>
      <c r="H90" s="180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2276</v>
      </c>
      <c r="B91" s="198" t="s">
        <v>2277</v>
      </c>
      <c r="C91" s="225">
        <f>IF(H91="——",成本法!C33,I91)</f>
        <v>0</v>
      </c>
      <c r="D91" s="226"/>
      <c r="E91" s="3074" t="s">
        <v>2278</v>
      </c>
      <c r="F91" s="3075"/>
      <c r="G91" s="3075"/>
      <c r="H91" s="2514" t="s">
        <v>2279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2280</v>
      </c>
      <c r="B92" s="198" t="s">
        <v>2281</v>
      </c>
      <c r="C92" s="225">
        <f>ROUND((C87+C90+C91)*D92,0)</f>
        <v>0</v>
      </c>
      <c r="D92" s="226">
        <v>0.1</v>
      </c>
      <c r="E92" s="3074" t="s">
        <v>2282</v>
      </c>
      <c r="F92" s="3075"/>
      <c r="G92" s="3075"/>
      <c r="H92" s="308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2283</v>
      </c>
      <c r="B93" s="198" t="s">
        <v>2264</v>
      </c>
      <c r="C93" s="225">
        <f ca="1">ROUND(D45*D93/(1+'数据-取费表'!C42),0)</f>
        <v>360</v>
      </c>
      <c r="D93" s="226">
        <f>'数据-取费表'!B43</f>
        <v>6.000000000000001E-3</v>
      </c>
      <c r="E93" s="3074" t="s">
        <v>2265</v>
      </c>
      <c r="F93" s="3075"/>
      <c r="G93" s="3075"/>
      <c r="H93" s="308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2284</v>
      </c>
      <c r="B94" s="198" t="s">
        <v>2285</v>
      </c>
      <c r="C94" s="236">
        <f>ROUND((C87+C90+C91)*D94,0)</f>
        <v>0</v>
      </c>
      <c r="D94" s="226">
        <v>0.2</v>
      </c>
      <c r="E94" s="3085" t="s">
        <v>2286</v>
      </c>
      <c r="F94" s="3086"/>
      <c r="G94" s="3086"/>
      <c r="H94" s="308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2266</v>
      </c>
      <c r="C95" s="207">
        <f ca="1">ROUND(C85-C86,0)</f>
        <v>59706</v>
      </c>
      <c r="D95" s="200" t="s">
        <v>32</v>
      </c>
      <c r="E95" s="1803"/>
      <c r="F95" s="1797"/>
      <c r="G95" s="1797"/>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2267</v>
      </c>
      <c r="C96" s="227">
        <f ca="1">IF(C95&lt;=0,0,C95/C86)</f>
        <v>165.85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2268</v>
      </c>
      <c r="C97" s="228">
        <f ca="1">ROUND(IF(C95&lt;=0,0,IF(C96&gt;=200%,C95*60%-C86*35%,IF(C96&gt;=100%,C95*50%-C86*15%,IF(C96&gt;=50%,C95*40%-C86*5%,IF(C96&lt;50%,C95*30%,0))))),0)</f>
        <v>35698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8"/>
    </row>
    <row r="99" spans="1:35" ht="21.75" customHeight="1" thickBot="1">
      <c r="A99" s="2470" t="s">
        <v>2287</v>
      </c>
      <c r="B99" s="2414"/>
      <c r="C99" s="2414"/>
      <c r="D99" s="2414"/>
      <c r="E99" s="2165"/>
      <c r="F99" s="2165"/>
      <c r="G99" s="2165"/>
      <c r="H99" s="2164"/>
      <c r="I99" s="138"/>
    </row>
    <row r="100" spans="1:35" ht="18.75" customHeight="1">
      <c r="A100" s="3059" t="s">
        <v>2288</v>
      </c>
      <c r="B100" s="3060"/>
      <c r="C100" s="3060"/>
      <c r="D100" s="3076"/>
      <c r="E100" s="3060" t="s">
        <v>2289</v>
      </c>
      <c r="F100" s="3060"/>
      <c r="G100" s="3060"/>
      <c r="H100" s="3076"/>
      <c r="I100" s="138"/>
    </row>
    <row r="101" spans="1:35" ht="18.75" customHeight="1">
      <c r="A101" s="3138" t="s">
        <v>2290</v>
      </c>
      <c r="B101" s="3139"/>
      <c r="C101" s="736" t="str">
        <f>C4</f>
        <v>成本法</v>
      </c>
      <c r="D101" s="737" t="str">
        <f>D4</f>
        <v>假设开发法</v>
      </c>
      <c r="E101" s="3152" t="s">
        <v>2291</v>
      </c>
      <c r="F101" s="3106"/>
      <c r="G101" s="2516" t="s">
        <v>2292</v>
      </c>
      <c r="H101" s="1048">
        <f ca="1">H118</f>
        <v>63069</v>
      </c>
      <c r="I101" s="138"/>
    </row>
    <row r="102" spans="1:35" ht="18.75" customHeight="1">
      <c r="A102" s="3108" t="s">
        <v>2293</v>
      </c>
      <c r="B102" s="2516" t="s">
        <v>2292</v>
      </c>
      <c r="C102" s="736">
        <f ca="1">C19</f>
        <v>50509</v>
      </c>
      <c r="D102" s="737">
        <f ca="1">D19</f>
        <v>71443</v>
      </c>
      <c r="E102" s="3152"/>
      <c r="F102" s="3106"/>
      <c r="G102" s="2516" t="s">
        <v>2294</v>
      </c>
      <c r="H102" s="371">
        <f ca="1">I118</f>
        <v>6686</v>
      </c>
      <c r="I102" s="138"/>
    </row>
    <row r="103" spans="1:35" ht="42.75" customHeight="1">
      <c r="A103" s="3108"/>
      <c r="B103" s="2516" t="s">
        <v>2294</v>
      </c>
      <c r="C103" s="738">
        <f ca="1">C20</f>
        <v>5354</v>
      </c>
      <c r="D103" s="739">
        <f ca="1">D20</f>
        <v>7573</v>
      </c>
      <c r="E103" s="3147" t="s">
        <v>2295</v>
      </c>
      <c r="F103" s="3148"/>
      <c r="G103" s="2517" t="s">
        <v>2296</v>
      </c>
      <c r="H103" s="1048">
        <f>IF(D36="正常操作",H104+H105+H106,H105+H106)</f>
        <v>0</v>
      </c>
      <c r="I103" s="138"/>
    </row>
    <row r="104" spans="1:35" ht="18.75" customHeight="1">
      <c r="A104" s="3108" t="s">
        <v>2297</v>
      </c>
      <c r="B104" s="2518" t="s">
        <v>2292</v>
      </c>
      <c r="C104" s="740">
        <f ca="1">H118</f>
        <v>63069</v>
      </c>
      <c r="D104" s="741"/>
      <c r="E104" s="2265" t="s">
        <v>2298</v>
      </c>
      <c r="F104" s="2257"/>
      <c r="G104" s="2517" t="s">
        <v>2296</v>
      </c>
      <c r="H104" s="1049">
        <f>IF(D36="同一抵押权人同一抵押物续贷",C36&amp;"（未扣减，详见特别提示）",C36)</f>
        <v>0</v>
      </c>
      <c r="I104" s="138"/>
    </row>
    <row r="105" spans="1:35" ht="18.75" customHeight="1" thickBot="1">
      <c r="A105" s="3109"/>
      <c r="B105" s="2519" t="s">
        <v>2294</v>
      </c>
      <c r="C105" s="742">
        <f ca="1">I118</f>
        <v>6686</v>
      </c>
      <c r="D105" s="743"/>
      <c r="E105" s="2265" t="s">
        <v>2299</v>
      </c>
      <c r="F105" s="2257"/>
      <c r="G105" s="2517" t="s">
        <v>2296</v>
      </c>
      <c r="H105" s="1049">
        <f>C37</f>
        <v>0</v>
      </c>
      <c r="I105" s="138"/>
    </row>
    <row r="106" spans="1:35" ht="18.75" customHeight="1">
      <c r="A106" s="2414" t="s">
        <v>2300</v>
      </c>
      <c r="B106" s="2414"/>
      <c r="C106" s="2414"/>
      <c r="D106" s="2414"/>
      <c r="E106" s="2520" t="s">
        <v>2301</v>
      </c>
      <c r="F106" s="2257"/>
      <c r="G106" s="2517" t="s">
        <v>2296</v>
      </c>
      <c r="H106" s="1049">
        <f>C38</f>
        <v>0</v>
      </c>
      <c r="I106" s="138"/>
    </row>
    <row r="107" spans="1:35" ht="18.75" customHeight="1">
      <c r="A107" s="138"/>
      <c r="B107" s="138"/>
      <c r="C107" s="138"/>
      <c r="D107" s="138"/>
      <c r="E107" s="3105" t="str">
        <f>IF(项目基本情况!E8="已注销","——","3.房地产抵押价值")</f>
        <v>3.房地产抵押价值</v>
      </c>
      <c r="F107" s="3106"/>
      <c r="G107" s="2516" t="s">
        <v>2292</v>
      </c>
      <c r="H107" s="1048">
        <f ca="1">IF(E107="——","——",H101-H103)</f>
        <v>63069</v>
      </c>
      <c r="I107" s="138"/>
    </row>
    <row r="108" spans="1:35" ht="18.75" customHeight="1">
      <c r="A108" s="138"/>
      <c r="B108" s="138"/>
      <c r="C108" s="138"/>
      <c r="D108" s="138"/>
      <c r="E108" s="3105"/>
      <c r="F108" s="3106"/>
      <c r="G108" s="2516" t="s">
        <v>2294</v>
      </c>
      <c r="H108" s="371">
        <f ca="1">ROUND(H107*10000/'数据-汇总表'!E3,0)</f>
        <v>6686</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6" t="s">
        <v>2292</v>
      </c>
      <c r="H109" s="348" t="str">
        <f>IF(E109="——","——",H101-H105-H106)</f>
        <v>——</v>
      </c>
      <c r="I109" s="138"/>
    </row>
    <row r="110" spans="1:35" ht="18.75" customHeight="1">
      <c r="A110" s="138"/>
      <c r="B110" s="138"/>
      <c r="C110" s="138"/>
      <c r="D110" s="138"/>
      <c r="E110" s="3105"/>
      <c r="F110" s="3106"/>
      <c r="G110" s="2516" t="s">
        <v>2294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6" t="s">
        <v>2292</v>
      </c>
      <c r="H111" s="1048" t="str">
        <f>IF(E111="——","——",N59)</f>
        <v>——</v>
      </c>
      <c r="I111" s="138"/>
    </row>
    <row r="112" spans="1:35" ht="18.75" customHeight="1" thickBot="1">
      <c r="A112" s="138"/>
      <c r="B112" s="138"/>
      <c r="C112" s="138"/>
      <c r="D112" s="138"/>
      <c r="E112" s="3142"/>
      <c r="F112" s="3143"/>
      <c r="G112" s="2521" t="s">
        <v>2294</v>
      </c>
      <c r="H112" s="790" t="str">
        <f>IF(E111="——","——",N61)</f>
        <v>——</v>
      </c>
      <c r="I112" s="138"/>
    </row>
    <row r="113" spans="1:11" ht="18.75" customHeight="1">
      <c r="A113" s="138"/>
      <c r="B113" s="138"/>
      <c r="C113" s="138"/>
      <c r="D113" s="138"/>
      <c r="E113" s="3110" t="s">
        <v>2300</v>
      </c>
      <c r="F113" s="3110"/>
      <c r="G113" s="3110"/>
      <c r="H113" s="3110"/>
      <c r="I113" s="138"/>
    </row>
    <row r="114" spans="1:11" ht="3.75" customHeight="1">
      <c r="A114" s="2414"/>
      <c r="B114" s="2414"/>
      <c r="C114" s="2414"/>
      <c r="D114" s="2414"/>
      <c r="E114" s="2492"/>
      <c r="F114" s="2492"/>
      <c r="G114" s="2492"/>
      <c r="H114" s="2492"/>
      <c r="I114" s="2414"/>
    </row>
    <row r="115" spans="1:11" ht="18.75" customHeight="1">
      <c r="A115" s="3123" t="s">
        <v>2302</v>
      </c>
      <c r="B115" s="3124"/>
      <c r="C115" s="3124"/>
      <c r="D115" s="3124"/>
      <c r="E115" s="3124"/>
      <c r="F115" s="3124"/>
      <c r="G115" s="3124"/>
      <c r="H115" s="3124"/>
      <c r="I115" s="3125"/>
    </row>
    <row r="116" spans="1:11" ht="27" customHeight="1">
      <c r="A116" s="3016" t="s">
        <v>2303</v>
      </c>
      <c r="B116" s="3111" t="s">
        <v>2304</v>
      </c>
      <c r="C116" s="3111" t="s">
        <v>2305</v>
      </c>
      <c r="D116" s="3127" t="s">
        <v>2306</v>
      </c>
      <c r="E116" s="3128"/>
      <c r="F116" s="3119" t="s">
        <v>2307</v>
      </c>
      <c r="G116" s="3119"/>
      <c r="H116" s="3016" t="s">
        <v>2308</v>
      </c>
      <c r="I116" s="3016"/>
    </row>
    <row r="117" spans="1:11" ht="18.75" customHeight="1">
      <c r="A117" s="3016"/>
      <c r="B117" s="3112"/>
      <c r="C117" s="3112"/>
      <c r="D117" s="1798" t="s">
        <v>2309</v>
      </c>
      <c r="E117" s="1798" t="s">
        <v>2310</v>
      </c>
      <c r="F117" s="1798" t="s">
        <v>2309</v>
      </c>
      <c r="G117" s="1798" t="s">
        <v>2311</v>
      </c>
      <c r="H117" s="1798" t="s">
        <v>2309</v>
      </c>
      <c r="I117" s="1798" t="s">
        <v>2311</v>
      </c>
    </row>
    <row r="118" spans="1:11" ht="24.75" customHeight="1">
      <c r="A118" s="2522" t="str">
        <f>项目基本情况!S2</f>
        <v>福建省泉州市丰泽区城东组团华大片区，东至铁路，西至324国道，南邻通源街，北至城东街2012-16号地块一期出让国有建设用地使用权及在建建筑物房地产</v>
      </c>
      <c r="B118" s="1798">
        <f>M18</f>
        <v>94334.89</v>
      </c>
      <c r="C118" s="1798">
        <f>M19</f>
        <v>16752.099999999999</v>
      </c>
      <c r="D118" s="1798">
        <f ca="1">ROUND(IF(D32="总价",C34,E118*B118/10000),0)</f>
        <v>36202</v>
      </c>
      <c r="E118" s="1798">
        <f ca="1">ROUND(IF(C33="自定义",IF(D32="楼面单价",C34,D118*10000/B118),I118-G118),0)</f>
        <v>3838</v>
      </c>
      <c r="F118" s="1798">
        <f ca="1">ROUND(IF(D32="总价",C35,G118*B118/10000),0)</f>
        <v>26867</v>
      </c>
      <c r="G118" s="1798">
        <f ca="1">ROUND(IF(D32="楼面单价",C35,F118*10000/B118),0)</f>
        <v>2848</v>
      </c>
      <c r="H118" s="1798">
        <f ca="1">ROUND(IF(D32="总价",C32,I118*B118/10000),0)</f>
        <v>63069</v>
      </c>
      <c r="I118" s="1798">
        <f ca="1">ROUND(IF(D32="楼面单价",C32,H118*10000/B118),0)</f>
        <v>6686</v>
      </c>
    </row>
    <row r="119" spans="1:11" ht="18.75" customHeight="1">
      <c r="A119" s="3016" t="s">
        <v>2312</v>
      </c>
      <c r="B119" s="3016"/>
      <c r="C119" s="3016"/>
      <c r="D119" s="3116" t="str">
        <f ca="1">NUMBERSTRING(INT(D118*10000),2)&amp;"元整"</f>
        <v>叁亿陆仟贰佰零贰万元整</v>
      </c>
      <c r="E119" s="3118"/>
      <c r="F119" s="3116" t="str">
        <f ca="1">NUMBERSTRING(INT(F118*10000),2)&amp;"元整"</f>
        <v>贰亿陆仟捌佰陆拾柒万元整</v>
      </c>
      <c r="G119" s="3118"/>
      <c r="H119" s="3116" t="str">
        <f ca="1">NUMBERSTRING(INT(H118*10000),2)&amp;"元整"</f>
        <v>陆亿叁仟零陆拾玖万元整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9" t="str">
        <f>IF(D120=0,"故，本次评估不存在"&amp;A120,"故，本次评估"&amp;A120&amp;"为人民币"&amp;D120&amp;"万元整。")</f>
        <v>故，本次评估不存在估价师知悉的法定优先受偿款</v>
      </c>
    </row>
    <row r="121" spans="1:11" ht="18.75" customHeight="1">
      <c r="A121" s="3120" t="s">
        <v>2312</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63069</v>
      </c>
      <c r="E122" s="3145"/>
      <c r="F122" s="3145"/>
      <c r="G122" s="3145"/>
      <c r="H122" s="3145"/>
      <c r="I122" s="3146"/>
    </row>
    <row r="123" spans="1:11" ht="18.75" customHeight="1">
      <c r="A123" s="3016" t="s">
        <v>2312</v>
      </c>
      <c r="B123" s="3016"/>
      <c r="C123" s="3016"/>
      <c r="D123" s="3116" t="str">
        <f ca="1">NUMBERSTRING(INT(D122*10000),2)&amp;"元整"</f>
        <v>陆亿叁仟零陆拾玖万元整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2312</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2312</v>
      </c>
      <c r="B127" s="3016"/>
      <c r="C127" s="3016"/>
      <c r="D127" s="3116" t="e">
        <f>NUMBERSTRING(INT(D126*10000),2)&amp;"元整"</f>
        <v>#VALUE!</v>
      </c>
      <c r="E127" s="3117"/>
      <c r="F127" s="3117"/>
      <c r="G127" s="3117"/>
      <c r="H127" s="3117"/>
      <c r="I127" s="3118"/>
    </row>
    <row r="128" spans="1:11" ht="21.75" customHeight="1">
      <c r="A128" s="3126" t="s">
        <v>2313</v>
      </c>
      <c r="B128" s="3126"/>
      <c r="C128" s="3126"/>
      <c r="D128" s="3126"/>
      <c r="E128" s="3126"/>
      <c r="F128" s="3126"/>
      <c r="G128" s="3126"/>
      <c r="H128" s="3126"/>
      <c r="I128" s="3126"/>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2316</v>
      </c>
      <c r="G135" s="2540"/>
      <c r="H135" s="2540"/>
      <c r="I135" s="2541" t="s">
        <v>2317</v>
      </c>
    </row>
    <row r="136" spans="1:35" ht="21.75" customHeight="1">
      <c r="A136" s="795"/>
      <c r="B136" s="2542"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2319</v>
      </c>
    </row>
    <row r="139" spans="1:35" ht="21.75" customHeight="1">
      <c r="A139" s="795"/>
      <c r="B139" s="2542" t="s">
        <v>2320</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2319</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9</v>
      </c>
    </row>
    <row r="2" spans="1:9" s="244" customFormat="1" ht="18" customHeight="1">
      <c r="A2" s="245" t="s">
        <v>2322</v>
      </c>
      <c r="B2" s="246">
        <f ca="1">IF(D2="——",C52,C52-E2)</f>
        <v>50509</v>
      </c>
      <c r="C2" s="243" t="s">
        <v>2323</v>
      </c>
      <c r="D2" s="2545" t="s">
        <v>70</v>
      </c>
      <c r="E2" s="1443" t="e">
        <f ca="1">SUMIF(INDIRECT("'"&amp;G2&amp;"'"&amp;"!A:A"),"承租人权益价值",INDIRECT("'"&amp;G2&amp;"'"&amp;"!c:c"))</f>
        <v>#REF!</v>
      </c>
      <c r="F2" s="2546" t="s">
        <v>2323</v>
      </c>
      <c r="G2" s="2547"/>
    </row>
    <row r="3" spans="1:9" s="244" customFormat="1" ht="18" customHeight="1" thickBot="1">
      <c r="A3" s="247" t="s">
        <v>2324</v>
      </c>
      <c r="B3" s="248">
        <f ca="1">ROUND(B2*10000/(IF(B1="",'数据-汇总表'!E3,INDIRECT("'数据-取费表'!k"&amp;$G$1))),0)</f>
        <v>5354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22832</v>
      </c>
      <c r="D5" s="255" t="s">
        <v>2329</v>
      </c>
      <c r="E5" s="256" t="s">
        <v>2330</v>
      </c>
      <c r="F5" s="256" t="s">
        <v>2331</v>
      </c>
      <c r="G5" s="257"/>
    </row>
    <row r="6" spans="1:9" s="258" customFormat="1" ht="13.5" customHeight="1">
      <c r="A6" s="952" t="s">
        <v>2332</v>
      </c>
      <c r="B6" s="259" t="s">
        <v>2333</v>
      </c>
      <c r="C6" s="260">
        <f>'土地比较法-住宅、综合'!B2</f>
        <v>21424</v>
      </c>
      <c r="D6" s="261"/>
      <c r="E6" s="262"/>
      <c r="F6" s="262"/>
      <c r="G6" s="263"/>
    </row>
    <row r="7" spans="1:9" s="258" customFormat="1" ht="13.5" customHeight="1">
      <c r="A7" s="952" t="s">
        <v>2334</v>
      </c>
      <c r="B7" s="259" t="s">
        <v>2335</v>
      </c>
      <c r="C7" s="264">
        <f>ROUND(C6*F7,0)</f>
        <v>653</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755</v>
      </c>
      <c r="D8" s="266"/>
      <c r="E8" s="264"/>
      <c r="F8" s="265"/>
      <c r="G8" s="2548" t="s">
        <v>3180</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49"/>
      <c r="H9" s="1393"/>
      <c r="I9" s="2550" t="s">
        <v>2339</v>
      </c>
    </row>
    <row r="10" spans="1:9" s="258" customFormat="1" ht="13.5" customHeight="1">
      <c r="A10" s="953" t="s">
        <v>801</v>
      </c>
      <c r="B10" s="268" t="s">
        <v>2340</v>
      </c>
      <c r="C10" s="269">
        <f ca="1">ROUND(D10*E10/10000,0)</f>
        <v>755</v>
      </c>
      <c r="D10" s="1035">
        <f ca="1">IF(B1="",'数据-汇总表'!E6,IF(INDIRECT("'数据-取费表'!c"&amp;$G$1)="住宅",INDIRECT("'数据-取费表'!s"&amp;$G$1),INDIRECT("'数据-取费表'!k"&amp;$G$1)+INDIRECT("'数据-取费表'!s"&amp;$G$1)))</f>
        <v>94334.89</v>
      </c>
      <c r="E10" s="269">
        <f>'数据-取费表'!B28</f>
        <v>80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94334.89</v>
      </c>
      <c r="E19" s="255">
        <f>'数据-取费表'!B31</f>
        <v>200</v>
      </c>
      <c r="F19" s="275"/>
      <c r="G19" s="2548" t="s">
        <v>3179</v>
      </c>
    </row>
    <row r="20" spans="1:7" s="258" customFormat="1" ht="13.5" customHeight="1">
      <c r="A20" s="299" t="s">
        <v>2353</v>
      </c>
      <c r="B20" s="254" t="s">
        <v>2354</v>
      </c>
      <c r="C20" s="276">
        <f ca="1">ROUND((C5+C19)*F20,0)</f>
        <v>457</v>
      </c>
      <c r="D20" s="276"/>
      <c r="E20" s="276"/>
      <c r="F20" s="277">
        <f>'数据-取费表'!B37</f>
        <v>0.02</v>
      </c>
      <c r="G20" s="278" t="s">
        <v>2355</v>
      </c>
    </row>
    <row r="21" spans="1:7" s="258" customFormat="1" ht="13.5" customHeight="1">
      <c r="A21" s="299" t="s">
        <v>2356</v>
      </c>
      <c r="B21" s="254" t="s">
        <v>2357</v>
      </c>
      <c r="C21" s="279">
        <f>F21</f>
        <v>0.03</v>
      </c>
      <c r="D21" s="280" t="s">
        <v>2358</v>
      </c>
      <c r="E21" s="276"/>
      <c r="F21" s="277">
        <f>'数据-取费表'!B38</f>
        <v>0.03</v>
      </c>
      <c r="G21" s="278" t="s">
        <v>2359</v>
      </c>
    </row>
    <row r="22" spans="1:7" s="258" customFormat="1" ht="13.5" customHeight="1">
      <c r="A22" s="299" t="s">
        <v>2360</v>
      </c>
      <c r="B22" s="254" t="s">
        <v>2361</v>
      </c>
      <c r="C22" s="1357">
        <f ca="1">ROUND(SUM(C23:C25),0)</f>
        <v>1662</v>
      </c>
      <c r="D22" s="279">
        <f ca="1">C26</f>
        <v>1.1000000000000001E-3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1646</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16</v>
      </c>
      <c r="D25" s="282"/>
      <c r="E25" s="285"/>
      <c r="F25" s="283"/>
      <c r="G25" s="286" t="s">
        <v>2370</v>
      </c>
    </row>
    <row r="26" spans="1:7" s="258" customFormat="1">
      <c r="A26" s="954" t="s">
        <v>795</v>
      </c>
      <c r="B26" s="259" t="s">
        <v>2371</v>
      </c>
      <c r="C26" s="282">
        <f ca="1">ROUND(IF('数据-取费表'!B22&lt;=1,F21*F22*'数据-取费表'!B23/2,F21*(POWER((1+F22),'数据-取费表'!B23/2)-1)),4)</f>
        <v>1.1000000000000001E-3</v>
      </c>
      <c r="D26" s="282"/>
      <c r="E26" s="285"/>
      <c r="F26" s="283"/>
      <c r="G26" s="287"/>
    </row>
    <row r="27" spans="1:7" s="258" customFormat="1" ht="24.75">
      <c r="A27" s="299" t="s">
        <v>2372</v>
      </c>
      <c r="B27" s="288" t="s">
        <v>2373</v>
      </c>
      <c r="C27" s="289">
        <f ca="1">C28</f>
        <v>1514</v>
      </c>
      <c r="D27" s="279">
        <f ca="1">C29</f>
        <v>2E-3</v>
      </c>
      <c r="E27" s="280" t="s">
        <v>2374</v>
      </c>
      <c r="F27" s="290">
        <f ca="1">IF(B1="",'数据-取费表'!Q16,INDIRECT("'数据-取费表'!q"&amp;$G$1))</f>
        <v>0.13</v>
      </c>
      <c r="G27" s="291" t="s">
        <v>2375</v>
      </c>
    </row>
    <row r="28" spans="1:7" s="258" customFormat="1" ht="13.5" customHeight="1">
      <c r="A28" s="954" t="s">
        <v>791</v>
      </c>
      <c r="B28" s="292" t="s">
        <v>2376</v>
      </c>
      <c r="C28" s="293">
        <f ca="1">ROUND((C5+C19+C20)*F27*'数据-取费表'!B21/'数据-取费表'!B20,0)</f>
        <v>1514</v>
      </c>
      <c r="D28" s="279"/>
      <c r="E28" s="280"/>
      <c r="F28" s="290"/>
      <c r="G28" s="291"/>
    </row>
    <row r="29" spans="1:7" s="258" customFormat="1" ht="13.5" customHeight="1">
      <c r="A29" s="954"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28968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16521</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15101</v>
      </c>
      <c r="D34" s="261"/>
      <c r="E34" s="264"/>
      <c r="F34" s="301">
        <f ca="1">IF('数据-取费表'!B24=0,1,IF(B1="",'数据-取费表'!N16,INDIRECT("'数据-取费表'!n"&amp;$G$1)))</f>
        <v>0.39200000000000002</v>
      </c>
      <c r="G34" s="263" t="s">
        <v>2386</v>
      </c>
    </row>
    <row r="35" spans="1:7" ht="13.5" customHeight="1">
      <c r="A35" s="954" t="s">
        <v>796</v>
      </c>
      <c r="B35" s="259" t="s">
        <v>2387</v>
      </c>
      <c r="C35" s="264">
        <f ca="1">ROUND(C34*F35,0)</f>
        <v>453</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740</v>
      </c>
      <c r="D37" s="261">
        <f ca="1">D19</f>
        <v>94334.89</v>
      </c>
      <c r="E37" s="293">
        <f>'数据-取费表'!B35</f>
        <v>200</v>
      </c>
      <c r="F37" s="303"/>
      <c r="G37" s="305" t="s">
        <v>2392</v>
      </c>
    </row>
    <row r="38" spans="1:7" ht="13.5" customHeight="1">
      <c r="A38" s="954" t="s">
        <v>799</v>
      </c>
      <c r="B38" s="259" t="s">
        <v>2393</v>
      </c>
      <c r="C38" s="264">
        <f ca="1">ROUND(C34*F38,0)</f>
        <v>227</v>
      </c>
      <c r="D38" s="264"/>
      <c r="E38" s="264"/>
      <c r="F38" s="303">
        <f>'数据-取费表'!B36</f>
        <v>1.4999999999999999E-2</v>
      </c>
      <c r="G38" s="263" t="s">
        <v>2388</v>
      </c>
    </row>
    <row r="39" spans="1:7" s="258" customFormat="1" ht="13.5" customHeight="1">
      <c r="A39" s="299" t="s">
        <v>2394</v>
      </c>
      <c r="B39" s="254" t="s">
        <v>2395</v>
      </c>
      <c r="C39" s="276">
        <f ca="1">ROUND(C33*F20,0)</f>
        <v>330</v>
      </c>
      <c r="D39" s="276"/>
      <c r="E39" s="276"/>
      <c r="F39" s="277"/>
      <c r="G39" s="278" t="s">
        <v>2396</v>
      </c>
    </row>
    <row r="40" spans="1:7" s="258" customFormat="1" ht="13.5" customHeight="1">
      <c r="A40" s="299" t="s">
        <v>2397</v>
      </c>
      <c r="B40" s="254" t="s">
        <v>2398</v>
      </c>
      <c r="C40" s="1731">
        <f>F21</f>
        <v>0.03</v>
      </c>
      <c r="D40" s="280" t="s">
        <v>2399</v>
      </c>
      <c r="E40" s="276"/>
      <c r="F40" s="277"/>
      <c r="G40" s="278" t="s">
        <v>2400</v>
      </c>
    </row>
    <row r="41" spans="1:7" s="258" customFormat="1" ht="13.5" customHeight="1">
      <c r="A41" s="299" t="s">
        <v>2401</v>
      </c>
      <c r="B41" s="254" t="s">
        <v>2402</v>
      </c>
      <c r="C41" s="276">
        <f ca="1">ROUND(SUM(C42:C43),0)</f>
        <v>597</v>
      </c>
      <c r="D41" s="279">
        <f ca="1">C44</f>
        <v>1.1000000000000001E-3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585</v>
      </c>
      <c r="D42" s="282"/>
      <c r="E42" s="282"/>
      <c r="F42" s="283"/>
      <c r="G42" s="3158" t="s">
        <v>2404</v>
      </c>
    </row>
    <row r="43" spans="1:7" ht="13.5" customHeight="1">
      <c r="A43" s="954" t="s">
        <v>792</v>
      </c>
      <c r="B43" s="259" t="s">
        <v>2405</v>
      </c>
      <c r="C43" s="282">
        <f ca="1">ROUND(IF('数据-取费表'!B22&lt;=1,C39*F22*'数据-取费表'!B21/2,C39*(POWER((1+F22),'数据-取费表'!B21/2)-1)),0)</f>
        <v>12</v>
      </c>
      <c r="D43" s="282"/>
      <c r="E43" s="282"/>
      <c r="F43" s="283"/>
      <c r="G43" s="3159"/>
    </row>
    <row r="44" spans="1:7" ht="13.5" customHeight="1">
      <c r="A44" s="954" t="s">
        <v>793</v>
      </c>
      <c r="B44" s="259" t="s">
        <v>2406</v>
      </c>
      <c r="C44" s="282">
        <f ca="1">ROUND(IF('数据-取费表'!B22&lt;=1,C40*F22*'数据-取费表'!B21/2,C40*(POWER((1+F22),'数据-取费表'!B21/2)-1)),4)</f>
        <v>1.1000000000000001E-3</v>
      </c>
      <c r="D44" s="282"/>
      <c r="E44" s="282"/>
      <c r="F44" s="283"/>
      <c r="G44" s="3160"/>
    </row>
    <row r="45" spans="1:7" s="258" customFormat="1" ht="13.5" customHeight="1">
      <c r="A45" s="299" t="s">
        <v>2407</v>
      </c>
      <c r="B45" s="288" t="s">
        <v>2373</v>
      </c>
      <c r="C45" s="289">
        <f ca="1">C46</f>
        <v>2191</v>
      </c>
      <c r="D45" s="279">
        <f ca="1">C47</f>
        <v>3.8999999999999998E-3</v>
      </c>
      <c r="E45" s="280" t="s">
        <v>2399</v>
      </c>
      <c r="F45" s="290"/>
      <c r="G45" s="291" t="s">
        <v>2408</v>
      </c>
    </row>
    <row r="46" spans="1:7" s="258" customFormat="1" ht="13.5" customHeight="1">
      <c r="A46" s="954" t="s">
        <v>791</v>
      </c>
      <c r="B46" s="292" t="s">
        <v>2409</v>
      </c>
      <c r="C46" s="293">
        <f ca="1">ROUND((C33+C39)*F27,0)</f>
        <v>2191</v>
      </c>
      <c r="D46" s="307"/>
      <c r="E46" s="280"/>
      <c r="F46" s="290"/>
      <c r="G46" s="291"/>
    </row>
    <row r="47" spans="1:7" s="258" customFormat="1" ht="13.5" customHeight="1">
      <c r="A47" s="954" t="s">
        <v>792</v>
      </c>
      <c r="B47" s="292" t="s">
        <v>2410</v>
      </c>
      <c r="C47" s="282">
        <f ca="1">ROUND(C40*F27,4)</f>
        <v>3.8999999999999998E-3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21541</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21541</v>
      </c>
      <c r="D51" s="276"/>
      <c r="E51" s="276"/>
      <c r="F51" s="308"/>
      <c r="G51" s="278" t="s">
        <v>2420</v>
      </c>
    </row>
    <row r="52" spans="1:7" s="252" customFormat="1" ht="16.5" thickBot="1">
      <c r="A52" s="309" t="s">
        <v>2421</v>
      </c>
      <c r="B52" s="310"/>
      <c r="C52" s="311">
        <f ca="1">C31+C51</f>
        <v>50509</v>
      </c>
      <c r="D52" s="310"/>
      <c r="E52" s="310"/>
      <c r="F52" s="310"/>
      <c r="G52" s="312"/>
    </row>
    <row r="55" spans="1:7" ht="15">
      <c r="B55" s="314" t="s">
        <v>2422</v>
      </c>
      <c r="C55" s="315"/>
    </row>
    <row r="56" spans="1:7">
      <c r="B56" s="317" t="s">
        <v>1513</v>
      </c>
      <c r="C56" s="319">
        <f ca="1">1-C57</f>
        <v>0.57400000000000007</v>
      </c>
    </row>
    <row r="57" spans="1:7">
      <c r="B57" s="317" t="s">
        <v>1514</v>
      </c>
      <c r="C57" s="318">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福建省泉州市丰泽区城东组团华大片区，东至铁路，西至324国道，南邻通源街，北至城东街2012-16号地块一期出让国有建设用地使用权及在建建筑物房地产抵押价值预评估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5" t="str">
        <f>项目基本情况!B5</f>
        <v>泉州华大泰禾广场投资有限公司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康正预评字2018-1-0689号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1"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60493</v>
      </c>
      <c r="C2" s="243" t="s">
        <v>2323</v>
      </c>
      <c r="D2" s="2545" t="s">
        <v>70</v>
      </c>
      <c r="E2" s="1443" t="e">
        <f ca="1">SUMIF(INDIRECT("'"&amp;G2&amp;"'"&amp;"!A:A"),"承租人权益价值",INDIRECT("'"&amp;G2&amp;"'"&amp;"!c:c"))</f>
        <v>#REF!</v>
      </c>
      <c r="F2" s="2546" t="s">
        <v>2323</v>
      </c>
      <c r="G2" s="2547"/>
    </row>
    <row r="3" spans="1:8" s="244" customFormat="1" ht="18" customHeight="1" thickBot="1">
      <c r="A3" s="247" t="s">
        <v>2324</v>
      </c>
      <c r="B3" s="248">
        <f ca="1">ROUND(B2*10000/(IF(B1="",'数据-汇总表'!E3,INDIRECT("'数据-取费表'!k"&amp;$G$1))),0)</f>
        <v>6413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7546791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7546791</v>
      </c>
      <c r="D8" s="266"/>
      <c r="E8" s="264"/>
      <c r="F8" s="265"/>
      <c r="G8" s="2548"/>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7546791</v>
      </c>
      <c r="D10" s="1035">
        <f ca="1">IF(B1="",'数据-汇总表'!E6,IF(INDIRECT("'数据-取费表'!c"&amp;$G$1)="住宅",INDIRECT("'数据-取费表'!s"&amp;$G$1),INDIRECT("'数据-取费表'!k"&amp;$G$1)+INDIRECT("'数据-取费表'!s"&amp;$G$1)))</f>
        <v>94334.89</v>
      </c>
      <c r="E10" s="269">
        <f>'数据-取费表'!B28</f>
        <v>80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18866978</v>
      </c>
      <c r="D19" s="1039">
        <f ca="1">D9+D10</f>
        <v>94334.89</v>
      </c>
      <c r="E19" s="255">
        <f>'数据-取费表'!B31</f>
        <v>200</v>
      </c>
      <c r="F19" s="275"/>
      <c r="G19" s="2548"/>
    </row>
    <row r="20" spans="1:7" s="258" customFormat="1" ht="13.5" customHeight="1">
      <c r="A20" s="299" t="s">
        <v>2434</v>
      </c>
      <c r="B20" s="254" t="s">
        <v>2435</v>
      </c>
      <c r="C20" s="276">
        <f ca="1">ROUND((C5+C19)*F20,0)</f>
        <v>528275</v>
      </c>
      <c r="D20" s="276"/>
      <c r="E20" s="276"/>
      <c r="F20" s="277">
        <f>'数据-取费表'!B37</f>
        <v>0.02</v>
      </c>
      <c r="G20" s="278" t="s">
        <v>2436</v>
      </c>
    </row>
    <row r="21" spans="1:7" s="258" customFormat="1" ht="13.5" customHeight="1">
      <c r="A21" s="299" t="s">
        <v>2437</v>
      </c>
      <c r="B21" s="254" t="s">
        <v>2438</v>
      </c>
      <c r="C21" s="279">
        <f>F21</f>
        <v>0.03</v>
      </c>
      <c r="D21" s="280" t="s">
        <v>2439</v>
      </c>
      <c r="E21" s="276"/>
      <c r="F21" s="277">
        <f>'数据-取费表'!B38</f>
        <v>0.03</v>
      </c>
      <c r="G21" s="278" t="s">
        <v>2440</v>
      </c>
    </row>
    <row r="22" spans="1:7" s="258" customFormat="1" ht="13.5" customHeight="1">
      <c r="A22" s="299" t="s">
        <v>2441</v>
      </c>
      <c r="B22" s="254" t="s">
        <v>2442</v>
      </c>
      <c r="C22" s="1383">
        <f ca="1">ROUND(SUM(C23:C25),0)</f>
        <v>3983664</v>
      </c>
      <c r="D22" s="279">
        <f ca="1">C26</f>
        <v>2.2000000000000001E-3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1127309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2818272</v>
      </c>
      <c r="D24" s="282"/>
      <c r="E24" s="282"/>
      <c r="F24" s="283"/>
      <c r="G24" s="284" t="s">
        <v>2446</v>
      </c>
    </row>
    <row r="25" spans="1:7" s="258" customFormat="1" ht="24">
      <c r="A25" s="954" t="s">
        <v>2336</v>
      </c>
      <c r="B25" s="259" t="s">
        <v>2447</v>
      </c>
      <c r="C25" s="1384">
        <f ca="1">ROUND(IF('数据-取费表'!B22&lt;=1,C20*F22*'数据-取费表'!B22/2,C20*(POWER((1+F22),'数据-取费表'!B22/2)-1)),0)</f>
        <v>38083</v>
      </c>
      <c r="D25" s="282"/>
      <c r="E25" s="285"/>
      <c r="F25" s="283"/>
      <c r="G25" s="286" t="s">
        <v>2448</v>
      </c>
    </row>
    <row r="26" spans="1:7" s="258" customFormat="1">
      <c r="A26" s="954" t="s">
        <v>795</v>
      </c>
      <c r="B26" s="259" t="s">
        <v>2371</v>
      </c>
      <c r="C26" s="282">
        <f ca="1">ROUND(IF('数据-取费表'!B22&lt;=1,F21*F22*'数据-取费表'!B22/2,F21*(POWER((1+F22),'数据-取费表'!B22/2)-1)),4)</f>
        <v>2.2000000000000001E-3</v>
      </c>
      <c r="D26" s="282"/>
      <c r="E26" s="285"/>
      <c r="F26" s="283"/>
      <c r="G26" s="287"/>
    </row>
    <row r="27" spans="1:7" s="258" customFormat="1" ht="24.75">
      <c r="A27" s="299" t="s">
        <v>2372</v>
      </c>
      <c r="B27" s="288" t="s">
        <v>2373</v>
      </c>
      <c r="C27" s="289">
        <f ca="1">C28</f>
        <v>3502466</v>
      </c>
      <c r="D27" s="279">
        <f ca="1">C29</f>
        <v>3.8999999999999998E-3</v>
      </c>
      <c r="E27" s="280" t="s">
        <v>2374</v>
      </c>
      <c r="F27" s="290">
        <f ca="1">IF(B1="",'数据-取费表'!Q16,INDIRECT("'数据-取费表'!q"&amp;$G$1))</f>
        <v>0.13</v>
      </c>
      <c r="G27" s="291" t="s">
        <v>2375</v>
      </c>
    </row>
    <row r="28" spans="1:7" s="258" customFormat="1" ht="13.5" customHeight="1">
      <c r="A28" s="954" t="s">
        <v>791</v>
      </c>
      <c r="B28" s="292" t="s">
        <v>2376</v>
      </c>
      <c r="C28" s="293">
        <f ca="1">ROUND((C5+C19+C20)*F27,0)</f>
        <v>3502466</v>
      </c>
      <c r="D28" s="279"/>
      <c r="E28" s="280"/>
      <c r="F28" s="290"/>
      <c r="G28" s="291"/>
    </row>
    <row r="29" spans="1:7" s="258" customFormat="1" ht="13.5" customHeight="1">
      <c r="A29" s="954" t="s">
        <v>792</v>
      </c>
      <c r="B29" s="292" t="s">
        <v>2377</v>
      </c>
      <c r="C29" s="282">
        <f ca="1">ROUND(C21*F27,4)</f>
        <v>3.8999999999999998E-3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37808230</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421180096</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384988630</v>
      </c>
      <c r="D34" s="261"/>
      <c r="E34" s="264"/>
      <c r="F34" s="301"/>
      <c r="G34" s="263"/>
    </row>
    <row r="35" spans="1:7" ht="13.5" customHeight="1">
      <c r="A35" s="954" t="s">
        <v>796</v>
      </c>
      <c r="B35" s="259" t="s">
        <v>2387</v>
      </c>
      <c r="C35" s="264">
        <f ca="1">ROUND(C34*F35,0)</f>
        <v>11549659</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18866978</v>
      </c>
      <c r="D37" s="261">
        <f ca="1">D19</f>
        <v>94334.89</v>
      </c>
      <c r="E37" s="293">
        <f>'数据-取费表'!B35</f>
        <v>200</v>
      </c>
      <c r="F37" s="303"/>
      <c r="G37" s="305"/>
    </row>
    <row r="38" spans="1:7" ht="13.5" customHeight="1">
      <c r="A38" s="954" t="s">
        <v>799</v>
      </c>
      <c r="B38" s="259" t="s">
        <v>2393</v>
      </c>
      <c r="C38" s="264">
        <f ca="1">ROUND(C34*F38,0)</f>
        <v>5774829</v>
      </c>
      <c r="D38" s="264"/>
      <c r="E38" s="264"/>
      <c r="F38" s="303">
        <f>'数据-取费表'!B36</f>
        <v>1.4999999999999999E-2</v>
      </c>
      <c r="G38" s="263" t="s">
        <v>2388</v>
      </c>
    </row>
    <row r="39" spans="1:7" s="258" customFormat="1" ht="13.5" customHeight="1">
      <c r="A39" s="299" t="s">
        <v>2394</v>
      </c>
      <c r="B39" s="254" t="s">
        <v>2395</v>
      </c>
      <c r="C39" s="276">
        <f ca="1">ROUND(C33*F20,0)</f>
        <v>8423602</v>
      </c>
      <c r="D39" s="276"/>
      <c r="E39" s="276"/>
      <c r="F39" s="277"/>
      <c r="G39" s="278" t="s">
        <v>2396</v>
      </c>
    </row>
    <row r="40" spans="1:7" s="258" customFormat="1" ht="13.5" customHeight="1">
      <c r="A40" s="299" t="s">
        <v>2397</v>
      </c>
      <c r="B40" s="254" t="s">
        <v>2398</v>
      </c>
      <c r="C40" s="1731">
        <f>F21</f>
        <v>0.03</v>
      </c>
      <c r="D40" s="280" t="s">
        <v>2399</v>
      </c>
      <c r="E40" s="276"/>
      <c r="F40" s="277"/>
      <c r="G40" s="278" t="s">
        <v>2400</v>
      </c>
    </row>
    <row r="41" spans="1:7" s="258" customFormat="1" ht="13.5" customHeight="1">
      <c r="A41" s="299" t="s">
        <v>2401</v>
      </c>
      <c r="B41" s="254" t="s">
        <v>2402</v>
      </c>
      <c r="C41" s="276">
        <f ca="1">ROUND(SUM(C42:C43),0)</f>
        <v>30969921</v>
      </c>
      <c r="D41" s="279">
        <f ca="1">C44</f>
        <v>2.2000000000000001E-3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30362668</v>
      </c>
      <c r="D42" s="282"/>
      <c r="E42" s="282"/>
      <c r="F42" s="283"/>
      <c r="G42" s="3158" t="s">
        <v>2451</v>
      </c>
    </row>
    <row r="43" spans="1:7" ht="13.5" customHeight="1">
      <c r="A43" s="954" t="s">
        <v>792</v>
      </c>
      <c r="B43" s="259" t="s">
        <v>2405</v>
      </c>
      <c r="C43" s="282">
        <f ca="1">ROUND(IF('数据-取费表'!B22&lt;=1,C39*F22*'数据-取费表'!B20/2,C39*(POWER((1+F22),'数据-取费表'!B20/2)-1)),0)</f>
        <v>607253</v>
      </c>
      <c r="D43" s="282"/>
      <c r="E43" s="282"/>
      <c r="F43" s="283"/>
      <c r="G43" s="3159"/>
    </row>
    <row r="44" spans="1:7" ht="13.5" customHeight="1">
      <c r="A44" s="954" t="s">
        <v>793</v>
      </c>
      <c r="B44" s="259" t="s">
        <v>2406</v>
      </c>
      <c r="C44" s="282">
        <f ca="1">ROUND(IF('数据-取费表'!B22&lt;=1,C40*F22*'数据-取费表'!B20/2,C40*(POWER((1+F22),'数据-取费表'!B20/2)-1)),4)</f>
        <v>2.2000000000000001E-3</v>
      </c>
      <c r="D44" s="282"/>
      <c r="E44" s="282"/>
      <c r="F44" s="283"/>
      <c r="G44" s="3160"/>
    </row>
    <row r="45" spans="1:7" s="258" customFormat="1" ht="13.5" customHeight="1">
      <c r="A45" s="299" t="s">
        <v>2407</v>
      </c>
      <c r="B45" s="288" t="s">
        <v>2373</v>
      </c>
      <c r="C45" s="289">
        <f ca="1">C46</f>
        <v>55848481</v>
      </c>
      <c r="D45" s="279">
        <f ca="1">C47</f>
        <v>3.8999999999999998E-3</v>
      </c>
      <c r="E45" s="280" t="s">
        <v>2399</v>
      </c>
      <c r="F45" s="290"/>
      <c r="G45" s="291" t="s">
        <v>2408</v>
      </c>
    </row>
    <row r="46" spans="1:7" s="258" customFormat="1" ht="13.5" customHeight="1">
      <c r="A46" s="954" t="s">
        <v>791</v>
      </c>
      <c r="B46" s="292" t="s">
        <v>2409</v>
      </c>
      <c r="C46" s="293">
        <f ca="1">ROUND((C33+C39)*F27,0)</f>
        <v>55848481</v>
      </c>
      <c r="D46" s="307"/>
      <c r="E46" s="280"/>
      <c r="F46" s="290"/>
      <c r="G46" s="291"/>
    </row>
    <row r="47" spans="1:7" s="258" customFormat="1" ht="13.5" customHeight="1">
      <c r="A47" s="954" t="s">
        <v>792</v>
      </c>
      <c r="B47" s="292" t="s">
        <v>2410</v>
      </c>
      <c r="C47" s="282">
        <f ca="1">ROUND(C40*F27,4)</f>
        <v>3.8999999999999998E-3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567122886</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567122886</v>
      </c>
      <c r="D51" s="276"/>
      <c r="E51" s="276"/>
      <c r="F51" s="308"/>
      <c r="G51" s="278" t="s">
        <v>2420</v>
      </c>
    </row>
    <row r="52" spans="1:7" s="252" customFormat="1" ht="16.5" thickBot="1">
      <c r="A52" s="309" t="s">
        <v>2421</v>
      </c>
      <c r="B52" s="310"/>
      <c r="C52" s="311">
        <f ca="1">C31+C51</f>
        <v>604931116</v>
      </c>
      <c r="D52" s="310"/>
      <c r="E52" s="310"/>
      <c r="F52" s="310"/>
      <c r="G52" s="312"/>
    </row>
    <row r="55" spans="1:7" ht="15">
      <c r="B55" s="314" t="s">
        <v>2422</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I31" sqref="I3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21424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2271</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6" t="s">
        <v>2640</v>
      </c>
      <c r="AC4" s="3175" t="s">
        <v>2641</v>
      </c>
    </row>
    <row r="5" spans="1:30" ht="15">
      <c r="A5" s="404"/>
      <c r="B5" s="405"/>
      <c r="C5" s="3200" t="s">
        <v>3134</v>
      </c>
      <c r="D5" s="3196"/>
      <c r="E5" s="3203" t="s">
        <v>3137</v>
      </c>
      <c r="F5" s="3204"/>
      <c r="G5" s="3195" t="s">
        <v>3138</v>
      </c>
      <c r="H5" s="3196"/>
      <c r="I5" s="3195" t="s">
        <v>3139</v>
      </c>
      <c r="J5" s="3196"/>
      <c r="K5" s="610"/>
      <c r="L5" s="1133"/>
      <c r="M5" s="1134"/>
      <c r="N5" s="1134"/>
      <c r="O5" s="1134"/>
      <c r="P5" s="3183"/>
      <c r="Q5" s="3184"/>
      <c r="R5" s="3189"/>
      <c r="S5" s="3190"/>
      <c r="T5" s="3189"/>
      <c r="U5" s="3190"/>
      <c r="V5" s="3174"/>
      <c r="W5" s="3174"/>
      <c r="X5" s="1816"/>
      <c r="Y5" s="3189"/>
      <c r="Z5" s="3190"/>
      <c r="AA5" s="3176"/>
      <c r="AB5" s="3176"/>
      <c r="AC5" s="3176"/>
    </row>
    <row r="6" spans="1:30" ht="63.75" customHeight="1" thickBot="1">
      <c r="A6" s="406"/>
      <c r="B6" s="407"/>
      <c r="C6" s="3193" t="s">
        <v>3135</v>
      </c>
      <c r="D6" s="3194"/>
      <c r="E6" s="3201" t="s">
        <v>3136</v>
      </c>
      <c r="F6" s="3202"/>
      <c r="G6" s="3193" t="s">
        <v>3140</v>
      </c>
      <c r="H6" s="3194"/>
      <c r="I6" s="3193" t="s">
        <v>3141</v>
      </c>
      <c r="J6" s="3194"/>
      <c r="K6" s="610" t="s">
        <v>2539</v>
      </c>
      <c r="L6" s="1133"/>
      <c r="M6" s="1134"/>
      <c r="N6" s="1134"/>
      <c r="O6" s="1134"/>
      <c r="P6" s="3185"/>
      <c r="Q6" s="3186"/>
      <c r="R6" s="3189"/>
      <c r="S6" s="3190"/>
      <c r="T6" s="3191"/>
      <c r="U6" s="3192"/>
      <c r="V6" s="3174"/>
      <c r="W6" s="3174"/>
      <c r="X6" s="1816"/>
      <c r="Y6" s="3191"/>
      <c r="Z6" s="3192"/>
      <c r="AA6" s="3177"/>
      <c r="AB6" s="3177"/>
      <c r="AC6" s="3177"/>
    </row>
    <row r="7" spans="1:30" s="117" customFormat="1" ht="15.75" thickBot="1">
      <c r="A7" s="408" t="s">
        <v>2540</v>
      </c>
      <c r="B7" s="409"/>
      <c r="C7" s="410">
        <f>'数据-取费表'!B2</f>
        <v>43369</v>
      </c>
      <c r="D7" s="411">
        <v>100</v>
      </c>
      <c r="E7" s="412">
        <v>43336</v>
      </c>
      <c r="F7" s="413">
        <f>SUMIF(70:70,YEAR(E7)&amp;"-"&amp;INT((MONTH(E7)+2)/3),71:71)</f>
        <v>100</v>
      </c>
      <c r="G7" s="2692">
        <v>43325</v>
      </c>
      <c r="H7" s="411">
        <f>SUMIF(70:70,YEAR(G7)&amp;"-"&amp;INT((MONTH(G7)+2)/3),71:71)</f>
        <v>100</v>
      </c>
      <c r="I7" s="2692">
        <v>43166</v>
      </c>
      <c r="J7" s="411">
        <f>SUMIF(70:70,YEAR(I7)&amp;"-"&amp;INT((MONTH(I7)+2)/3),71:71)</f>
        <v>98</v>
      </c>
      <c r="K7" s="611"/>
      <c r="L7" s="1135"/>
      <c r="M7" s="1136"/>
      <c r="N7" s="1136"/>
      <c r="O7" s="1136"/>
      <c r="P7" s="3197" t="s">
        <v>2541</v>
      </c>
      <c r="Q7" s="3199"/>
      <c r="R7" s="770" t="s">
        <v>17</v>
      </c>
      <c r="S7" s="771">
        <f t="shared" ref="S7:S15" si="0">F7</f>
        <v>100</v>
      </c>
      <c r="T7" s="770" t="s">
        <v>17</v>
      </c>
      <c r="U7" s="771">
        <f t="shared" ref="U7:U15" si="1">H7</f>
        <v>100</v>
      </c>
      <c r="V7" s="770" t="s">
        <v>17</v>
      </c>
      <c r="W7" s="771">
        <f t="shared" ref="W7:W15" si="2">J7</f>
        <v>98</v>
      </c>
      <c r="X7" s="772"/>
      <c r="Y7" s="3197" t="s">
        <v>2541</v>
      </c>
      <c r="Z7" s="3198"/>
      <c r="AA7" s="773">
        <f>D7/F7</f>
        <v>1</v>
      </c>
      <c r="AB7" s="773">
        <f>D7/H7</f>
        <v>1</v>
      </c>
      <c r="AC7" s="773">
        <f>D7/J7</f>
        <v>1.0204081632653061</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97" t="s">
        <v>2544</v>
      </c>
      <c r="Q8" s="3198"/>
      <c r="R8" s="770" t="s">
        <v>17</v>
      </c>
      <c r="S8" s="771">
        <f t="shared" si="0"/>
        <v>100</v>
      </c>
      <c r="T8" s="770" t="s">
        <v>17</v>
      </c>
      <c r="U8" s="771">
        <f t="shared" si="1"/>
        <v>100</v>
      </c>
      <c r="V8" s="770" t="s">
        <v>17</v>
      </c>
      <c r="W8" s="771">
        <f t="shared" si="2"/>
        <v>100</v>
      </c>
      <c r="X8" s="772"/>
      <c r="Y8" s="3197" t="s">
        <v>2544</v>
      </c>
      <c r="Z8" s="3198"/>
      <c r="AA8" s="773">
        <f t="shared" ref="AA8:AA45" si="3">D8/F8</f>
        <v>1</v>
      </c>
      <c r="AB8" s="773">
        <f t="shared" ref="AB8:AB45" si="4">D8/H8</f>
        <v>1</v>
      </c>
      <c r="AC8" s="773">
        <f t="shared" ref="AC8:AC45" si="5">D8/J8</f>
        <v>1</v>
      </c>
    </row>
    <row r="9" spans="1:30" s="117" customFormat="1">
      <c r="A9" s="415" t="s">
        <v>2545</v>
      </c>
      <c r="B9" s="71" t="s">
        <v>2546</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168"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30" s="427" customFormat="1" ht="27">
      <c r="A10" s="421"/>
      <c r="B10" s="422" t="s">
        <v>2549</v>
      </c>
      <c r="C10" s="2953" t="s">
        <v>3143</v>
      </c>
      <c r="D10" s="136">
        <v>100</v>
      </c>
      <c r="E10" s="465" t="s">
        <v>3142</v>
      </c>
      <c r="F10" s="136">
        <f>ROUND(100/'数据-取费表'!G16,0)</f>
        <v>104</v>
      </c>
      <c r="G10" s="465" t="s">
        <v>3142</v>
      </c>
      <c r="H10" s="136">
        <f>ROUND(100/'数据-取费表'!G16,0)</f>
        <v>104</v>
      </c>
      <c r="I10" s="465" t="s">
        <v>3142</v>
      </c>
      <c r="J10" s="136">
        <f>ROUND(100/'数据-取费表'!G16,0)</f>
        <v>104</v>
      </c>
      <c r="K10" s="672"/>
      <c r="L10" s="1138"/>
      <c r="M10" s="1139"/>
      <c r="N10" s="1139"/>
      <c r="O10" s="1140"/>
      <c r="P10" s="3168"/>
      <c r="Q10" s="1798"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30" ht="15.75" thickBot="1">
      <c r="A11" s="428"/>
      <c r="B11" s="422" t="s">
        <v>2550</v>
      </c>
      <c r="C11" s="429">
        <v>4.5</v>
      </c>
      <c r="D11" s="136">
        <v>100</v>
      </c>
      <c r="E11" s="429">
        <v>0.8</v>
      </c>
      <c r="F11" s="136">
        <f>LOOKUP(E11,80:80,81:81)-LOOKUP(C11,80:80,81:81)+100</f>
        <v>120</v>
      </c>
      <c r="G11" s="430">
        <v>1.2</v>
      </c>
      <c r="H11" s="136">
        <f>LOOKUP(G11,80:80,81:81)-LOOKUP(C11,80:80,81:81)+100</f>
        <v>115</v>
      </c>
      <c r="I11" s="429">
        <v>4.38</v>
      </c>
      <c r="J11" s="136">
        <f>LOOKUP(I11,80:80,81:81)-LOOKUP(C11,80:80,81:81)+100</f>
        <v>100</v>
      </c>
      <c r="K11" s="673">
        <v>5</v>
      </c>
      <c r="L11" s="1141"/>
      <c r="M11" s="1134"/>
      <c r="N11" s="1134"/>
      <c r="O11" s="1142"/>
      <c r="P11" s="3168"/>
      <c r="Q11" s="1798" t="str">
        <f t="shared" si="6"/>
        <v>容积率</v>
      </c>
      <c r="R11" s="770" t="s">
        <v>17</v>
      </c>
      <c r="S11" s="771">
        <f t="shared" si="0"/>
        <v>120</v>
      </c>
      <c r="T11" s="770" t="s">
        <v>17</v>
      </c>
      <c r="U11" s="771">
        <f t="shared" si="1"/>
        <v>115</v>
      </c>
      <c r="V11" s="770" t="s">
        <v>17</v>
      </c>
      <c r="W11" s="771">
        <f t="shared" si="2"/>
        <v>100</v>
      </c>
      <c r="X11" s="772"/>
      <c r="Y11" s="3016"/>
      <c r="Z11" s="55" t="str">
        <f t="shared" si="7"/>
        <v>容积率</v>
      </c>
      <c r="AA11" s="773">
        <f t="shared" si="3"/>
        <v>0.83333333333333337</v>
      </c>
      <c r="AB11" s="773">
        <f t="shared" si="4"/>
        <v>0.86956521739130432</v>
      </c>
      <c r="AC11" s="773">
        <f t="shared" si="5"/>
        <v>1</v>
      </c>
    </row>
    <row r="12" spans="1:30" s="117" customFormat="1" ht="15" hidden="1">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08">
      <c r="A15" s="440" t="s">
        <v>2551</v>
      </c>
      <c r="B15" s="69" t="s">
        <v>2082</v>
      </c>
      <c r="C15" s="2600" t="str">
        <f>估价对象房地状况!C15</f>
        <v>估价对象周边居住用地比例较大、居住小区规模较大和社区发展完善程度较好，综合评价居住社区成熟度较好。</v>
      </c>
      <c r="D15" s="441">
        <v>100</v>
      </c>
      <c r="E15" s="2954" t="s">
        <v>3159</v>
      </c>
      <c r="F15" s="441">
        <f>SUMIF(88:88,E16,89:89)-SUMIF(88:88,C16,89:89)+100</f>
        <v>96</v>
      </c>
      <c r="G15" s="2954" t="s">
        <v>3169</v>
      </c>
      <c r="H15" s="441">
        <f>SUMIF(88:88,G16,89:89)-SUMIF(88:88,C16,89:89)+100</f>
        <v>98</v>
      </c>
      <c r="I15" s="2954" t="s">
        <v>3169</v>
      </c>
      <c r="J15" s="441">
        <f>SUMIF(88:88,I16,89:89)-SUMIF(88:88,C16,89:89)+100</f>
        <v>98</v>
      </c>
      <c r="K15" s="673">
        <v>2</v>
      </c>
      <c r="L15" s="1143"/>
      <c r="M15" s="1134"/>
      <c r="N15" s="1134"/>
      <c r="O15" s="1142"/>
      <c r="P15" s="3170" t="s">
        <v>2552</v>
      </c>
      <c r="Q15" s="1813" t="str">
        <f t="shared" si="6"/>
        <v>居住社区成熟度</v>
      </c>
      <c r="R15" s="774" t="s">
        <v>17</v>
      </c>
      <c r="S15" s="775">
        <f t="shared" si="0"/>
        <v>96</v>
      </c>
      <c r="T15" s="774" t="s">
        <v>17</v>
      </c>
      <c r="U15" s="775">
        <f t="shared" si="1"/>
        <v>98</v>
      </c>
      <c r="V15" s="774" t="s">
        <v>17</v>
      </c>
      <c r="W15" s="775">
        <f t="shared" si="2"/>
        <v>98</v>
      </c>
      <c r="X15" s="1816"/>
      <c r="Y15" s="3170" t="s">
        <v>2552</v>
      </c>
      <c r="Z15" s="1817" t="str">
        <f t="shared" si="7"/>
        <v>居住社区成熟度</v>
      </c>
      <c r="AA15" s="1814">
        <f t="shared" si="3"/>
        <v>1.0416666666666667</v>
      </c>
      <c r="AB15" s="1814">
        <f t="shared" si="4"/>
        <v>1.0204081632653061</v>
      </c>
      <c r="AC15" s="1814">
        <f t="shared" si="5"/>
        <v>1.0204081632653061</v>
      </c>
    </row>
    <row r="16" spans="1:30" ht="15">
      <c r="A16" s="428"/>
      <c r="B16" s="446"/>
      <c r="C16" s="447" t="s">
        <v>3083</v>
      </c>
      <c r="D16" s="448"/>
      <c r="E16" s="2602" t="s">
        <v>3158</v>
      </c>
      <c r="F16" s="448"/>
      <c r="G16" s="447" t="s">
        <v>3084</v>
      </c>
      <c r="H16" s="450"/>
      <c r="I16" s="447" t="s">
        <v>3084</v>
      </c>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99.75">
      <c r="A17" s="428"/>
      <c r="B17" s="451" t="s">
        <v>2645</v>
      </c>
      <c r="C17" s="2660" t="str">
        <f>估价对象房地状况!C16</f>
        <v>估价对象位于丰泽区城东组团华大片区，周边商业氛围成熟度一般，人流量一般，商业繁华度一般。</v>
      </c>
      <c r="D17" s="450">
        <v>100</v>
      </c>
      <c r="E17" s="2955" t="s">
        <v>3160</v>
      </c>
      <c r="F17" s="450">
        <f>SUMIF(90:90,E18,91:91)-SUMIF(90:90,C18,91:91)+100</f>
        <v>97</v>
      </c>
      <c r="G17" s="2955" t="s">
        <v>3168</v>
      </c>
      <c r="H17" s="455">
        <f>SUMIF(90:90,G18,91:91)-SUMIF(90:90,C18,91:91)+100</f>
        <v>100</v>
      </c>
      <c r="I17" s="2955" t="s">
        <v>3173</v>
      </c>
      <c r="J17" s="455">
        <f>SUMIF(90:90,I18,91:91)-SUMIF(90:90,C18,91:91)+100</f>
        <v>97</v>
      </c>
      <c r="K17" s="673">
        <v>3</v>
      </c>
      <c r="L17" s="1143"/>
      <c r="M17" s="1134"/>
      <c r="N17" s="1134"/>
      <c r="O17" s="1142"/>
      <c r="P17" s="3171"/>
      <c r="Q17" s="1813" t="str">
        <f>B17</f>
        <v>商业繁华度</v>
      </c>
      <c r="R17" s="774" t="s">
        <v>17</v>
      </c>
      <c r="S17" s="775">
        <f>F17</f>
        <v>97</v>
      </c>
      <c r="T17" s="774" t="s">
        <v>17</v>
      </c>
      <c r="U17" s="775">
        <f>H17</f>
        <v>100</v>
      </c>
      <c r="V17" s="774" t="s">
        <v>17</v>
      </c>
      <c r="W17" s="775">
        <f>J17</f>
        <v>97</v>
      </c>
      <c r="X17" s="1816"/>
      <c r="Y17" s="3171"/>
      <c r="Z17" s="1817" t="str">
        <f>Q17</f>
        <v>商业繁华度</v>
      </c>
      <c r="AA17" s="1814">
        <f t="shared" si="3"/>
        <v>1.0309278350515463</v>
      </c>
      <c r="AB17" s="1814">
        <f t="shared" si="4"/>
        <v>1</v>
      </c>
      <c r="AC17" s="1814">
        <f t="shared" si="5"/>
        <v>1.0309278350515463</v>
      </c>
    </row>
    <row r="18" spans="1:29" ht="15">
      <c r="A18" s="428"/>
      <c r="B18" s="456"/>
      <c r="C18" s="2605" t="s">
        <v>3084</v>
      </c>
      <c r="D18" s="450"/>
      <c r="E18" s="2607" t="s">
        <v>3158</v>
      </c>
      <c r="F18" s="450"/>
      <c r="G18" s="2605" t="s">
        <v>3084</v>
      </c>
      <c r="H18" s="448"/>
      <c r="I18" s="2605" t="s">
        <v>3158</v>
      </c>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114">
      <c r="A19" s="428"/>
      <c r="B19" s="451" t="s">
        <v>2679</v>
      </c>
      <c r="C19" s="2660" t="str">
        <f>估价对象房地状况!C17</f>
        <v>估价对象位于丰泽区城东组团华大片区，周边办公楼项目较多，入驻率较高，有兴业大厦、博亚大厦等，办公集聚程度较好。</v>
      </c>
      <c r="D19" s="455">
        <v>100</v>
      </c>
      <c r="E19" s="2957" t="s">
        <v>3165</v>
      </c>
      <c r="F19" s="455">
        <f>SUMIF(92:92,E20,93:93)-SUMIF(92:92,C20,93:93)+100</f>
        <v>97</v>
      </c>
      <c r="G19" s="2957" t="s">
        <v>3170</v>
      </c>
      <c r="H19" s="450">
        <f>SUMIF(92:92,G20,93:93)-SUMIF(92:92,C20,93:93)+100</f>
        <v>97</v>
      </c>
      <c r="I19" s="2957" t="s">
        <v>3174</v>
      </c>
      <c r="J19" s="450">
        <f>SUMIF(92:92,I20,93:93)-SUMIF(92:92,C20,93:93)+100</f>
        <v>94</v>
      </c>
      <c r="K19" s="673">
        <v>3</v>
      </c>
      <c r="L19" s="1143"/>
      <c r="M19" s="1134"/>
      <c r="N19" s="1134"/>
      <c r="O19" s="1142"/>
      <c r="P19" s="3171"/>
      <c r="Q19" s="1813" t="str">
        <f>B19</f>
        <v>办公集聚程度</v>
      </c>
      <c r="R19" s="774" t="s">
        <v>17</v>
      </c>
      <c r="S19" s="775">
        <f>F19</f>
        <v>97</v>
      </c>
      <c r="T19" s="774" t="s">
        <v>17</v>
      </c>
      <c r="U19" s="775">
        <f>H19</f>
        <v>97</v>
      </c>
      <c r="V19" s="774" t="s">
        <v>17</v>
      </c>
      <c r="W19" s="775">
        <f>J19</f>
        <v>94</v>
      </c>
      <c r="X19" s="1816"/>
      <c r="Y19" s="3171"/>
      <c r="Z19" s="1817" t="str">
        <f>Q19</f>
        <v>办公集聚程度</v>
      </c>
      <c r="AA19" s="1814">
        <f t="shared" si="3"/>
        <v>1.0309278350515463</v>
      </c>
      <c r="AB19" s="1814">
        <f t="shared" si="4"/>
        <v>1.0309278350515463</v>
      </c>
      <c r="AC19" s="1814">
        <f t="shared" si="5"/>
        <v>1.0638297872340425</v>
      </c>
    </row>
    <row r="20" spans="1:29" ht="15">
      <c r="A20" s="428"/>
      <c r="B20" s="456"/>
      <c r="C20" s="447" t="s">
        <v>3083</v>
      </c>
      <c r="D20" s="448"/>
      <c r="E20" s="447" t="s">
        <v>3084</v>
      </c>
      <c r="F20" s="448"/>
      <c r="G20" s="447" t="s">
        <v>3084</v>
      </c>
      <c r="H20" s="448"/>
      <c r="I20" s="447" t="s">
        <v>3158</v>
      </c>
      <c r="J20" s="448"/>
      <c r="K20" s="672"/>
      <c r="L20" s="1143"/>
      <c r="M20" s="1134"/>
      <c r="N20" s="1134"/>
      <c r="O20" s="1142"/>
      <c r="P20" s="3171"/>
      <c r="Q20" s="1813"/>
      <c r="R20" s="774"/>
      <c r="S20" s="775"/>
      <c r="T20" s="774"/>
      <c r="U20" s="775"/>
      <c r="V20" s="774"/>
      <c r="W20" s="775"/>
      <c r="X20" s="1816"/>
      <c r="Y20" s="3171"/>
      <c r="Z20" s="1817"/>
      <c r="AA20" s="1814">
        <v>1</v>
      </c>
      <c r="AB20" s="1814">
        <v>1</v>
      </c>
      <c r="AC20" s="1814">
        <v>1</v>
      </c>
    </row>
    <row r="21" spans="1:29" ht="128.25">
      <c r="A21" s="428"/>
      <c r="B21" s="451" t="s">
        <v>2701</v>
      </c>
      <c r="C21" s="2604" t="str">
        <f>估价对象房地状况!C18</f>
        <v>估价对象周边路网密集程度一般、公共交通通达情况一般，有7路、11路、35路等公共交通，停车便捷程度一般，综合评价交通便捷度一般。</v>
      </c>
      <c r="D21" s="450">
        <v>100</v>
      </c>
      <c r="E21" s="2955" t="s">
        <v>3166</v>
      </c>
      <c r="F21" s="455">
        <f>SUMIF(94:94,E22,95:95)-SUMIF(94:94,C22,95:95)+100</f>
        <v>97</v>
      </c>
      <c r="G21" s="452" t="s">
        <v>3171</v>
      </c>
      <c r="H21" s="450">
        <f>SUMIF(94:94,G22,95:95)-SUMIF(94:94,C22,95:95)+100</f>
        <v>100</v>
      </c>
      <c r="I21" s="452" t="s">
        <v>3175</v>
      </c>
      <c r="J21" s="450">
        <f>SUMIF(94:94,I22,95:95)-SUMIF(94:94,C22,95:95)+100</f>
        <v>100</v>
      </c>
      <c r="K21" s="673">
        <v>3</v>
      </c>
      <c r="L21" s="1143"/>
      <c r="M21" s="1134"/>
      <c r="N21" s="1134"/>
      <c r="O21" s="1142"/>
      <c r="P21" s="3171"/>
      <c r="Q21" s="1813" t="str">
        <f>B21</f>
        <v>交通便捷度</v>
      </c>
      <c r="R21" s="774" t="s">
        <v>17</v>
      </c>
      <c r="S21" s="775">
        <f>F21</f>
        <v>97</v>
      </c>
      <c r="T21" s="774" t="s">
        <v>17</v>
      </c>
      <c r="U21" s="775">
        <f>H21</f>
        <v>100</v>
      </c>
      <c r="V21" s="774" t="s">
        <v>17</v>
      </c>
      <c r="W21" s="775">
        <f>J21</f>
        <v>100</v>
      </c>
      <c r="X21" s="1816"/>
      <c r="Y21" s="3171"/>
      <c r="Z21" s="1817" t="str">
        <f>Q21</f>
        <v>交通便捷度</v>
      </c>
      <c r="AA21" s="1814">
        <f t="shared" si="3"/>
        <v>1.0309278350515463</v>
      </c>
      <c r="AB21" s="1814">
        <f t="shared" si="4"/>
        <v>1</v>
      </c>
      <c r="AC21" s="1814">
        <f t="shared" si="5"/>
        <v>1</v>
      </c>
    </row>
    <row r="22" spans="1:29" ht="15">
      <c r="A22" s="428"/>
      <c r="B22" s="1387"/>
      <c r="C22" s="447" t="s">
        <v>3084</v>
      </c>
      <c r="D22" s="450"/>
      <c r="E22" s="447" t="s">
        <v>3158</v>
      </c>
      <c r="F22" s="448"/>
      <c r="G22" s="447" t="s">
        <v>3084</v>
      </c>
      <c r="H22" s="448"/>
      <c r="I22" s="447" t="s">
        <v>3084</v>
      </c>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ht="51" customHeight="1">
      <c r="A23" s="404"/>
      <c r="B23" s="451" t="s">
        <v>2739</v>
      </c>
      <c r="C23" s="1392" t="str">
        <f>估价对象房地状况!C19</f>
        <v>周边多为住宅用地，区域土地利用方向较一致。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1"/>
      <c r="Q23" s="1813" t="str">
        <f t="shared" ref="Q23:Q37" si="8">B23</f>
        <v>区域土地利用方向</v>
      </c>
      <c r="R23" s="774" t="s">
        <v>17</v>
      </c>
      <c r="S23" s="775">
        <f>F23</f>
        <v>100</v>
      </c>
      <c r="T23" s="774" t="s">
        <v>17</v>
      </c>
      <c r="U23" s="775">
        <f>H23</f>
        <v>100</v>
      </c>
      <c r="V23" s="774" t="s">
        <v>17</v>
      </c>
      <c r="W23" s="775">
        <f>J23</f>
        <v>100</v>
      </c>
      <c r="X23" s="1816"/>
      <c r="Y23" s="3171"/>
      <c r="Z23" s="1817" t="str">
        <f>Q23</f>
        <v>区域土地利用方向</v>
      </c>
      <c r="AA23" s="1814">
        <f t="shared" si="3"/>
        <v>1</v>
      </c>
      <c r="AB23" s="1814">
        <f t="shared" si="4"/>
        <v>1</v>
      </c>
      <c r="AC23" s="1814">
        <f t="shared" si="5"/>
        <v>1</v>
      </c>
    </row>
    <row r="24" spans="1:29" ht="15">
      <c r="A24" s="404"/>
      <c r="B24" s="456"/>
      <c r="C24" s="616" t="s">
        <v>3084</v>
      </c>
      <c r="D24" s="448"/>
      <c r="E24" s="616" t="s">
        <v>3084</v>
      </c>
      <c r="F24" s="448"/>
      <c r="G24" s="616" t="s">
        <v>3084</v>
      </c>
      <c r="H24" s="448"/>
      <c r="I24" s="616" t="s">
        <v>3084</v>
      </c>
      <c r="J24" s="448"/>
      <c r="K24" s="812"/>
      <c r="L24" s="1143"/>
      <c r="M24" s="1134"/>
      <c r="N24" s="1134"/>
      <c r="O24" s="1142"/>
      <c r="P24" s="3171"/>
      <c r="Q24" s="1813"/>
      <c r="R24" s="774"/>
      <c r="S24" s="775"/>
      <c r="T24" s="774"/>
      <c r="U24" s="775"/>
      <c r="V24" s="774"/>
      <c r="W24" s="775"/>
      <c r="X24" s="1816"/>
      <c r="Y24" s="3171"/>
      <c r="Z24" s="1817"/>
      <c r="AA24" s="1814"/>
      <c r="AB24" s="1814"/>
      <c r="AC24" s="1814"/>
    </row>
    <row r="25" spans="1:29" ht="122.25">
      <c r="A25" s="404"/>
      <c r="B25" s="1387" t="s">
        <v>2740</v>
      </c>
      <c r="C25" s="2660" t="str">
        <f>估价对象房地状况!C20</f>
        <v>区域自然环境：绿化条件较好，2公里内无公园；人文环境：有华侨大学等人文景观；综合评价环境状况一般。</v>
      </c>
      <c r="D25" s="450">
        <v>100</v>
      </c>
      <c r="E25" s="452" t="s">
        <v>3167</v>
      </c>
      <c r="F25" s="450">
        <f>SUMIF(98:98,E26,99:99)-SUMIF(98:98,C26,99:99)+100</f>
        <v>97</v>
      </c>
      <c r="G25" s="452" t="s">
        <v>3172</v>
      </c>
      <c r="H25" s="450">
        <f>SUMIF(98:98,G26,99:99)-SUMIF(98:98,C26,99:99)+100</f>
        <v>100</v>
      </c>
      <c r="I25" s="452" t="s">
        <v>3176</v>
      </c>
      <c r="J25" s="450">
        <f>SUMIF(98:98,I26,99:99)-SUMIF(98:98,C26,99:99)+100</f>
        <v>100</v>
      </c>
      <c r="K25" s="673">
        <v>3</v>
      </c>
      <c r="L25" s="1143"/>
      <c r="M25" s="1134"/>
      <c r="N25" s="1134"/>
      <c r="O25" s="1142"/>
      <c r="P25" s="3171"/>
      <c r="Q25" s="1813" t="str">
        <f t="shared" si="8"/>
        <v>自然及人文环境状况</v>
      </c>
      <c r="R25" s="774" t="s">
        <v>17</v>
      </c>
      <c r="S25" s="775">
        <f>F25</f>
        <v>97</v>
      </c>
      <c r="T25" s="774" t="s">
        <v>17</v>
      </c>
      <c r="U25" s="775">
        <f>H25</f>
        <v>100</v>
      </c>
      <c r="V25" s="774" t="s">
        <v>17</v>
      </c>
      <c r="W25" s="775">
        <f>J25</f>
        <v>100</v>
      </c>
      <c r="X25" s="1816"/>
      <c r="Y25" s="3171"/>
      <c r="Z25" s="1817" t="str">
        <f>Q25</f>
        <v>自然及人文环境状况</v>
      </c>
      <c r="AA25" s="1814">
        <f t="shared" si="3"/>
        <v>1.0309278350515463</v>
      </c>
      <c r="AB25" s="1814">
        <f t="shared" si="4"/>
        <v>1</v>
      </c>
      <c r="AC25" s="1814">
        <f t="shared" si="5"/>
        <v>1</v>
      </c>
    </row>
    <row r="26" spans="1:29" ht="15">
      <c r="A26" s="404"/>
      <c r="B26" s="456"/>
      <c r="C26" s="447" t="s">
        <v>3084</v>
      </c>
      <c r="D26" s="448"/>
      <c r="E26" s="447" t="s">
        <v>3158</v>
      </c>
      <c r="F26" s="448"/>
      <c r="G26" s="447" t="s">
        <v>3084</v>
      </c>
      <c r="H26" s="448"/>
      <c r="I26" s="447" t="s">
        <v>3084</v>
      </c>
      <c r="J26" s="448"/>
      <c r="K26" s="672"/>
      <c r="L26" s="1143"/>
      <c r="M26" s="1134"/>
      <c r="N26" s="1134"/>
      <c r="O26" s="1142"/>
      <c r="P26" s="3171"/>
      <c r="Q26" s="1813"/>
      <c r="R26" s="774"/>
      <c r="S26" s="775"/>
      <c r="T26" s="774"/>
      <c r="U26" s="775"/>
      <c r="V26" s="774"/>
      <c r="W26" s="775"/>
      <c r="X26" s="1816"/>
      <c r="Y26" s="3171"/>
      <c r="Z26" s="1817"/>
      <c r="AA26" s="1814">
        <v>1</v>
      </c>
      <c r="AB26" s="1814">
        <v>1</v>
      </c>
      <c r="AC26" s="1814">
        <v>1</v>
      </c>
    </row>
    <row r="27" spans="1:29" s="117" customFormat="1" ht="202.5">
      <c r="A27" s="649"/>
      <c r="B27" s="1387" t="s">
        <v>2646</v>
      </c>
      <c r="C27" s="2604" t="str">
        <f>估价对象房地状况!C21</f>
        <v>估价对象所在区域2公里内有：银行（中国银行、泉州银行），购物（香港城购物中心、新天意购物广场），医院（丰泽常橙医院、华侨大学医院），学校（城东中学、鹤山小学）等，公共配套设施齐备情况较好。</v>
      </c>
      <c r="D27" s="450">
        <v>100</v>
      </c>
      <c r="E27" s="2955" t="s">
        <v>3177</v>
      </c>
      <c r="F27" s="450">
        <f>SUMIF(100:100,E28,101:101)-SUMIF(100:100,C28,101:101)+100</f>
        <v>95</v>
      </c>
      <c r="G27" s="2955" t="s">
        <v>3178</v>
      </c>
      <c r="H27" s="450">
        <f>SUMIF(100:100,G28,101:101)-SUMIF(100:100,C28,101:101)+100</f>
        <v>95</v>
      </c>
      <c r="I27" s="2955" t="s">
        <v>3183</v>
      </c>
      <c r="J27" s="450">
        <f>SUMIF(100:100,I28,101:101)-SUMIF(100:100,C28,101:101)+100</f>
        <v>90</v>
      </c>
      <c r="K27" s="673">
        <v>5</v>
      </c>
      <c r="L27" s="1135"/>
      <c r="M27" s="1136"/>
      <c r="N27" s="1136"/>
      <c r="O27" s="1137"/>
      <c r="P27" s="3171"/>
      <c r="Q27" s="1798" t="str">
        <f t="shared" si="8"/>
        <v>公共配套设施</v>
      </c>
      <c r="R27" s="770" t="s">
        <v>17</v>
      </c>
      <c r="S27" s="771">
        <f>F27</f>
        <v>95</v>
      </c>
      <c r="T27" s="770" t="s">
        <v>17</v>
      </c>
      <c r="U27" s="771">
        <f>H27</f>
        <v>95</v>
      </c>
      <c r="V27" s="770" t="s">
        <v>17</v>
      </c>
      <c r="W27" s="771">
        <f>J27</f>
        <v>90</v>
      </c>
      <c r="X27" s="772"/>
      <c r="Y27" s="3171"/>
      <c r="Z27" s="55" t="str">
        <f>Q27</f>
        <v>公共配套设施</v>
      </c>
      <c r="AA27" s="1814">
        <f>D27/F27</f>
        <v>1.0526315789473684</v>
      </c>
      <c r="AB27" s="1814">
        <f>D27/H27</f>
        <v>1.0526315789473684</v>
      </c>
      <c r="AC27" s="1814">
        <f>D27/J27</f>
        <v>1.1111111111111112</v>
      </c>
    </row>
    <row r="28" spans="1:29" s="117" customFormat="1" ht="15">
      <c r="A28" s="649"/>
      <c r="B28" s="456"/>
      <c r="C28" s="2696" t="s">
        <v>3083</v>
      </c>
      <c r="D28" s="448"/>
      <c r="E28" s="2608" t="s">
        <v>3084</v>
      </c>
      <c r="F28" s="448"/>
      <c r="G28" s="2696" t="s">
        <v>3084</v>
      </c>
      <c r="H28" s="448"/>
      <c r="I28" s="2696" t="s">
        <v>3158</v>
      </c>
      <c r="J28" s="448"/>
      <c r="K28" s="672"/>
      <c r="L28" s="1135"/>
      <c r="M28" s="1136"/>
      <c r="N28" s="1136"/>
      <c r="O28" s="1137"/>
      <c r="P28" s="3171"/>
      <c r="Q28" s="1798"/>
      <c r="R28" s="770"/>
      <c r="S28" s="771"/>
      <c r="T28" s="770"/>
      <c r="U28" s="771"/>
      <c r="V28" s="770"/>
      <c r="W28" s="771"/>
      <c r="X28" s="772"/>
      <c r="Y28" s="3171"/>
      <c r="Z28" s="55"/>
      <c r="AA28" s="1814">
        <v>1</v>
      </c>
      <c r="AB28" s="1814">
        <v>1</v>
      </c>
      <c r="AC28" s="1814">
        <v>1</v>
      </c>
    </row>
    <row r="29" spans="1:29" s="117" customFormat="1" ht="42.75">
      <c r="A29" s="649"/>
      <c r="B29" s="1387" t="s">
        <v>2647</v>
      </c>
      <c r="C29" s="2604" t="str">
        <f>估价对象房地状况!C22</f>
        <v>估价对象所在区域基础设施水平达到“五通”。</v>
      </c>
      <c r="D29" s="450">
        <v>100</v>
      </c>
      <c r="E29" s="452" t="s">
        <v>3162</v>
      </c>
      <c r="F29" s="450">
        <f>SUMIF(102:102,E30,103:103)-SUMIF(102:102,C30,103:103)+100</f>
        <v>100</v>
      </c>
      <c r="G29" s="452" t="s">
        <v>3162</v>
      </c>
      <c r="H29" s="450">
        <f>SUMIF(102:102,G30,103:103)-SUMIF(102:102,C30,103:103)+100</f>
        <v>100</v>
      </c>
      <c r="I29" s="454" t="s">
        <v>3162</v>
      </c>
      <c r="J29" s="450">
        <f>SUMIF(102:102,I30,103:103)-SUMIF(102:102,C30,103:103)+100</f>
        <v>100</v>
      </c>
      <c r="K29" s="673"/>
      <c r="L29" s="1135"/>
      <c r="M29" s="1136"/>
      <c r="N29" s="1136"/>
      <c r="O29" s="1137"/>
      <c r="P29" s="3171"/>
      <c r="Q29" s="1798"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4">
        <f>D29/F29</f>
        <v>1</v>
      </c>
      <c r="AB29" s="1814">
        <f>D29/H29</f>
        <v>1</v>
      </c>
      <c r="AC29" s="1814">
        <f>D29/J29</f>
        <v>1</v>
      </c>
    </row>
    <row r="30" spans="1:29" s="117" customFormat="1" ht="15">
      <c r="A30" s="649"/>
      <c r="B30" s="456"/>
      <c r="C30" s="2696"/>
      <c r="D30" s="448"/>
      <c r="E30" s="2697"/>
      <c r="F30" s="448"/>
      <c r="G30" s="2697"/>
      <c r="H30" s="448"/>
      <c r="I30" s="2697"/>
      <c r="J30" s="448"/>
      <c r="K30" s="672"/>
      <c r="L30" s="1135"/>
      <c r="M30" s="1136"/>
      <c r="N30" s="1136"/>
      <c r="O30" s="1137"/>
      <c r="P30" s="3171"/>
      <c r="Q30" s="1798"/>
      <c r="R30" s="770"/>
      <c r="S30" s="771"/>
      <c r="T30" s="770"/>
      <c r="U30" s="771"/>
      <c r="V30" s="770"/>
      <c r="W30" s="771"/>
      <c r="X30" s="772"/>
      <c r="Y30" s="3171"/>
      <c r="Z30" s="55"/>
      <c r="AA30" s="1814">
        <v>1</v>
      </c>
      <c r="AB30" s="1814">
        <v>1</v>
      </c>
      <c r="AC30" s="1814">
        <v>1</v>
      </c>
    </row>
    <row r="31" spans="1:29" ht="15">
      <c r="A31" s="428"/>
      <c r="B31" s="456" t="s">
        <v>2648</v>
      </c>
      <c r="C31" s="616" t="s">
        <v>3144</v>
      </c>
      <c r="D31" s="435">
        <v>100</v>
      </c>
      <c r="E31" s="634" t="s">
        <v>3145</v>
      </c>
      <c r="F31" s="435">
        <f>SUMIF(104:104,E31,105:105)-SUMIF(104:104,C31,105:105)+100</f>
        <v>94</v>
      </c>
      <c r="G31" s="634" t="s">
        <v>3145</v>
      </c>
      <c r="H31" s="435">
        <f>SUMIF(104:104,G31,105:105)-SUMIF(104:104,C31,105:105)+100</f>
        <v>94</v>
      </c>
      <c r="I31" s="634" t="s">
        <v>3274</v>
      </c>
      <c r="J31" s="435">
        <f>SUMIF(104:104,I31,105:105)-SUMIF(104:104,C31,105:105)+100</f>
        <v>97</v>
      </c>
      <c r="K31" s="673">
        <v>3</v>
      </c>
      <c r="L31" s="1143"/>
      <c r="M31" s="1134"/>
      <c r="N31" s="1134"/>
      <c r="O31" s="1142"/>
      <c r="P31" s="3171"/>
      <c r="Q31" s="1813" t="str">
        <f t="shared" si="8"/>
        <v>临街状况</v>
      </c>
      <c r="R31" s="774" t="s">
        <v>17</v>
      </c>
      <c r="S31" s="775">
        <f t="shared" ref="S31:S45" si="10">F31</f>
        <v>94</v>
      </c>
      <c r="T31" s="774" t="s">
        <v>17</v>
      </c>
      <c r="U31" s="775">
        <f t="shared" ref="U31:U45" si="11">H31</f>
        <v>94</v>
      </c>
      <c r="V31" s="774" t="s">
        <v>17</v>
      </c>
      <c r="W31" s="775">
        <f t="shared" ref="W31:W45" si="12">J31</f>
        <v>97</v>
      </c>
      <c r="X31" s="1816"/>
      <c r="Y31" s="3171"/>
      <c r="Z31" s="1817" t="str">
        <f t="shared" ref="Z31:Z45" si="13">Q31</f>
        <v>临街状况</v>
      </c>
      <c r="AA31" s="1814">
        <f t="shared" si="3"/>
        <v>1.0638297872340425</v>
      </c>
      <c r="AB31" s="1814">
        <f t="shared" si="4"/>
        <v>1.0638297872340425</v>
      </c>
      <c r="AC31" s="1814">
        <f t="shared" si="5"/>
        <v>1.0309278350515463</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1"/>
      <c r="Q32" s="1813" t="str">
        <f t="shared" si="8"/>
        <v>毗邻道路的类型与等级</v>
      </c>
      <c r="R32" s="774" t="s">
        <v>17</v>
      </c>
      <c r="S32" s="775">
        <f t="shared" si="10"/>
        <v>100</v>
      </c>
      <c r="T32" s="774" t="s">
        <v>17</v>
      </c>
      <c r="U32" s="775">
        <f t="shared" si="11"/>
        <v>100</v>
      </c>
      <c r="V32" s="774" t="s">
        <v>17</v>
      </c>
      <c r="W32" s="775">
        <f t="shared" si="12"/>
        <v>100</v>
      </c>
      <c r="X32" s="1816"/>
      <c r="Y32" s="3171"/>
      <c r="Z32" s="1817" t="str">
        <f t="shared" si="13"/>
        <v>毗邻道路的类型与等级</v>
      </c>
      <c r="AA32" s="1814">
        <f t="shared" si="3"/>
        <v>1</v>
      </c>
      <c r="AB32" s="1814">
        <f t="shared" si="4"/>
        <v>1</v>
      </c>
      <c r="AC32" s="1814">
        <f t="shared" si="5"/>
        <v>1</v>
      </c>
    </row>
    <row r="33" spans="1:29" ht="15">
      <c r="A33" s="428"/>
      <c r="B33" s="456"/>
      <c r="C33" s="447"/>
      <c r="D33" s="448"/>
      <c r="E33" s="2608"/>
      <c r="F33" s="448"/>
      <c r="G33" s="2608"/>
      <c r="H33" s="448"/>
      <c r="I33" s="447"/>
      <c r="J33" s="448"/>
      <c r="K33" s="613"/>
      <c r="L33" s="1143"/>
      <c r="M33" s="1134"/>
      <c r="N33" s="1134"/>
      <c r="O33" s="1142"/>
      <c r="P33" s="3171"/>
      <c r="Q33" s="1813"/>
      <c r="R33" s="774"/>
      <c r="S33" s="775"/>
      <c r="T33" s="774"/>
      <c r="U33" s="775"/>
      <c r="V33" s="774"/>
      <c r="W33" s="775"/>
      <c r="X33" s="1816"/>
      <c r="Y33" s="3171"/>
      <c r="Z33" s="1817"/>
      <c r="AA33" s="1814">
        <v>1</v>
      </c>
      <c r="AB33" s="1814">
        <v>1</v>
      </c>
      <c r="AC33" s="1814">
        <v>1</v>
      </c>
    </row>
    <row r="34" spans="1:29" ht="15.75"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1"/>
      <c r="Q34" s="1813" t="str">
        <f t="shared" si="8"/>
        <v>土地级别</v>
      </c>
      <c r="R34" s="774" t="s">
        <v>17</v>
      </c>
      <c r="S34" s="775">
        <f t="shared" si="10"/>
        <v>100</v>
      </c>
      <c r="T34" s="774" t="s">
        <v>17</v>
      </c>
      <c r="U34" s="775">
        <f t="shared" si="11"/>
        <v>100</v>
      </c>
      <c r="V34" s="774" t="s">
        <v>17</v>
      </c>
      <c r="W34" s="775">
        <f t="shared" si="12"/>
        <v>100</v>
      </c>
      <c r="X34" s="1816"/>
      <c r="Y34" s="3171"/>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1"/>
      <c r="Q35" s="1813">
        <f t="shared" si="8"/>
        <v>111</v>
      </c>
      <c r="R35" s="774" t="s">
        <v>17</v>
      </c>
      <c r="S35" s="775">
        <f t="shared" si="10"/>
        <v>100</v>
      </c>
      <c r="T35" s="774" t="s">
        <v>17</v>
      </c>
      <c r="U35" s="775">
        <f t="shared" si="11"/>
        <v>100</v>
      </c>
      <c r="V35" s="774" t="s">
        <v>17</v>
      </c>
      <c r="W35" s="775">
        <f t="shared" si="12"/>
        <v>100</v>
      </c>
      <c r="X35" s="1816"/>
      <c r="Y35" s="3171"/>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2" t="s">
        <v>2557</v>
      </c>
      <c r="Q36" s="1813">
        <f t="shared" si="8"/>
        <v>111</v>
      </c>
      <c r="R36" s="774" t="s">
        <v>17</v>
      </c>
      <c r="S36" s="775">
        <f t="shared" si="10"/>
        <v>100</v>
      </c>
      <c r="T36" s="774" t="s">
        <v>17</v>
      </c>
      <c r="U36" s="775">
        <f t="shared" si="11"/>
        <v>100</v>
      </c>
      <c r="V36" s="774" t="s">
        <v>17</v>
      </c>
      <c r="W36" s="775">
        <f t="shared" si="12"/>
        <v>100</v>
      </c>
      <c r="X36" s="1816"/>
      <c r="Y36" s="3173" t="s">
        <v>2557</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3"/>
      <c r="Q37" s="1813">
        <f t="shared" si="8"/>
        <v>111</v>
      </c>
      <c r="R37" s="777" t="s">
        <v>17</v>
      </c>
      <c r="S37" s="778">
        <f t="shared" si="10"/>
        <v>100</v>
      </c>
      <c r="T37" s="777" t="s">
        <v>17</v>
      </c>
      <c r="U37" s="778">
        <f t="shared" si="11"/>
        <v>100</v>
      </c>
      <c r="V37" s="777" t="s">
        <v>17</v>
      </c>
      <c r="W37" s="778">
        <f t="shared" si="12"/>
        <v>100</v>
      </c>
      <c r="X37" s="779"/>
      <c r="Y37" s="3173"/>
      <c r="Z37" s="780">
        <f t="shared" si="13"/>
        <v>111</v>
      </c>
      <c r="AA37" s="1814">
        <f t="shared" si="3"/>
        <v>1</v>
      </c>
      <c r="AB37" s="1814">
        <f t="shared" si="4"/>
        <v>1</v>
      </c>
      <c r="AC37" s="1814">
        <f t="shared" si="5"/>
        <v>1</v>
      </c>
    </row>
    <row r="38" spans="1:29" ht="15">
      <c r="A38" s="472" t="s">
        <v>2555</v>
      </c>
      <c r="B38" s="456" t="s">
        <v>2742</v>
      </c>
      <c r="C38" s="679">
        <v>54031</v>
      </c>
      <c r="D38" s="467">
        <v>100</v>
      </c>
      <c r="E38" s="679">
        <v>78613</v>
      </c>
      <c r="F38" s="467">
        <f>LOOKUP(E38,117:117,118:118)-LOOKUP(C38,117:117,118:118)+100</f>
        <v>100</v>
      </c>
      <c r="G38" s="679">
        <v>189930</v>
      </c>
      <c r="H38" s="467">
        <f>LOOKUP(G38,117:117,118:118)-LOOKUP(C38,117:117,118:118)+100</f>
        <v>102</v>
      </c>
      <c r="I38" s="530">
        <v>3146</v>
      </c>
      <c r="J38" s="467">
        <f>LOOKUP(I38,117:117,118:118)-LOOKUP(C38,117:117,118:118)+100</f>
        <v>98</v>
      </c>
      <c r="K38" s="613"/>
      <c r="L38" s="1143"/>
      <c r="M38" s="1134"/>
      <c r="N38" s="1134"/>
      <c r="O38" s="1142"/>
      <c r="P38" s="3173"/>
      <c r="Q38" s="1813" t="str">
        <f>B38</f>
        <v>宗地面积</v>
      </c>
      <c r="R38" s="774" t="s">
        <v>17</v>
      </c>
      <c r="S38" s="775">
        <f t="shared" si="10"/>
        <v>100</v>
      </c>
      <c r="T38" s="774" t="s">
        <v>17</v>
      </c>
      <c r="U38" s="775">
        <f t="shared" si="11"/>
        <v>102</v>
      </c>
      <c r="V38" s="774" t="s">
        <v>17</v>
      </c>
      <c r="W38" s="775">
        <f t="shared" si="12"/>
        <v>98</v>
      </c>
      <c r="X38" s="1816"/>
      <c r="Y38" s="3173"/>
      <c r="Z38" s="1817" t="str">
        <f t="shared" si="13"/>
        <v>宗地面积</v>
      </c>
      <c r="AA38" s="1814">
        <f t="shared" si="3"/>
        <v>1</v>
      </c>
      <c r="AB38" s="1814">
        <f t="shared" si="4"/>
        <v>0.98039215686274506</v>
      </c>
      <c r="AC38" s="1814">
        <f t="shared" si="5"/>
        <v>1.0204081632653061</v>
      </c>
    </row>
    <row r="39" spans="1:29" ht="15">
      <c r="A39" s="472"/>
      <c r="B39" s="422" t="s">
        <v>2743</v>
      </c>
      <c r="C39" s="2610" t="s">
        <v>3150</v>
      </c>
      <c r="D39" s="435">
        <v>100</v>
      </c>
      <c r="E39" s="2610" t="s">
        <v>3150</v>
      </c>
      <c r="F39" s="435">
        <f>SUMIF(119:119,E39,120:120)-SUMIF(119:119,C39,120:120)+100</f>
        <v>100</v>
      </c>
      <c r="G39" s="2610" t="s">
        <v>3150</v>
      </c>
      <c r="H39" s="435">
        <f>SUMIF(119:119,G39,120:120)-SUMIF(119:119,C39,120:120)+100</f>
        <v>100</v>
      </c>
      <c r="I39" s="2610" t="s">
        <v>3148</v>
      </c>
      <c r="J39" s="435">
        <f>SUMIF(119:119,I39,120:120)-SUMIF(119:119,C39,120:120)+100</f>
        <v>105</v>
      </c>
      <c r="K39" s="612">
        <v>5</v>
      </c>
      <c r="L39" s="1143"/>
      <c r="M39" s="1134"/>
      <c r="N39" s="1134"/>
      <c r="O39" s="1142"/>
      <c r="P39" s="3173"/>
      <c r="Q39" s="1813" t="str">
        <f t="shared" ref="Q39:Q45" si="14">B39</f>
        <v>宗地形状</v>
      </c>
      <c r="R39" s="774" t="s">
        <v>17</v>
      </c>
      <c r="S39" s="775">
        <f t="shared" si="10"/>
        <v>100</v>
      </c>
      <c r="T39" s="774" t="s">
        <v>17</v>
      </c>
      <c r="U39" s="775">
        <f t="shared" si="11"/>
        <v>100</v>
      </c>
      <c r="V39" s="774" t="s">
        <v>17</v>
      </c>
      <c r="W39" s="775">
        <f t="shared" si="12"/>
        <v>105</v>
      </c>
      <c r="X39" s="1816"/>
      <c r="Y39" s="3173"/>
      <c r="Z39" s="1817" t="str">
        <f t="shared" si="13"/>
        <v>宗地形状</v>
      </c>
      <c r="AA39" s="1814">
        <f t="shared" si="3"/>
        <v>1</v>
      </c>
      <c r="AB39" s="1814">
        <f t="shared" si="4"/>
        <v>1</v>
      </c>
      <c r="AC39" s="1814">
        <f t="shared" si="5"/>
        <v>0.95238095238095233</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173"/>
      <c r="Q40" s="1813" t="str">
        <f t="shared" si="14"/>
        <v>临街宽度及深度</v>
      </c>
      <c r="R40" s="774" t="s">
        <v>17</v>
      </c>
      <c r="S40" s="775">
        <f t="shared" si="10"/>
        <v>100</v>
      </c>
      <c r="T40" s="774" t="s">
        <v>17</v>
      </c>
      <c r="U40" s="775">
        <f t="shared" si="11"/>
        <v>100</v>
      </c>
      <c r="V40" s="774" t="s">
        <v>17</v>
      </c>
      <c r="W40" s="775">
        <f t="shared" si="12"/>
        <v>100</v>
      </c>
      <c r="X40" s="1816"/>
      <c r="Y40" s="3173"/>
      <c r="Z40" s="1817" t="str">
        <f t="shared" si="13"/>
        <v>临街宽度及深度</v>
      </c>
      <c r="AA40" s="1814">
        <f t="shared" si="3"/>
        <v>1</v>
      </c>
      <c r="AB40" s="1814">
        <f t="shared" si="4"/>
        <v>1</v>
      </c>
      <c r="AC40" s="1814">
        <f t="shared" si="5"/>
        <v>1</v>
      </c>
    </row>
    <row r="41" spans="1:29" s="117" customFormat="1" ht="15">
      <c r="A41" s="473"/>
      <c r="B41" s="422" t="s">
        <v>2745</v>
      </c>
      <c r="C41" s="2698" t="s">
        <v>3156</v>
      </c>
      <c r="D41" s="136">
        <v>100</v>
      </c>
      <c r="E41" s="2698" t="s">
        <v>3156</v>
      </c>
      <c r="F41" s="435">
        <f>SUMIF(123:123,E41,124:124)-SUMIF(123:123,C41,124:124)+100</f>
        <v>100</v>
      </c>
      <c r="G41" s="2698" t="s">
        <v>3156</v>
      </c>
      <c r="H41" s="435">
        <f>SUMIF(123:123,G41,124:124)-SUMIF(123:123,C41,124:124)+100</f>
        <v>100</v>
      </c>
      <c r="I41" s="2698" t="s">
        <v>3156</v>
      </c>
      <c r="J41" s="435">
        <f>SUMIF(123:123,I41,124:124)-SUMIF(123:123,C41,124:124)+100</f>
        <v>100</v>
      </c>
      <c r="K41" s="612"/>
      <c r="L41" s="1135"/>
      <c r="M41" s="1136"/>
      <c r="N41" s="1136"/>
      <c r="O41" s="1137"/>
      <c r="P41" s="3173"/>
      <c r="Q41" s="1813"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75" thickBot="1">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173" t="s">
        <v>2557</v>
      </c>
      <c r="Q42" s="1813" t="str">
        <f t="shared" si="14"/>
        <v>工程地质条件</v>
      </c>
      <c r="R42" s="774" t="s">
        <v>17</v>
      </c>
      <c r="S42" s="775">
        <f t="shared" si="10"/>
        <v>100</v>
      </c>
      <c r="T42" s="774" t="s">
        <v>17</v>
      </c>
      <c r="U42" s="775">
        <f t="shared" si="11"/>
        <v>100</v>
      </c>
      <c r="V42" s="774" t="s">
        <v>17</v>
      </c>
      <c r="W42" s="775">
        <f t="shared" si="12"/>
        <v>100</v>
      </c>
      <c r="X42" s="1816"/>
      <c r="Y42" s="3173" t="s">
        <v>2557</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3"/>
      <c r="Q43" s="1813">
        <f t="shared" si="14"/>
        <v>111</v>
      </c>
      <c r="R43" s="774" t="s">
        <v>17</v>
      </c>
      <c r="S43" s="775">
        <f t="shared" si="10"/>
        <v>100</v>
      </c>
      <c r="T43" s="774" t="s">
        <v>17</v>
      </c>
      <c r="U43" s="775">
        <f t="shared" si="11"/>
        <v>100</v>
      </c>
      <c r="V43" s="774" t="s">
        <v>17</v>
      </c>
      <c r="W43" s="775">
        <f t="shared" si="12"/>
        <v>100</v>
      </c>
      <c r="X43" s="1816"/>
      <c r="Y43" s="3173"/>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3"/>
      <c r="Q44" s="1813">
        <f t="shared" si="14"/>
        <v>111</v>
      </c>
      <c r="R44" s="774" t="s">
        <v>17</v>
      </c>
      <c r="S44" s="775">
        <f t="shared" si="10"/>
        <v>100</v>
      </c>
      <c r="T44" s="774" t="s">
        <v>17</v>
      </c>
      <c r="U44" s="775">
        <f t="shared" si="11"/>
        <v>100</v>
      </c>
      <c r="V44" s="774" t="s">
        <v>17</v>
      </c>
      <c r="W44" s="775">
        <f t="shared" si="12"/>
        <v>100</v>
      </c>
      <c r="X44" s="1816"/>
      <c r="Y44" s="3173"/>
      <c r="Z44" s="1817">
        <f t="shared" si="13"/>
        <v>111</v>
      </c>
      <c r="AA44" s="1814">
        <f t="shared" si="3"/>
        <v>1</v>
      </c>
      <c r="AB44" s="1814">
        <f t="shared" si="4"/>
        <v>1</v>
      </c>
      <c r="AC44" s="1814">
        <f t="shared" si="5"/>
        <v>1</v>
      </c>
    </row>
    <row r="45" spans="1:29" s="471" customFormat="1" ht="15.75" hidden="1"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3"/>
      <c r="Q45" s="1813">
        <f t="shared" si="14"/>
        <v>111</v>
      </c>
      <c r="R45" s="777" t="s">
        <v>17</v>
      </c>
      <c r="S45" s="778">
        <f t="shared" si="10"/>
        <v>100</v>
      </c>
      <c r="T45" s="777" t="s">
        <v>17</v>
      </c>
      <c r="U45" s="778">
        <f t="shared" si="11"/>
        <v>100</v>
      </c>
      <c r="V45" s="777" t="s">
        <v>17</v>
      </c>
      <c r="W45" s="778">
        <f t="shared" si="12"/>
        <v>100</v>
      </c>
      <c r="X45" s="779"/>
      <c r="Y45" s="3173"/>
      <c r="Z45" s="780">
        <f t="shared" si="13"/>
        <v>111</v>
      </c>
      <c r="AA45" s="1814">
        <f t="shared" si="3"/>
        <v>1</v>
      </c>
      <c r="AB45" s="1814">
        <f t="shared" si="4"/>
        <v>1</v>
      </c>
      <c r="AC45" s="1814">
        <f t="shared" si="5"/>
        <v>1</v>
      </c>
    </row>
    <row r="46" spans="1:29" ht="15">
      <c r="A46" s="479" t="s">
        <v>2712</v>
      </c>
      <c r="B46" s="2700" t="s">
        <v>2747</v>
      </c>
      <c r="C46" s="682" t="s">
        <v>1</v>
      </c>
      <c r="D46" s="481"/>
      <c r="E46" s="482">
        <v>2512</v>
      </c>
      <c r="F46" s="483"/>
      <c r="G46" s="484">
        <v>3019</v>
      </c>
      <c r="H46" s="485"/>
      <c r="I46" s="482">
        <v>2867</v>
      </c>
      <c r="J46" s="485"/>
      <c r="K46" s="783"/>
      <c r="L46" s="1146"/>
      <c r="M46" s="1147"/>
      <c r="N46" s="1134"/>
      <c r="O46" s="1147"/>
      <c r="P46" s="3168" t="str">
        <f>A46</f>
        <v>成交单价</v>
      </c>
      <c r="Q46" s="3168"/>
      <c r="R46" s="3174">
        <f>E46</f>
        <v>2512</v>
      </c>
      <c r="S46" s="3174"/>
      <c r="T46" s="3174">
        <f>G46</f>
        <v>3019</v>
      </c>
      <c r="U46" s="3174"/>
      <c r="V46" s="3174">
        <f>I46</f>
        <v>2867</v>
      </c>
      <c r="W46" s="3174"/>
      <c r="X46" s="759"/>
      <c r="Y46" s="781"/>
      <c r="Z46" s="759"/>
      <c r="AA46" s="759"/>
      <c r="AB46" s="759"/>
      <c r="AC46" s="759"/>
    </row>
    <row r="47" spans="1:29" ht="15.75" thickBot="1">
      <c r="A47" s="486" t="s">
        <v>2661</v>
      </c>
      <c r="B47" s="683"/>
      <c r="C47" s="490">
        <f>R48</f>
        <v>3024</v>
      </c>
      <c r="D47" s="489"/>
      <c r="E47" s="490">
        <f>R47</f>
        <v>2652</v>
      </c>
      <c r="F47" s="491"/>
      <c r="G47" s="488">
        <f>T47</f>
        <v>2915</v>
      </c>
      <c r="H47" s="489"/>
      <c r="I47" s="490">
        <f>V47</f>
        <v>3504</v>
      </c>
      <c r="J47" s="489"/>
      <c r="K47" s="784"/>
      <c r="L47" s="1146"/>
      <c r="M47" s="1147"/>
      <c r="N47" s="1147"/>
      <c r="O47" s="1147"/>
      <c r="P47" s="3168" t="str">
        <f>A47</f>
        <v>比较价值（元/平方米）</v>
      </c>
      <c r="Q47" s="3168"/>
      <c r="R47" s="3161">
        <f>ROUND(PRODUCT(R46,AA7:AA45),0)</f>
        <v>2652</v>
      </c>
      <c r="S47" s="3161"/>
      <c r="T47" s="3161">
        <f>ROUND(PRODUCT(T46,AB7:AB45),0)</f>
        <v>2915</v>
      </c>
      <c r="U47" s="3161"/>
      <c r="V47" s="3161">
        <f>ROUND(PRODUCT(V46,AC7:AC45),0)</f>
        <v>3504</v>
      </c>
      <c r="W47" s="3161"/>
      <c r="X47" s="759"/>
      <c r="Y47" s="759"/>
      <c r="Z47" s="759"/>
      <c r="AA47" s="759"/>
      <c r="AB47" s="759"/>
      <c r="AC47" s="759"/>
    </row>
    <row r="48" spans="1:29" ht="15.75" thickBot="1">
      <c r="A48" s="492" t="s">
        <v>2748</v>
      </c>
      <c r="B48" s="493"/>
      <c r="C48" s="494">
        <f>R48</f>
        <v>3024</v>
      </c>
      <c r="D48" s="494"/>
      <c r="E48" s="494"/>
      <c r="F48" s="494"/>
      <c r="G48" s="494"/>
      <c r="H48" s="494"/>
      <c r="I48" s="494"/>
      <c r="J48" s="494"/>
      <c r="K48" s="785"/>
      <c r="L48" s="1146"/>
      <c r="M48" s="1147"/>
      <c r="N48" s="1147"/>
      <c r="O48" s="1147"/>
      <c r="P48" s="3162" t="str">
        <f>A48</f>
        <v>估价对象XX用房的比较价值（楼面单价，元/平方米）</v>
      </c>
      <c r="Q48" s="3163"/>
      <c r="R48" s="3164">
        <f>ROUND(AVERAGE(R47:V47),0)</f>
        <v>3024</v>
      </c>
      <c r="S48" s="3164"/>
      <c r="T48" s="3164"/>
      <c r="U48" s="3164"/>
      <c r="V48" s="3164"/>
      <c r="W48" s="31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5.5732484076433053E-2</v>
      </c>
      <c r="F51" s="500" t="str">
        <f>IF(OR(E51&gt;=0.3,E51&lt;=-0.3),"超过30%","")</f>
        <v/>
      </c>
      <c r="G51" s="499">
        <f>IF(G46&lt;G47,G47/G46-1,G46/G47-1)</f>
        <v>3.567753001715257E-2</v>
      </c>
      <c r="H51" s="500" t="str">
        <f>IF(OR(G51&gt;=0.3,G51&lt;=-0.3),"超过30%","")</f>
        <v/>
      </c>
      <c r="I51" s="499">
        <f>IF(I46&lt;I47,I47/I46-1,I46/I47-1)</f>
        <v>0.22218346703871639</v>
      </c>
      <c r="J51" s="500" t="str">
        <f>IF(OR(I51&gt;=0.3,I51&lt;=-0.3),"超过30%","")</f>
        <v/>
      </c>
      <c r="K51" s="1108"/>
      <c r="L51" s="1109"/>
      <c r="M51" s="1147"/>
      <c r="N51" s="1147"/>
      <c r="O51" s="1147"/>
    </row>
    <row r="52" spans="1:15" ht="13.5" customHeight="1">
      <c r="A52" s="1147"/>
      <c r="B52" s="1147"/>
      <c r="C52" s="497" t="s">
        <v>2664</v>
      </c>
      <c r="D52" s="501"/>
      <c r="E52" s="499">
        <f>IF(E47&lt;G47,G47/E47-1,E47/G47-1)</f>
        <v>9.9170437405731615E-2</v>
      </c>
      <c r="F52" s="500" t="str">
        <f>IF(OR(E52&gt;=0.2,E52&lt;=-0.2),"超过20%","")</f>
        <v/>
      </c>
      <c r="G52" s="499">
        <f>IF(G47&lt;I47,I47/G47-1,G47/I47-1)</f>
        <v>0.20205831903945115</v>
      </c>
      <c r="H52" s="500" t="str">
        <f>IF(OR(G52&gt;=0.2,G52&lt;=-0.2),"超过20%","")</f>
        <v>超过20%</v>
      </c>
      <c r="I52" s="499">
        <f>IF(I47&lt;E47,E47/I47-1,I47/E47-1)</f>
        <v>0.32126696832579182</v>
      </c>
      <c r="J52" s="500" t="str">
        <f>IF(OR(I52&gt;=0.2,I52&lt;=-0.2),"超过20%","")</f>
        <v>超过20%</v>
      </c>
      <c r="K52" s="1108"/>
      <c r="L52" s="1109"/>
      <c r="M52" s="1147"/>
      <c r="N52" s="1147"/>
      <c r="O52" s="1147"/>
    </row>
    <row r="53" spans="1:15" s="502" customFormat="1" ht="13.5" customHeight="1">
      <c r="A53" s="1148"/>
      <c r="B53" s="1148"/>
      <c r="C53" s="497" t="s">
        <v>2665</v>
      </c>
      <c r="D53" s="501"/>
      <c r="E53" s="499">
        <f>IF(E46&lt;G46,G46/E46-1,E46/G46-1)</f>
        <v>0.20183121019108285</v>
      </c>
      <c r="F53" s="500" t="str">
        <f>IF(OR(E53&gt;=0.3,E53&lt;=-0.3),"超过30%","")</f>
        <v/>
      </c>
      <c r="G53" s="499">
        <f>IF(G46&lt;I46,I46/G46-1,G46/I46-1)</f>
        <v>5.3017091035926001E-2</v>
      </c>
      <c r="H53" s="500" t="str">
        <f>IF(OR(G53&gt;=0.3,G53&lt;=-0.3),"超过30%","")</f>
        <v/>
      </c>
      <c r="I53" s="499">
        <f>IF(I46&lt;E46,E46/I46-1,I46/E46-1)</f>
        <v>0.14132165605095537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1" t="s">
        <v>2751</v>
      </c>
      <c r="D55" s="2702" t="s">
        <v>2752</v>
      </c>
      <c r="E55" s="686" t="s">
        <v>2753</v>
      </c>
      <c r="F55" s="1110" t="s">
        <v>2754</v>
      </c>
      <c r="G55" s="3165" t="s">
        <v>2755</v>
      </c>
      <c r="H55" s="3166"/>
      <c r="I55" s="144" t="s">
        <v>2756</v>
      </c>
      <c r="J55" s="2703" t="str">
        <f>项目基本情况!F35</f>
        <v>福建省泉州市</v>
      </c>
      <c r="K55" s="2704" t="s">
        <v>2757</v>
      </c>
      <c r="L55" s="1109"/>
      <c r="M55" s="1147"/>
      <c r="N55" s="1147"/>
      <c r="O55" s="1147"/>
    </row>
    <row r="56" spans="1:15" s="692" customFormat="1">
      <c r="A56" s="688" t="s">
        <v>2758</v>
      </c>
      <c r="B56" s="689">
        <f>C48</f>
        <v>3024</v>
      </c>
      <c r="C56" s="690">
        <v>1</v>
      </c>
      <c r="D56" s="1166">
        <v>1</v>
      </c>
      <c r="E56" s="690">
        <f>'数据-汇总表'!E8+'数据-汇总表'!E9</f>
        <v>70845.22</v>
      </c>
      <c r="F56" s="1106">
        <f t="shared" ref="F56:F65" si="15">ROUND(B56*E56/10000,0)</f>
        <v>21424</v>
      </c>
      <c r="G56" s="3167"/>
      <c r="H56" s="316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169"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169"/>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169"/>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169"/>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05"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18858.009999999998</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05"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06"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89703.23</v>
      </c>
      <c r="F66" s="697">
        <f>IF(B46="楼面地价",SUM(F56:F65),ROUND(C48*E66/10000,0))</f>
        <v>21424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7"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08"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1570">
        <v>90</v>
      </c>
      <c r="N71" s="595">
        <v>89</v>
      </c>
      <c r="O71" s="1571">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2775</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2776</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2782</v>
      </c>
      <c r="C116" s="529" t="str">
        <f>C117&amp;"(含)"&amp;"-"&amp;D117</f>
        <v>0(含)-10000</v>
      </c>
      <c r="D116" s="529" t="str">
        <f t="shared" ref="D116:M116" si="25">D117&amp;"(含)"&amp;"-"&amp;E117</f>
        <v>10000(含)-50000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50000</v>
      </c>
      <c r="F117" s="595">
        <v>100000</v>
      </c>
      <c r="G117" s="595">
        <v>150000</v>
      </c>
      <c r="H117" s="595">
        <v>200000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2783</v>
      </c>
      <c r="C119" s="2950" t="s">
        <v>3147</v>
      </c>
      <c r="D119" s="2950" t="s">
        <v>3149</v>
      </c>
      <c r="E119" s="2950" t="s">
        <v>3151</v>
      </c>
      <c r="F119" s="2950" t="s">
        <v>3146</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95</v>
      </c>
      <c r="E120" s="544">
        <f t="shared" si="26"/>
        <v>90</v>
      </c>
      <c r="F120" s="544">
        <f t="shared" si="26"/>
        <v>85</v>
      </c>
      <c r="G120" s="544">
        <f t="shared" si="26"/>
        <v>80</v>
      </c>
      <c r="H120" s="544">
        <f t="shared" si="26"/>
        <v>75</v>
      </c>
      <c r="I120" s="544">
        <f t="shared" si="26"/>
        <v>70</v>
      </c>
      <c r="J120" s="544">
        <f t="shared" si="26"/>
        <v>65</v>
      </c>
      <c r="K120" s="544">
        <f t="shared" si="26"/>
        <v>60</v>
      </c>
      <c r="L120" s="544">
        <f t="shared" si="26"/>
        <v>55</v>
      </c>
      <c r="M120" s="545">
        <f t="shared" si="26"/>
        <v>50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49" t="s">
        <v>3152</v>
      </c>
      <c r="D123" s="2949" t="s">
        <v>3153</v>
      </c>
      <c r="E123" s="2949" t="s">
        <v>3154</v>
      </c>
      <c r="F123" s="2949" t="s">
        <v>3155</v>
      </c>
      <c r="G123" s="2949" t="s">
        <v>3157</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8" priority="14" stopIfTrue="1" operator="containsText" text="超过">
      <formula>NOT(ISERROR(SEARCH("超过",F51)))</formula>
    </cfRule>
  </conditionalFormatting>
  <conditionalFormatting sqref="J53">
    <cfRule type="containsText" dxfId="147" priority="13" stopIfTrue="1" operator="containsText" text="超过">
      <formula>NOT(ISERROR(SEARCH("超过",J53)))</formula>
    </cfRule>
  </conditionalFormatting>
  <conditionalFormatting sqref="H53">
    <cfRule type="containsText" dxfId="146" priority="12" stopIfTrue="1" operator="containsText" text="超过">
      <formula>NOT(ISERROR(SEARCH("超过",H53)))</formula>
    </cfRule>
  </conditionalFormatting>
  <conditionalFormatting sqref="F53">
    <cfRule type="containsText" dxfId="145" priority="11" stopIfTrue="1" operator="containsText" text="超过">
      <formula>NOT(ISERROR(SEARCH("超过",F53)))</formula>
    </cfRule>
  </conditionalFormatting>
  <conditionalFormatting sqref="F52 H52 J52">
    <cfRule type="containsText" dxfId="144" priority="10" stopIfTrue="1" operator="containsText" text="超过">
      <formula>NOT(ISERROR(SEARCH("超过",F52)))</formula>
    </cfRule>
  </conditionalFormatting>
  <conditionalFormatting sqref="E51">
    <cfRule type="expression" dxfId="143" priority="9" stopIfTrue="1">
      <formula>$F$51="超过30%"</formula>
    </cfRule>
  </conditionalFormatting>
  <conditionalFormatting sqref="G53">
    <cfRule type="expression" dxfId="142" priority="8" stopIfTrue="1">
      <formula>$H$53="超过30%"</formula>
    </cfRule>
  </conditionalFormatting>
  <conditionalFormatting sqref="E52">
    <cfRule type="expression" dxfId="141" priority="7" stopIfTrue="1">
      <formula>$F$52="超过20%"</formula>
    </cfRule>
  </conditionalFormatting>
  <conditionalFormatting sqref="E53">
    <cfRule type="expression" dxfId="140" priority="6" stopIfTrue="1">
      <formula>$F$53="超过30%"</formula>
    </cfRule>
  </conditionalFormatting>
  <conditionalFormatting sqref="G51">
    <cfRule type="expression" dxfId="139" priority="5" stopIfTrue="1">
      <formula>$H$53+$H$51="超过30%"</formula>
    </cfRule>
  </conditionalFormatting>
  <conditionalFormatting sqref="G52">
    <cfRule type="expression" dxfId="138" priority="4" stopIfTrue="1">
      <formula>$H$52="超过20%"</formula>
    </cfRule>
  </conditionalFormatting>
  <conditionalFormatting sqref="I51">
    <cfRule type="expression" dxfId="137" priority="3" stopIfTrue="1">
      <formula>$J$51="超过30%"</formula>
    </cfRule>
  </conditionalFormatting>
  <conditionalFormatting sqref="I52">
    <cfRule type="expression" dxfId="136" priority="2" stopIfTrue="1">
      <formula>$J$52="超过20%"</formula>
    </cfRule>
  </conditionalFormatting>
  <conditionalFormatting sqref="I53">
    <cfRule type="expression" dxfId="1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9</v>
      </c>
    </row>
    <row r="2" spans="1:33" ht="18" customHeight="1">
      <c r="A2" s="245" t="s">
        <v>2322</v>
      </c>
      <c r="B2" s="248">
        <f ca="1">C32</f>
        <v>71443</v>
      </c>
      <c r="C2" s="320" t="s">
        <v>2455</v>
      </c>
      <c r="D2" s="320"/>
      <c r="E2" s="320"/>
      <c r="F2" s="320"/>
      <c r="G2" s="320"/>
      <c r="H2" s="320"/>
      <c r="I2" s="320"/>
      <c r="J2" s="320"/>
      <c r="K2" s="320"/>
    </row>
    <row r="3" spans="1:33" ht="18" customHeight="1" thickBot="1">
      <c r="A3" s="247" t="s">
        <v>2324</v>
      </c>
      <c r="B3" s="248">
        <f ca="1">ROUND(B2*10000/IF(C1="",'数据-汇总表'!E3,INDIRECT("'数据-取费表'!K"&amp;$K$1)),0)</f>
        <v>7573</v>
      </c>
      <c r="C3" s="320" t="s">
        <v>2456</v>
      </c>
      <c r="D3" s="320"/>
      <c r="E3" s="320"/>
      <c r="F3" s="320"/>
      <c r="G3" s="320"/>
      <c r="H3" s="320"/>
      <c r="I3" s="320"/>
      <c r="J3" s="320"/>
      <c r="K3" s="320"/>
    </row>
    <row r="4" spans="1:33" s="959" customFormat="1" ht="16.5" customHeight="1">
      <c r="A4" s="956" t="s">
        <v>2457</v>
      </c>
      <c r="B4" s="957"/>
      <c r="C4" s="999">
        <f>SUM(C8:K8)</f>
        <v>123212.893104</v>
      </c>
      <c r="D4" s="957"/>
      <c r="E4" s="957"/>
      <c r="F4" s="957"/>
      <c r="G4" s="957"/>
      <c r="H4" s="957"/>
      <c r="I4" s="957"/>
      <c r="J4" s="957"/>
      <c r="K4" s="958"/>
    </row>
    <row r="5" spans="1:33" s="963" customFormat="1" ht="15">
      <c r="A5" s="960" t="s">
        <v>2458</v>
      </c>
      <c r="B5" s="961" t="s">
        <v>2459</v>
      </c>
      <c r="C5" s="2552" t="s">
        <v>3185</v>
      </c>
      <c r="D5" s="2552" t="s">
        <v>3184</v>
      </c>
      <c r="E5" s="2552" t="s">
        <v>48</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15233</v>
      </c>
      <c r="D6" s="965">
        <f>Sheet3!D4</f>
        <v>24592</v>
      </c>
      <c r="E6" s="965">
        <f>'比较法-车位'!B3</f>
        <v>5984</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66561.350000000006</v>
      </c>
      <c r="D7" s="321">
        <f>SUMIF('数据-汇总表'!$C19:$C33,假设开发法!D5,'数据-汇总表'!$E19:$E33)</f>
        <v>4283.87</v>
      </c>
      <c r="E7" s="321">
        <f>SUMIF('数据-汇总表'!$C19:$C33,假设开发法!E5,'数据-汇总表'!$E19:$E33)</f>
        <v>18858.009999999998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2463</v>
      </c>
      <c r="B8" s="177" t="s">
        <v>2464</v>
      </c>
      <c r="C8" s="1000">
        <f>'比较法-住宅'!B2</f>
        <v>101393</v>
      </c>
      <c r="D8" s="1000">
        <f>D6*D7/10000</f>
        <v>10534.893103999999</v>
      </c>
      <c r="E8" s="1000">
        <f>'比较法-车位'!B2</f>
        <v>11285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23397</v>
      </c>
      <c r="D11" s="976"/>
      <c r="E11" s="375"/>
      <c r="F11" s="977">
        <f ca="1">1-IF('数据-取费表'!B24=0,1,IF(C1="",'数据-取费表'!N16,INDIRECT("'数据-取费表'!n"&amp;$K$1)))</f>
        <v>0.60799999999999998</v>
      </c>
      <c r="G11" s="8"/>
      <c r="H11" s="971"/>
      <c r="I11" s="971"/>
      <c r="J11" s="971"/>
      <c r="K11" s="972"/>
    </row>
    <row r="12" spans="1:33" s="978" customFormat="1" ht="13.5" customHeight="1">
      <c r="A12" s="974" t="s">
        <v>1335</v>
      </c>
      <c r="B12" s="975" t="s">
        <v>2473</v>
      </c>
      <c r="C12" s="24">
        <f ca="1">ROUND(C11*F12,0)</f>
        <v>702</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1337</v>
      </c>
      <c r="B14" s="975" t="s">
        <v>2477</v>
      </c>
      <c r="C14" s="24">
        <f ca="1">ROUND(D14*E14*F11/10000,0)</f>
        <v>1147</v>
      </c>
      <c r="D14" s="1036">
        <f ca="1">IF(C1="",'数据-汇总表'!E3,INDIRECT("'数据-取费表'!K"&amp;$K$1)+INDIRECT("'数据-取费表'!S"&amp;$K$1))</f>
        <v>94334.89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351</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25597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94334.89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4"/>
      <c r="H18" s="1580"/>
      <c r="I18" s="2555"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2487</v>
      </c>
      <c r="C20" s="24">
        <f ca="1">ROUND(D20*E20/10000,0)</f>
        <v>755</v>
      </c>
      <c r="D20" s="1036">
        <f ca="1">IF(C1="",'数据-汇总表'!E6,IF(INDIRECT("'数据-取费表'!c"&amp;$K$1)="住宅",INDIRECT("'数据-取费表'!s"&amp;$K$1),INDIRECT("'数据-取费表'!k"&amp;$K$1)+INDIRECT("'数据-取费表'!s"&amp;$K$1)))</f>
        <v>94334.89</v>
      </c>
      <c r="E20" s="24">
        <f>'数据-取费表'!B28</f>
        <v>80</v>
      </c>
      <c r="F20" s="979"/>
      <c r="G20" s="15"/>
      <c r="H20" s="984"/>
      <c r="I20" s="984"/>
      <c r="J20" s="984"/>
      <c r="K20" s="985"/>
    </row>
    <row r="21" spans="1:33" s="978" customFormat="1" ht="13.5" customHeight="1">
      <c r="A21" s="964" t="s">
        <v>802</v>
      </c>
      <c r="B21" s="988" t="s">
        <v>2488</v>
      </c>
      <c r="C21" s="989">
        <f ca="1">C16+C17+C18</f>
        <v>25597</v>
      </c>
      <c r="D21" s="990"/>
      <c r="E21" s="325"/>
      <c r="F21" s="325"/>
      <c r="G21" s="140" t="s">
        <v>2489</v>
      </c>
      <c r="H21" s="982"/>
      <c r="I21" s="982"/>
      <c r="J21" s="982"/>
      <c r="K21" s="983"/>
    </row>
    <row r="22" spans="1:33" s="978" customFormat="1" ht="13.5" customHeight="1">
      <c r="A22" s="964" t="s">
        <v>2461</v>
      </c>
      <c r="B22" s="988" t="s">
        <v>2490</v>
      </c>
      <c r="C22" s="989">
        <f ca="1">ROUND(C21*F22,0)</f>
        <v>512</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2247</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1004</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7.4200000000000002E-2</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1004</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2501</v>
      </c>
      <c r="B28" s="2557" t="s">
        <v>2502</v>
      </c>
      <c r="C28" s="331">
        <f ca="1">C30</f>
        <v>3686</v>
      </c>
      <c r="D28" s="324">
        <f ca="1">C29</f>
        <v>6.6900000000000001E-2</v>
      </c>
      <c r="E28" s="326" t="s">
        <v>15</v>
      </c>
      <c r="F28" s="332">
        <f ca="1">IF(C1="",'数据-取费表'!Q16,INDIRECT("'数据-取费表'!q"&amp;$K$1))</f>
        <v>0.13</v>
      </c>
      <c r="G28" s="992"/>
      <c r="H28" s="993"/>
      <c r="I28" s="993"/>
      <c r="J28" s="993"/>
      <c r="K28" s="994"/>
    </row>
    <row r="29" spans="1:33" s="335" customFormat="1" ht="13.5" customHeight="1">
      <c r="A29" s="974" t="s">
        <v>803</v>
      </c>
      <c r="B29" s="997" t="s">
        <v>2503</v>
      </c>
      <c r="C29" s="328">
        <f ca="1">ROUND((1+C24)*F28*'数据-取费表'!B24/'数据-取费表'!B20,4)</f>
        <v>6.6900000000000001E-2</v>
      </c>
      <c r="D29" s="328"/>
      <c r="E29" s="329"/>
      <c r="F29" s="334"/>
      <c r="G29" s="140" t="s">
        <v>2504</v>
      </c>
      <c r="H29" s="982"/>
      <c r="I29" s="982"/>
      <c r="J29" s="982"/>
      <c r="K29" s="983"/>
    </row>
    <row r="30" spans="1:33" s="335" customFormat="1" ht="13.5" customHeight="1">
      <c r="A30" s="974" t="s">
        <v>804</v>
      </c>
      <c r="B30" s="997" t="s">
        <v>2505</v>
      </c>
      <c r="C30" s="336">
        <f ca="1">ROUND((C21+C22+C23)*F28,0)</f>
        <v>3686</v>
      </c>
      <c r="D30" s="328"/>
      <c r="E30" s="329"/>
      <c r="F30" s="334"/>
      <c r="G30" s="140"/>
      <c r="H30" s="982"/>
      <c r="I30" s="982"/>
      <c r="J30" s="982"/>
      <c r="K30" s="983"/>
    </row>
    <row r="31" spans="1:33" s="978" customFormat="1" ht="13.5" customHeight="1" thickBot="1">
      <c r="A31" s="2558" t="s">
        <v>2506</v>
      </c>
      <c r="B31" s="1008" t="s">
        <v>2507</v>
      </c>
      <c r="C31" s="1009">
        <f>ROUND(C4*F31/(1+'数据-取费表'!C42),0)</f>
        <v>6571</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71443</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3107</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#N/A</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07" t="s">
        <v>1403</v>
      </c>
      <c r="C6" s="1299" t="e">
        <f ca="1">ROUND(F6*F8*F7*(1-F9)/10000,0)</f>
        <v>#N/A</v>
      </c>
      <c r="D6" s="164" t="s">
        <v>3025</v>
      </c>
      <c r="E6" s="347" t="s">
        <v>1405</v>
      </c>
      <c r="F6" s="348" t="e">
        <f ca="1">INDIRECT("'数据-取费表'!u"&amp;$G$1)</f>
        <v>#N/A</v>
      </c>
      <c r="G6" s="1854"/>
      <c r="H6" s="1294" t="s">
        <v>1035</v>
      </c>
      <c r="I6" s="3207" t="s">
        <v>1403</v>
      </c>
      <c r="J6" s="346" t="e">
        <f ca="1">ROUND(M6*M8*M7*(1-M9)/10000,0)</f>
        <v>#N/A</v>
      </c>
      <c r="K6" s="164" t="s">
        <v>3024</v>
      </c>
      <c r="L6" s="347" t="s">
        <v>1405</v>
      </c>
      <c r="M6" s="348" t="e">
        <f ca="1">INDIRECT("'数据-取费表'!z"&amp;$G$1)</f>
        <v>#N/A</v>
      </c>
    </row>
    <row r="7" spans="1:37" ht="18" customHeight="1">
      <c r="A7" s="1298"/>
      <c r="B7" s="3208"/>
      <c r="C7" s="1300"/>
      <c r="D7" s="352"/>
      <c r="E7" s="1301" t="s">
        <v>1406</v>
      </c>
      <c r="F7" s="348" t="e">
        <f ca="1">IF(INDIRECT("'数据-取费表'!ah"&amp;$G$1)="",INDIRECT("'数据-取费表'!k"&amp;$G$1),INDIRECT("'数据-取费表'!ah"&amp;$G$1))</f>
        <v>#N/A</v>
      </c>
      <c r="G7" s="1854"/>
      <c r="H7" s="349"/>
      <c r="I7" s="3208"/>
      <c r="J7" s="351"/>
      <c r="K7" s="352"/>
      <c r="L7" s="347" t="s">
        <v>1406</v>
      </c>
      <c r="M7" s="348" t="e">
        <f ca="1">F7</f>
        <v>#N/A</v>
      </c>
    </row>
    <row r="8" spans="1:37" ht="18" customHeight="1">
      <c r="A8" s="349"/>
      <c r="B8" s="3208"/>
      <c r="C8" s="351"/>
      <c r="D8" s="352"/>
      <c r="E8" s="347" t="s">
        <v>1407</v>
      </c>
      <c r="F8" s="348" t="e">
        <f ca="1">INDIRECT("'数据-取费表'!ai"&amp;$G$1)</f>
        <v>#N/A</v>
      </c>
      <c r="G8" s="1854"/>
      <c r="H8" s="349"/>
      <c r="I8" s="3208"/>
      <c r="J8" s="351"/>
      <c r="K8" s="352"/>
      <c r="L8" s="347" t="s">
        <v>1407</v>
      </c>
      <c r="M8" s="348" t="e">
        <f ca="1">INDIRECT("'数据-取费表'!ai"&amp;$G$1)</f>
        <v>#N/A</v>
      </c>
    </row>
    <row r="9" spans="1:37" ht="18" customHeight="1">
      <c r="A9" s="349"/>
      <c r="B9" s="3209"/>
      <c r="C9" s="351"/>
      <c r="D9" s="352"/>
      <c r="E9" s="347" t="s">
        <v>1408</v>
      </c>
      <c r="F9" s="357" t="e">
        <f ca="1">INDIRECT("'数据-取费表'!w"&amp;$G$1)</f>
        <v>#N/A</v>
      </c>
      <c r="G9" s="1854"/>
      <c r="H9" s="349"/>
      <c r="I9" s="3209"/>
      <c r="J9" s="351"/>
      <c r="K9" s="352"/>
      <c r="L9" s="358" t="s">
        <v>1408</v>
      </c>
      <c r="M9" s="359" t="e">
        <f ca="1">INDIRECT("'数据-取费表'!ab"&amp;$G$1)</f>
        <v>#N/A</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t="e">
        <f ca="1">ROUND(IF(M10="押一",J6/12*M11,IF(M10="押二",J6/12*2*M11,IF(M10="押三",J6/12*3*M11,J11*M11))),0)</f>
        <v>#N/A</v>
      </c>
      <c r="K10" s="1827" t="s">
        <v>3033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INDIRECT("'数据-取费表'!m"&amp;$G$1)+INDIRECT("'数据-取费表'!t"&amp;$G$1)</f>
        <v>#N/A</v>
      </c>
      <c r="D14" s="1803" t="s">
        <v>1418</v>
      </c>
      <c r="E14" s="1797"/>
      <c r="F14" s="364"/>
      <c r="G14" s="1854"/>
      <c r="H14" s="1204" t="s">
        <v>1035</v>
      </c>
      <c r="I14" s="347" t="s">
        <v>1419</v>
      </c>
      <c r="J14" s="24" t="e">
        <f ca="1">C29</f>
        <v>#N/A</v>
      </c>
      <c r="K14" s="15"/>
      <c r="L14" s="982"/>
      <c r="M14" s="983"/>
    </row>
    <row r="15" spans="1:37" s="1861" customFormat="1" ht="18" customHeight="1" thickBot="1">
      <c r="A15" s="1204" t="s">
        <v>1036</v>
      </c>
      <c r="B15" s="347" t="s">
        <v>1420</v>
      </c>
      <c r="C15" s="24" t="e">
        <f ca="1">ROUND(C14*F15,0)</f>
        <v>#N/A</v>
      </c>
      <c r="D15" s="365" t="s">
        <v>1421</v>
      </c>
      <c r="E15" s="365" t="s">
        <v>1422</v>
      </c>
      <c r="F15" s="366">
        <f>'数据-取费表'!B33</f>
        <v>0.03</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1341"/>
      <c r="M16" s="1297"/>
    </row>
    <row r="17" spans="1:37" s="1861" customFormat="1" ht="18" customHeight="1">
      <c r="A17" s="1204" t="s">
        <v>1390</v>
      </c>
      <c r="B17" s="347" t="s">
        <v>1426</v>
      </c>
      <c r="C17" s="24" t="e">
        <f ca="1">ROUND(F17*(F43+INDIRECT("'数据-取费表'!S"&amp;$G$1))/10000,0)</f>
        <v>#N/A</v>
      </c>
      <c r="D17" s="347" t="s">
        <v>1427</v>
      </c>
      <c r="E17" s="347" t="s">
        <v>1428</v>
      </c>
      <c r="F17" s="26">
        <f>'数据-取费表'!B35</f>
        <v>200</v>
      </c>
      <c r="G17" s="1857"/>
      <c r="H17" s="1204" t="s">
        <v>1035</v>
      </c>
      <c r="I17" s="347" t="s">
        <v>1429</v>
      </c>
      <c r="J17" s="24" t="e">
        <f ca="1">ROUND(IF(项目基本情况!B11="自然人",J5*M17,J18+J19+J20),1)</f>
        <v>#N/A</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ROUND(J5*M18/(1+'数据-取费表'!C42),2)</f>
        <v>#N/A</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1821"/>
      <c r="F19" s="26"/>
      <c r="G19" s="1854"/>
      <c r="H19" s="1204" t="s">
        <v>1036</v>
      </c>
      <c r="I19" s="347" t="s">
        <v>1437</v>
      </c>
      <c r="J19" s="24" t="e">
        <f ca="1">IF(K19="按租金收入计税",ROUND(J5*M19,2),ROUND(C29*M19*0.7,2))</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0.02</v>
      </c>
      <c r="G20" s="1857"/>
      <c r="H20" s="1204" t="s">
        <v>1389</v>
      </c>
      <c r="I20" s="164" t="s">
        <v>1441</v>
      </c>
      <c r="J20" s="25" t="e">
        <f ca="1">ROUND(M20*M21/10000,2)</f>
        <v>#N/A</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t="e">
        <f ca="1">ROUND(J14*M22,1)</f>
        <v>#N/A</v>
      </c>
      <c r="K22" s="1801"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t="e">
        <f ca="1">ROUND(J13*M23,1)</f>
        <v>#N/A</v>
      </c>
      <c r="K23" s="1801" t="s">
        <v>1454</v>
      </c>
      <c r="L23" s="347" t="s">
        <v>1455</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t="e">
        <f ca="1">ROUND(J5*M24,1)</f>
        <v>#N/A</v>
      </c>
      <c r="K24" s="1345" t="s">
        <v>1459</v>
      </c>
      <c r="L24" s="1343" t="s">
        <v>1455</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#N/A</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t="e">
        <f ca="1">IF(项目基本情况!B11="自然人","——",ROUND(C5*F32/(1+'数据-取费表'!C42),2))</f>
        <v>#N/A</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t="e">
        <f ca="1">IF(项目基本情况!B11="自然人","——",ROUND(F34*F35/10000,2))</f>
        <v>#N/A</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ROUND(C29*F36,1)</f>
        <v>#N/A</v>
      </c>
      <c r="D36" s="1801"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ROUND(C13*F37,1)</f>
        <v>#N/A</v>
      </c>
      <c r="D37" s="1801" t="s">
        <v>1454</v>
      </c>
      <c r="E37" s="347" t="s">
        <v>1455</v>
      </c>
      <c r="F37" s="376" t="e">
        <f ca="1">INDIRECT("'数据-取费表'!Al"&amp;$G$1)</f>
        <v>#N/A</v>
      </c>
      <c r="G37" s="1854"/>
      <c r="H37" s="1862"/>
      <c r="I37" s="1863"/>
      <c r="J37" s="1864"/>
      <c r="K37" s="751"/>
      <c r="L37" s="1862"/>
      <c r="M37" s="1862"/>
    </row>
    <row r="38" spans="1:18" ht="18" customHeight="1" thickBot="1">
      <c r="A38" s="1342" t="s">
        <v>1393</v>
      </c>
      <c r="B38" s="1343" t="s">
        <v>1439</v>
      </c>
      <c r="C38" s="1344" t="e">
        <f ca="1">ROUND(C5*F38,1)</f>
        <v>#N/A</v>
      </c>
      <c r="D38" s="1345" t="s">
        <v>1459</v>
      </c>
      <c r="E38" s="1343" t="s">
        <v>1455</v>
      </c>
      <c r="F38" s="1339" t="e">
        <f ca="1">INDIRECT("'数据-取费表'!Am"&amp;$G$1)</f>
        <v>#N/A</v>
      </c>
      <c r="G38" s="1854"/>
      <c r="H38" s="1862"/>
      <c r="I38" s="1863"/>
      <c r="J38" s="1864"/>
      <c r="K38" s="1868"/>
      <c r="L38" s="1862"/>
      <c r="M38" s="1862"/>
    </row>
    <row r="39" spans="1:18" ht="24.6" customHeight="1" thickTop="1">
      <c r="A39" s="1332" t="s">
        <v>1031</v>
      </c>
      <c r="B39" s="1347" t="s">
        <v>1483</v>
      </c>
      <c r="C39" s="355" t="e">
        <f ca="1">C5-C30</f>
        <v>#N/A</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#N/A</v>
      </c>
      <c r="D46" s="1875" t="str">
        <f>C2</f>
        <v>万元</v>
      </c>
      <c r="E46" s="1869"/>
      <c r="F46" s="1869"/>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3108</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1820" t="e">
        <f ca="1">C49+C53+C55</f>
        <v>#N/A</v>
      </c>
      <c r="D48" s="1365"/>
      <c r="E48" s="1366"/>
      <c r="F48" s="1184"/>
      <c r="G48" s="792"/>
      <c r="H48" s="793"/>
      <c r="I48" s="1890" t="s">
        <v>1530</v>
      </c>
      <c r="J48" s="1891" t="s">
        <v>3109</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ROUND(F49*F51*F50*(1-F52)/10000,0)</f>
        <v>#N/A</v>
      </c>
      <c r="D49" s="1279" t="s">
        <v>3026</v>
      </c>
      <c r="E49" s="1833" t="s">
        <v>1491</v>
      </c>
      <c r="F49" s="1284"/>
      <c r="G49" s="1894"/>
      <c r="H49" s="793"/>
      <c r="I49" s="1890" t="s">
        <v>1534</v>
      </c>
      <c r="J49" s="1895">
        <v>2018</v>
      </c>
      <c r="K49" s="1892" t="s">
        <v>1535</v>
      </c>
      <c r="L49" s="1896"/>
      <c r="O49" s="1897" t="s">
        <v>1042</v>
      </c>
      <c r="P49" s="1888" t="s">
        <v>1536</v>
      </c>
      <c r="Q49" s="1889" t="e">
        <f ca="1">C29</f>
        <v>#N/A</v>
      </c>
      <c r="R49" s="1889" t="s">
        <v>1529</v>
      </c>
    </row>
    <row r="50" spans="1:18" s="1845" customFormat="1" ht="13.5" thickBot="1">
      <c r="A50" s="1198"/>
      <c r="B50" s="1201"/>
      <c r="C50" s="1371"/>
      <c r="D50" s="1175"/>
      <c r="E50" s="1280" t="s">
        <v>1406</v>
      </c>
      <c r="F50" s="1281" t="e">
        <f ca="1">F7</f>
        <v>#N/A</v>
      </c>
      <c r="H50" s="793"/>
      <c r="I50" s="1890" t="s">
        <v>1537</v>
      </c>
      <c r="J50" s="1898">
        <f>SUMPRODUCT((I63:I65=J47)*(J62:L62=J48)*(J63:L65))</f>
        <v>60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60</v>
      </c>
      <c r="K51" s="1903" t="s">
        <v>1541</v>
      </c>
      <c r="L51" s="1904" t="e">
        <f ca="1">ROUND(-PV(INDIRECT("'数据-取费表'!h"&amp;$G$1),L48,(C39-C13*C76),0),0)</f>
        <v>#N/A</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t="e">
        <f ca="1">J53</f>
        <v>#N/A</v>
      </c>
      <c r="R52" s="1889" t="s">
        <v>1546</v>
      </c>
    </row>
    <row r="53" spans="1:18" s="1845" customFormat="1" ht="24.75" thickBot="1">
      <c r="A53" s="1408" t="s">
        <v>1137</v>
      </c>
      <c r="B53" s="1834" t="s">
        <v>1409</v>
      </c>
      <c r="C53" s="361">
        <f ca="1">ROUND(IF(F53="押一",C49/12*F11,IF(F53="押二",C49/12*2*F11,IF(F53="押三",C49/12*3*F11,C54*F11))),0)</f>
        <v>0</v>
      </c>
      <c r="D53" s="1827" t="s">
        <v>3033</v>
      </c>
      <c r="E53" s="358" t="s">
        <v>1410</v>
      </c>
      <c r="F53" s="1369"/>
      <c r="I53" s="1908" t="s">
        <v>1547</v>
      </c>
      <c r="J53" s="1909" t="e">
        <f ca="1">IF(M47="住宅",IF(D1="——",MAX(J51,L48),IF(D1="在建（套用方法）",MAX(J51,L48-'数据-取费表'!B24),MAX(J51,L48-'数据-取费表'!B20))),IF(D1="——",MIN(J51,L48),IF(D1="在建（套用方法）",MIN(J51,L48-'数据-取费表'!B24),IF(D1="土地（套用方法）",MIN(J51,L48-'数据-取费表'!B20)))))</f>
        <v>#N/A</v>
      </c>
      <c r="K53" s="3205" t="s">
        <v>1548</v>
      </c>
      <c r="L53" s="3206"/>
      <c r="O53" s="1887" t="s">
        <v>1046</v>
      </c>
      <c r="P53" s="1888" t="s">
        <v>1549</v>
      </c>
      <c r="Q53" s="1889" t="e">
        <f ca="1">Q47+Q48</f>
        <v>#N/A</v>
      </c>
      <c r="R53" s="1889" t="s">
        <v>1047</v>
      </c>
    </row>
    <row r="54" spans="1:18" s="1845" customFormat="1" ht="13.5" thickBot="1">
      <c r="A54" s="1409"/>
      <c r="B54" s="1828" t="s">
        <v>1388</v>
      </c>
      <c r="C54" s="1181"/>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#N/A</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#N/A</v>
      </c>
      <c r="D56" s="1917"/>
      <c r="E56" s="1918"/>
      <c r="F56" s="1910"/>
      <c r="I56" s="1919" t="s">
        <v>1554</v>
      </c>
      <c r="J56" s="1920" t="s">
        <v>3066</v>
      </c>
      <c r="K56" s="1890" t="s">
        <v>1555</v>
      </c>
      <c r="L56" s="1893" t="e">
        <f ca="1">IF(L48&lt;J51,"——",L48-J53)</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1557</v>
      </c>
      <c r="L57" s="1893" t="e">
        <f ca="1">IF(L48&lt;J51,"——",IF(L55="比较法",L49,IF(L55="基准地价",L50,L51)))</f>
        <v>#N/A</v>
      </c>
      <c r="O57" s="1887" t="s">
        <v>1041</v>
      </c>
      <c r="P57" s="1888" t="s">
        <v>1558</v>
      </c>
      <c r="Q57" s="1889" t="e">
        <f ca="1">L60</f>
        <v>#N/A</v>
      </c>
      <c r="R57" s="1889" t="s">
        <v>1559</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1561</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IF(项目基本情况!B11="自然人","——",ROUND(C48*F60/(1+'数据-取费表'!C42),2))</f>
        <v>#N/A</v>
      </c>
      <c r="D60" s="1186" t="s">
        <v>1434</v>
      </c>
      <c r="E60" s="1172" t="s">
        <v>1422</v>
      </c>
      <c r="F60" s="377">
        <f t="shared" ref="F60:F66" si="0">F32</f>
        <v>5.6000000000000001E-2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#N/A</v>
      </c>
      <c r="D61" s="1831" t="s">
        <v>1438</v>
      </c>
      <c r="E61" s="1172" t="s">
        <v>1494</v>
      </c>
      <c r="F61" s="367">
        <f t="shared" si="0"/>
        <v>1.2E-2</v>
      </c>
      <c r="I61" s="1931"/>
      <c r="J61" s="1931"/>
      <c r="K61" s="1931"/>
      <c r="L61" s="1931"/>
      <c r="O61" s="1897" t="s">
        <v>1045</v>
      </c>
      <c r="P61" s="1888" t="str">
        <f>K59</f>
        <v>续建工期及建筑物耐用年限下的土地年期修正系数Kn</v>
      </c>
      <c r="Q61" s="1889" t="e">
        <f ca="1">L59</f>
        <v>#N/A</v>
      </c>
      <c r="R61" s="1889" t="s">
        <v>1569</v>
      </c>
    </row>
    <row r="62" spans="1:18" s="1845" customFormat="1" ht="13.5" thickBot="1">
      <c r="A62" s="1204" t="s">
        <v>1495</v>
      </c>
      <c r="B62" s="1171" t="s">
        <v>1496</v>
      </c>
      <c r="C62" s="25" t="e">
        <f ca="1">IF(项目基本情况!B11="自然人","——",ROUND(F62*F63/10000,2))</f>
        <v>#N/A</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#N/A</v>
      </c>
      <c r="R62" s="1889" t="s">
        <v>1047</v>
      </c>
    </row>
    <row r="63" spans="1:18" s="1845" customFormat="1" ht="13.5" thickBot="1">
      <c r="A63" s="372"/>
      <c r="B63" s="1178"/>
      <c r="C63" s="29"/>
      <c r="D63" s="1188"/>
      <c r="E63" s="1172" t="s">
        <v>1499</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#N/A</v>
      </c>
      <c r="D64" s="1186" t="s">
        <v>1502</v>
      </c>
      <c r="E64" s="1172" t="s">
        <v>1494</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#N/A</v>
      </c>
      <c r="D65" s="1186" t="s">
        <v>1454</v>
      </c>
      <c r="E65" s="1172" t="s">
        <v>1455</v>
      </c>
      <c r="F65" s="376" t="e">
        <f t="shared" ca="1" si="0"/>
        <v>#N/A</v>
      </c>
      <c r="I65" s="1932" t="s">
        <v>1579</v>
      </c>
      <c r="J65" s="1933">
        <v>40</v>
      </c>
      <c r="K65" s="1933">
        <v>30</v>
      </c>
      <c r="L65" s="1933">
        <v>50</v>
      </c>
      <c r="M65" s="1935">
        <v>0.02</v>
      </c>
      <c r="O65" s="1887" t="s">
        <v>1040</v>
      </c>
      <c r="P65" s="1888" t="s">
        <v>1580</v>
      </c>
      <c r="Q65" s="1889" t="e">
        <f ca="1">C40+J29</f>
        <v>#N/A</v>
      </c>
      <c r="R65" s="1889" t="s">
        <v>1529</v>
      </c>
    </row>
    <row r="66" spans="1:18" s="1845" customFormat="1" ht="16.5" thickBot="1">
      <c r="A66" s="1204" t="s">
        <v>1504</v>
      </c>
      <c r="B66" s="1172" t="s">
        <v>1439</v>
      </c>
      <c r="C66" s="24" t="e">
        <f ca="1">ROUND(C48*F66,1)</f>
        <v>#N/A</v>
      </c>
      <c r="D66" s="1186" t="s">
        <v>1505</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c r="O70" s="1897" t="s">
        <v>1049</v>
      </c>
      <c r="P70" s="1937" t="s">
        <v>1585</v>
      </c>
      <c r="Q70" s="1889" t="e">
        <f ca="1">C13</f>
        <v>#N/A</v>
      </c>
      <c r="R70" s="1889" t="s">
        <v>1529</v>
      </c>
    </row>
    <row r="71" spans="1:18" s="1845" customFormat="1" ht="13.5" thickBot="1">
      <c r="A71" s="1193" t="s">
        <v>1033</v>
      </c>
      <c r="B71" s="1194" t="s">
        <v>1487</v>
      </c>
      <c r="C71" s="382" t="e">
        <f ca="1">ROUND(C68*10000/F71,0)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7" t="s">
        <v>1403</v>
      </c>
      <c r="C6" s="1299">
        <f ca="1">ROUND(F6*F8*F7*(1-F9),0)</f>
        <v>0</v>
      </c>
      <c r="D6" s="164" t="s">
        <v>3022</v>
      </c>
      <c r="E6" s="347" t="s">
        <v>1405</v>
      </c>
      <c r="F6" s="348">
        <f ca="1">INDIRECT("'数据-取费表'!u"&amp;$G$1)</f>
        <v>0</v>
      </c>
      <c r="G6" s="1854"/>
      <c r="H6" s="1294" t="s">
        <v>1035</v>
      </c>
      <c r="I6" s="3207" t="s">
        <v>1403</v>
      </c>
      <c r="J6" s="346">
        <f ca="1">ROUND(M6*M8*M7*(1-M9),0)</f>
        <v>0</v>
      </c>
      <c r="K6" s="1837" t="s">
        <v>3023</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c r="G10" s="1854"/>
      <c r="H10" s="1294" t="s">
        <v>1039</v>
      </c>
      <c r="I10" s="1826" t="s">
        <v>1409</v>
      </c>
      <c r="J10" s="346">
        <f ca="1">ROUND(IF(M10="押一",J6/12*M11,IF(M10="押二",J6/12*2*M11,IF(M10="押三",J6/12*3*M11,J11*M11))),0)</f>
        <v>0</v>
      </c>
      <c r="K10" s="1838" t="s">
        <v>3035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59" t="s">
        <v>2518</v>
      </c>
      <c r="B1" s="2560"/>
      <c r="C1" s="2560"/>
      <c r="D1" s="2560"/>
      <c r="E1" s="2561"/>
    </row>
    <row r="2" spans="1:6" ht="15.75">
      <c r="A2" s="2562" t="s">
        <v>2322</v>
      </c>
      <c r="B2" s="2563" t="e">
        <f ca="1">SUMIF(B6:B13,"&lt;&gt;#ref!",B6:B13)</f>
        <v>#N/A</v>
      </c>
      <c r="C2" s="2564" t="s">
        <v>2511</v>
      </c>
      <c r="D2" s="2565" t="s">
        <v>2512</v>
      </c>
      <c r="E2" s="2566">
        <f>SUM(E6:E13)</f>
        <v>69998.12000000001</v>
      </c>
    </row>
    <row r="3" spans="1:6" ht="15.75">
      <c r="A3" s="2562" t="s">
        <v>1395</v>
      </c>
      <c r="B3" s="2563" t="e">
        <f ca="1">ROUND(B2*10000/E2,0)</f>
        <v>#N/A</v>
      </c>
      <c r="C3" s="2564" t="s">
        <v>2519</v>
      </c>
      <c r="D3" s="2567"/>
      <c r="E3" s="2568"/>
    </row>
    <row r="4" spans="1:6" ht="15.75">
      <c r="A4" s="2569"/>
      <c r="B4" s="2567"/>
      <c r="C4" s="2567"/>
      <c r="D4" s="2567"/>
      <c r="E4" s="2568"/>
    </row>
    <row r="5" spans="1:6" ht="15">
      <c r="A5" s="2570" t="s">
        <v>2513</v>
      </c>
      <c r="B5" s="3210" t="s">
        <v>2514</v>
      </c>
      <c r="C5" s="3210"/>
      <c r="D5" s="2571"/>
      <c r="E5" s="2572" t="s">
        <v>2515</v>
      </c>
      <c r="F5" s="2573" t="s">
        <v>2516</v>
      </c>
    </row>
    <row r="6" spans="1:6">
      <c r="A6" s="2574" t="str">
        <f>'数据-取费表'!AN6</f>
        <v>收益法</v>
      </c>
      <c r="B6" s="2573" t="e">
        <f ca="1">IF(F6="是",'数据-取费表'!AO6,0)</f>
        <v>#N/A</v>
      </c>
      <c r="C6" s="2564" t="s">
        <v>2511</v>
      </c>
      <c r="D6" s="2567"/>
      <c r="E6" s="2575">
        <f>IF(OR(A6=0,F6="否"),0,'数据-取费表'!K6+'数据-取费表'!S6)</f>
        <v>69998.12000000001</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f>'数据-取费表'!AN8</f>
        <v>0</v>
      </c>
      <c r="B8" s="2573" t="e">
        <f ca="1">IF(F8="是",'数据-取费表'!AO8,0)</f>
        <v>#REF!</v>
      </c>
      <c r="C8" s="2564" t="s">
        <v>2511</v>
      </c>
      <c r="D8" s="2567"/>
      <c r="E8" s="2575">
        <f>IF(OR(A8=0,F8="否"),0,'数据-取费表'!K8+'数据-取费表'!S8)</f>
        <v>0</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8">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8" sqref="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2521</v>
      </c>
      <c r="C1" s="1637" t="s">
        <v>2522</v>
      </c>
      <c r="D1" s="1624" t="s">
        <v>3185</v>
      </c>
      <c r="E1" s="2581"/>
      <c r="F1" s="2582" t="s">
        <v>2523</v>
      </c>
      <c r="G1" s="1634" t="s">
        <v>2524</v>
      </c>
      <c r="H1" s="1633"/>
      <c r="I1" s="1633"/>
      <c r="J1" s="1633"/>
      <c r="K1" s="1635"/>
      <c r="L1" s="1636"/>
      <c r="M1" s="1637"/>
      <c r="N1" s="1637"/>
      <c r="O1" s="1637"/>
      <c r="P1" s="2583"/>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101393</v>
      </c>
      <c r="C2" s="2584" t="s">
        <v>70</v>
      </c>
      <c r="D2" s="1368" t="e">
        <f ca="1">SUMIF(INDIRECT("'"&amp;F2&amp;"'"&amp;"!A:A"),"承租人权益价值",INDIRECT("'"&amp;F2&amp;"'"&amp;"!c:c"))</f>
        <v>#REF!</v>
      </c>
      <c r="E2" s="2585" t="s">
        <v>2525</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15233</v>
      </c>
      <c r="C3" s="400" t="s">
        <v>2526</v>
      </c>
      <c r="D3" s="399">
        <f>IF(D1="",'数据-汇总表'!E3,SUMIF('数据-汇总表'!$C19:$C33,D1,'数据-汇总表'!$E19:$E33))</f>
        <v>66561.350000000006</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2527</v>
      </c>
      <c r="B4" s="402"/>
      <c r="C4" s="3165" t="s">
        <v>2528</v>
      </c>
      <c r="D4" s="3178"/>
      <c r="E4" s="3179" t="s">
        <v>2529</v>
      </c>
      <c r="F4" s="3180"/>
      <c r="G4" s="3165" t="s">
        <v>2530</v>
      </c>
      <c r="H4" s="3178"/>
      <c r="I4" s="3165" t="s">
        <v>2531</v>
      </c>
      <c r="J4" s="3178"/>
      <c r="K4" s="2594" t="s">
        <v>2532</v>
      </c>
      <c r="L4" s="1133"/>
      <c r="M4" s="1134"/>
      <c r="N4" s="1134"/>
      <c r="O4" s="1134"/>
      <c r="P4" s="3181" t="s">
        <v>2533</v>
      </c>
      <c r="Q4" s="3182"/>
      <c r="R4" s="3187" t="s">
        <v>2529</v>
      </c>
      <c r="S4" s="3188"/>
      <c r="T4" s="3187" t="s">
        <v>2530</v>
      </c>
      <c r="U4" s="3188"/>
      <c r="V4" s="3174" t="s">
        <v>2531</v>
      </c>
      <c r="W4" s="3174"/>
      <c r="X4" s="1816"/>
      <c r="Y4" s="3187" t="s">
        <v>2533</v>
      </c>
      <c r="Z4" s="3188"/>
      <c r="AA4" s="3175" t="s">
        <v>2529</v>
      </c>
      <c r="AB4" s="3175" t="s">
        <v>2530</v>
      </c>
      <c r="AC4" s="3175" t="s">
        <v>2531</v>
      </c>
    </row>
    <row r="5" spans="1:29" ht="15">
      <c r="A5" s="404"/>
      <c r="B5" s="405"/>
      <c r="C5" s="3195" t="s">
        <v>2534</v>
      </c>
      <c r="D5" s="3196"/>
      <c r="E5" s="3241" t="s">
        <v>3195</v>
      </c>
      <c r="F5" s="3204"/>
      <c r="G5" s="3200" t="s">
        <v>3130</v>
      </c>
      <c r="H5" s="3196"/>
      <c r="I5" s="3200" t="s">
        <v>3196</v>
      </c>
      <c r="J5" s="3196"/>
      <c r="K5" s="2595"/>
      <c r="L5" s="1133"/>
      <c r="M5" s="1134"/>
      <c r="N5" s="1134"/>
      <c r="O5" s="1134"/>
      <c r="P5" s="3183"/>
      <c r="Q5" s="3184"/>
      <c r="R5" s="3189"/>
      <c r="S5" s="3190"/>
      <c r="T5" s="3189"/>
      <c r="U5" s="3190"/>
      <c r="V5" s="3174"/>
      <c r="W5" s="3174"/>
      <c r="X5" s="1816"/>
      <c r="Y5" s="3189"/>
      <c r="Z5" s="3190"/>
      <c r="AA5" s="3176"/>
      <c r="AB5" s="3176"/>
      <c r="AC5" s="3176"/>
    </row>
    <row r="6" spans="1:29" ht="15.75" thickBot="1">
      <c r="A6" s="406"/>
      <c r="B6" s="407"/>
      <c r="C6" s="3240" t="s">
        <v>2538</v>
      </c>
      <c r="D6" s="3194"/>
      <c r="E6" s="3201" t="s">
        <v>3217</v>
      </c>
      <c r="F6" s="3202"/>
      <c r="G6" s="3240" t="s">
        <v>2538</v>
      </c>
      <c r="H6" s="3194"/>
      <c r="I6" s="3193" t="s">
        <v>3208</v>
      </c>
      <c r="J6" s="3194"/>
      <c r="K6" s="2595" t="s">
        <v>2539</v>
      </c>
      <c r="L6" s="1133"/>
      <c r="M6" s="1134"/>
      <c r="N6" s="1134"/>
      <c r="O6" s="1134"/>
      <c r="P6" s="3185"/>
      <c r="Q6" s="3186"/>
      <c r="R6" s="3189"/>
      <c r="S6" s="3190"/>
      <c r="T6" s="3191"/>
      <c r="U6" s="3192"/>
      <c r="V6" s="3174"/>
      <c r="W6" s="3174"/>
      <c r="X6" s="1816"/>
      <c r="Y6" s="3191"/>
      <c r="Z6" s="3192"/>
      <c r="AA6" s="3177"/>
      <c r="AB6" s="3177"/>
      <c r="AC6" s="3177"/>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2596"/>
      <c r="L7" s="1135"/>
      <c r="M7" s="1136"/>
      <c r="N7" s="1136"/>
      <c r="O7" s="1136"/>
      <c r="P7" s="3197" t="s">
        <v>2541</v>
      </c>
      <c r="Q7" s="3199"/>
      <c r="R7" s="770" t="s">
        <v>23</v>
      </c>
      <c r="S7" s="771">
        <f t="shared" ref="S7:S15" si="0">F7</f>
        <v>100</v>
      </c>
      <c r="T7" s="770" t="s">
        <v>23</v>
      </c>
      <c r="U7" s="771">
        <f t="shared" ref="U7:U15" si="1">H7</f>
        <v>100</v>
      </c>
      <c r="V7" s="770" t="s">
        <v>23</v>
      </c>
      <c r="W7" s="771">
        <f t="shared" ref="W7:W15" si="2">J7</f>
        <v>100</v>
      </c>
      <c r="X7" s="772"/>
      <c r="Y7" s="3197" t="s">
        <v>2541</v>
      </c>
      <c r="Z7" s="3198"/>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6"/>
      <c r="L8" s="1135"/>
      <c r="M8" s="1136"/>
      <c r="N8" s="1136"/>
      <c r="O8" s="1136"/>
      <c r="P8" s="3197" t="s">
        <v>2544</v>
      </c>
      <c r="Q8" s="3198"/>
      <c r="R8" s="770" t="s">
        <v>23</v>
      </c>
      <c r="S8" s="771">
        <f t="shared" si="0"/>
        <v>100</v>
      </c>
      <c r="T8" s="770" t="s">
        <v>23</v>
      </c>
      <c r="U8" s="771">
        <f t="shared" si="1"/>
        <v>100</v>
      </c>
      <c r="V8" s="770" t="s">
        <v>23</v>
      </c>
      <c r="W8" s="771">
        <f t="shared" si="2"/>
        <v>100</v>
      </c>
      <c r="X8" s="772"/>
      <c r="Y8" s="3197" t="s">
        <v>2544</v>
      </c>
      <c r="Z8" s="3198"/>
      <c r="AA8" s="773">
        <f t="shared" ref="AA8:AA19" si="3">D8/F8</f>
        <v>1</v>
      </c>
      <c r="AB8" s="773">
        <f t="shared" ref="AB8:AB19" si="4">D8/H8</f>
        <v>1</v>
      </c>
      <c r="AC8" s="773">
        <f t="shared" ref="AC8:AC19" si="5">D8/J8</f>
        <v>1</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167"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7">
      <c r="A10" s="421"/>
      <c r="B10" s="422" t="s">
        <v>2549</v>
      </c>
      <c r="C10" s="423" t="s">
        <v>3075</v>
      </c>
      <c r="D10" s="136">
        <v>100</v>
      </c>
      <c r="E10" s="423" t="s">
        <v>3075</v>
      </c>
      <c r="F10" s="425">
        <f>SUMIF(65:65,E10,66:66)-SUMIF(65:65,C10,66:66)+100</f>
        <v>100</v>
      </c>
      <c r="G10" s="423" t="s">
        <v>3075</v>
      </c>
      <c r="H10" s="136">
        <f>SUMIF(65:65,G10,66:66)-SUMIF(65:65,C10,66:66)+100</f>
        <v>100</v>
      </c>
      <c r="I10" s="423" t="s">
        <v>3075</v>
      </c>
      <c r="J10" s="136">
        <f>SUMIF(65:65,I10,66:66)-SUMIF(65:65,C10,66:66)+100</f>
        <v>100</v>
      </c>
      <c r="K10" s="426"/>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75" thickBo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16"/>
      <c r="Z11" s="55" t="str">
        <f t="shared" si="7"/>
        <v>容积率</v>
      </c>
      <c r="AA11" s="773">
        <f t="shared" si="3"/>
        <v>1</v>
      </c>
      <c r="AB11" s="773">
        <f t="shared" si="4"/>
        <v>1</v>
      </c>
      <c r="AC11" s="773">
        <f t="shared" si="5"/>
        <v>1</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35">
      <c r="A15" s="440" t="s">
        <v>2551</v>
      </c>
      <c r="B15" s="69" t="s">
        <v>2082</v>
      </c>
      <c r="C15" s="2600" t="str">
        <f>估价对象房地状况!C3</f>
        <v>估价对象周边居住用地比例较大、居住小区规模较大和社区发展完善程度较好，综合评价居住社区成熟度较好。</v>
      </c>
      <c r="D15" s="441">
        <v>100</v>
      </c>
      <c r="E15" s="2954" t="s">
        <v>3218</v>
      </c>
      <c r="F15" s="441">
        <f>SUMIF(76:76,E16,77:77)-SUMIF(76:76,C16,77:77)+100</f>
        <v>100</v>
      </c>
      <c r="G15" s="2954" t="s">
        <v>3209</v>
      </c>
      <c r="H15" s="441">
        <f>SUMIF(76:76,G16,77:77)-SUMIF(76:76,C16,77:77)+100</f>
        <v>100</v>
      </c>
      <c r="I15" s="2954" t="s">
        <v>3209</v>
      </c>
      <c r="J15" s="441">
        <f>SUMIF(76:76,I16,77:77)-SUMIF(76:76,C16,77:77)+100</f>
        <v>100</v>
      </c>
      <c r="K15" s="445"/>
      <c r="L15" s="1143"/>
      <c r="M15" s="1134"/>
      <c r="N15" s="1134"/>
      <c r="O15" s="1134"/>
      <c r="P15" s="3238" t="s">
        <v>2552</v>
      </c>
      <c r="Q15" s="1813" t="str">
        <f t="shared" si="6"/>
        <v>居住社区成熟度</v>
      </c>
      <c r="R15" s="774" t="s">
        <v>21</v>
      </c>
      <c r="S15" s="775">
        <f t="shared" si="0"/>
        <v>100</v>
      </c>
      <c r="T15" s="774" t="s">
        <v>21</v>
      </c>
      <c r="U15" s="775">
        <f t="shared" si="1"/>
        <v>100</v>
      </c>
      <c r="V15" s="774" t="s">
        <v>21</v>
      </c>
      <c r="W15" s="775">
        <f t="shared" si="2"/>
        <v>100</v>
      </c>
      <c r="X15" s="1816"/>
      <c r="Y15" s="3170" t="s">
        <v>2552</v>
      </c>
      <c r="Z15" s="1817" t="str">
        <f t="shared" si="7"/>
        <v>居住社区成熟度</v>
      </c>
      <c r="AA15" s="1814">
        <f t="shared" si="3"/>
        <v>1</v>
      </c>
      <c r="AB15" s="1814">
        <f t="shared" si="4"/>
        <v>1</v>
      </c>
      <c r="AC15" s="1814">
        <f t="shared" si="5"/>
        <v>1</v>
      </c>
    </row>
    <row r="16" spans="1:29" ht="15.75" thickBot="1">
      <c r="A16" s="428"/>
      <c r="B16" s="446"/>
      <c r="C16" s="447" t="s">
        <v>3083</v>
      </c>
      <c r="D16" s="448"/>
      <c r="E16" s="447" t="s">
        <v>3083</v>
      </c>
      <c r="F16" s="448"/>
      <c r="G16" s="2602" t="s">
        <v>3083</v>
      </c>
      <c r="H16" s="450"/>
      <c r="I16" s="2602" t="s">
        <v>3083</v>
      </c>
      <c r="J16" s="448"/>
      <c r="K16" s="2603"/>
      <c r="L16" s="1143"/>
      <c r="M16" s="1134"/>
      <c r="N16" s="1134"/>
      <c r="O16" s="1134"/>
      <c r="P16" s="3239"/>
      <c r="Q16" s="1813"/>
      <c r="R16" s="774"/>
      <c r="S16" s="775"/>
      <c r="T16" s="774"/>
      <c r="U16" s="775"/>
      <c r="V16" s="774"/>
      <c r="W16" s="775"/>
      <c r="X16" s="1816"/>
      <c r="Y16" s="3171"/>
      <c r="Z16" s="1817"/>
      <c r="AA16" s="1814">
        <v>1</v>
      </c>
      <c r="AB16" s="1814">
        <v>1</v>
      </c>
      <c r="AC16" s="1814">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3219</v>
      </c>
      <c r="F17" s="450">
        <f>SUMIF(78:78,E18,79:79)-SUMIF(78:78,C18,79:79)+100</f>
        <v>103</v>
      </c>
      <c r="G17" s="442" t="s">
        <v>3085</v>
      </c>
      <c r="H17" s="455">
        <f>SUMIF(78:78,G18,79:79)-SUMIF(78:78,C18,79:79)+100</f>
        <v>100</v>
      </c>
      <c r="I17" s="442" t="s">
        <v>3085</v>
      </c>
      <c r="J17" s="455">
        <f>SUMIF(78:78,I18,79:79)-SUMIF(78:78,C18,79:79)+100</f>
        <v>100</v>
      </c>
      <c r="K17" s="445">
        <v>3</v>
      </c>
      <c r="L17" s="1143"/>
      <c r="M17" s="1134"/>
      <c r="N17" s="1134"/>
      <c r="O17" s="1134"/>
      <c r="P17" s="3239"/>
      <c r="Q17" s="1813" t="str">
        <f>B17</f>
        <v>交通便捷度</v>
      </c>
      <c r="R17" s="774" t="s">
        <v>21</v>
      </c>
      <c r="S17" s="775">
        <f>F17</f>
        <v>103</v>
      </c>
      <c r="T17" s="774" t="s">
        <v>21</v>
      </c>
      <c r="U17" s="775">
        <f>H17</f>
        <v>100</v>
      </c>
      <c r="V17" s="774" t="s">
        <v>21</v>
      </c>
      <c r="W17" s="775">
        <f>J17</f>
        <v>100</v>
      </c>
      <c r="X17" s="1816"/>
      <c r="Y17" s="3171"/>
      <c r="Z17" s="1817" t="str">
        <f>Q17</f>
        <v>交通便捷度</v>
      </c>
      <c r="AA17" s="1814">
        <f t="shared" si="3"/>
        <v>0.970873786407767</v>
      </c>
      <c r="AB17" s="1814">
        <f t="shared" si="4"/>
        <v>1</v>
      </c>
      <c r="AC17" s="1814">
        <f t="shared" si="5"/>
        <v>1</v>
      </c>
    </row>
    <row r="18" spans="1:29" ht="15">
      <c r="A18" s="428"/>
      <c r="B18" s="456"/>
      <c r="C18" s="2605" t="s">
        <v>3084</v>
      </c>
      <c r="D18" s="450"/>
      <c r="E18" s="2606" t="s">
        <v>3083</v>
      </c>
      <c r="F18" s="450"/>
      <c r="G18" s="2607" t="s">
        <v>3084</v>
      </c>
      <c r="H18" s="448"/>
      <c r="I18" s="2605" t="s">
        <v>3084</v>
      </c>
      <c r="J18" s="448"/>
      <c r="K18" s="2603"/>
      <c r="L18" s="1143"/>
      <c r="M18" s="1134"/>
      <c r="N18" s="1134"/>
      <c r="O18" s="1134"/>
      <c r="P18" s="3239"/>
      <c r="Q18" s="1813"/>
      <c r="R18" s="774"/>
      <c r="S18" s="775"/>
      <c r="T18" s="774"/>
      <c r="U18" s="775"/>
      <c r="V18" s="774"/>
      <c r="W18" s="775"/>
      <c r="X18" s="1816"/>
      <c r="Y18" s="3171"/>
      <c r="Z18" s="1817"/>
      <c r="AA18" s="1814">
        <v>1</v>
      </c>
      <c r="AB18" s="1814">
        <v>1</v>
      </c>
      <c r="AC18" s="1814">
        <v>1</v>
      </c>
    </row>
    <row r="19" spans="1:29" ht="199.5">
      <c r="A19" s="428"/>
      <c r="B19" s="451" t="s">
        <v>2089</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457" t="s">
        <v>3223</v>
      </c>
      <c r="F19" s="455">
        <f>SUMIF(80:80,E20,81:81)-SUMIF(80:80,C20,81:81)+100</f>
        <v>100</v>
      </c>
      <c r="G19" s="2957" t="s">
        <v>3220</v>
      </c>
      <c r="H19" s="450">
        <f>SUMIF(80:80,G20,81:81)-SUMIF(80:80,C20,81:81)+100</f>
        <v>100</v>
      </c>
      <c r="I19" s="2957" t="s">
        <v>3220</v>
      </c>
      <c r="J19" s="450">
        <f>SUMIF(80:80,I20,81:81)-SUMIF(80:80,C20,81:81)+100</f>
        <v>100</v>
      </c>
      <c r="K19" s="445"/>
      <c r="L19" s="1143"/>
      <c r="M19" s="1134"/>
      <c r="N19" s="1134"/>
      <c r="O19" s="1134"/>
      <c r="P19" s="3239"/>
      <c r="Q19" s="1813" t="str">
        <f>B19</f>
        <v>公共配套设施</v>
      </c>
      <c r="R19" s="774" t="s">
        <v>21</v>
      </c>
      <c r="S19" s="775">
        <f>F19</f>
        <v>100</v>
      </c>
      <c r="T19" s="774" t="s">
        <v>21</v>
      </c>
      <c r="U19" s="775">
        <f>H19</f>
        <v>100</v>
      </c>
      <c r="V19" s="774" t="s">
        <v>21</v>
      </c>
      <c r="W19" s="775">
        <f>J19</f>
        <v>100</v>
      </c>
      <c r="X19" s="1816"/>
      <c r="Y19" s="3171"/>
      <c r="Z19" s="1817" t="str">
        <f>Q19</f>
        <v>公共配套设施</v>
      </c>
      <c r="AA19" s="1814">
        <f t="shared" si="3"/>
        <v>1</v>
      </c>
      <c r="AB19" s="1814">
        <f t="shared" si="4"/>
        <v>1</v>
      </c>
      <c r="AC19" s="1814">
        <f t="shared" si="5"/>
        <v>1</v>
      </c>
    </row>
    <row r="20" spans="1:29" ht="15">
      <c r="A20" s="428"/>
      <c r="B20" s="456"/>
      <c r="C20" s="447" t="s">
        <v>3083</v>
      </c>
      <c r="D20" s="448"/>
      <c r="E20" s="2601" t="s">
        <v>3083</v>
      </c>
      <c r="F20" s="448"/>
      <c r="G20" s="2602" t="s">
        <v>3083</v>
      </c>
      <c r="H20" s="448"/>
      <c r="I20" s="2602" t="s">
        <v>3083</v>
      </c>
      <c r="J20" s="448"/>
      <c r="K20" s="2603"/>
      <c r="L20" s="1143"/>
      <c r="M20" s="1134"/>
      <c r="N20" s="1134"/>
      <c r="O20" s="1134"/>
      <c r="P20" s="3239"/>
      <c r="Q20" s="1813"/>
      <c r="R20" s="774"/>
      <c r="S20" s="775"/>
      <c r="T20" s="774"/>
      <c r="U20" s="775"/>
      <c r="V20" s="774"/>
      <c r="W20" s="775"/>
      <c r="X20" s="1816"/>
      <c r="Y20" s="3171"/>
      <c r="Z20" s="1817"/>
      <c r="AA20" s="1814">
        <v>1</v>
      </c>
      <c r="AB20" s="1814">
        <v>1</v>
      </c>
      <c r="AC20" s="1814">
        <v>1</v>
      </c>
    </row>
    <row r="21" spans="1:29" ht="42.75">
      <c r="A21" s="428"/>
      <c r="B21" s="1387" t="s">
        <v>2092</v>
      </c>
      <c r="C21" s="2604" t="str">
        <f>估价对象房地状况!C8</f>
        <v>估价对象所在区域基础设施水平达到“五通”。</v>
      </c>
      <c r="D21" s="450">
        <v>100</v>
      </c>
      <c r="E21" s="452" t="s">
        <v>3099</v>
      </c>
      <c r="F21" s="455">
        <f>SUMIF(82:82,E22,83:83)-SUMIF(82:82,C22,83:83)+100</f>
        <v>100</v>
      </c>
      <c r="G21" s="452" t="s">
        <v>3099</v>
      </c>
      <c r="H21" s="450">
        <f>SUMIF(82:82,G22,83:83)-SUMIF(82:82,C22,83:83)+100</f>
        <v>100</v>
      </c>
      <c r="I21" s="452" t="s">
        <v>3099</v>
      </c>
      <c r="J21" s="450">
        <f>SUMIF(82:82,I22,83:83)-SUMIF(82:82,C22,83:83)+100</f>
        <v>100</v>
      </c>
      <c r="K21" s="445"/>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05" t="s">
        <v>3098</v>
      </c>
      <c r="D22" s="448"/>
      <c r="E22" s="2605" t="s">
        <v>3098</v>
      </c>
      <c r="F22" s="448"/>
      <c r="G22" s="2605" t="s">
        <v>3098</v>
      </c>
      <c r="H22" s="448"/>
      <c r="I22" s="2605" t="s">
        <v>3098</v>
      </c>
      <c r="J22" s="448"/>
      <c r="K22" s="2609"/>
      <c r="L22" s="1143"/>
      <c r="M22" s="1134"/>
      <c r="N22" s="1134"/>
      <c r="O22" s="1134"/>
      <c r="P22" s="3239"/>
      <c r="Q22" s="1813"/>
      <c r="R22" s="774"/>
      <c r="S22" s="775"/>
      <c r="T22" s="774"/>
      <c r="U22" s="775"/>
      <c r="V22" s="774"/>
      <c r="W22" s="775"/>
      <c r="X22" s="1816"/>
      <c r="Y22" s="3171"/>
      <c r="Z22" s="1817"/>
      <c r="AA22" s="1814">
        <v>1</v>
      </c>
      <c r="AB22" s="1814">
        <v>1</v>
      </c>
      <c r="AC22" s="1814">
        <v>1</v>
      </c>
    </row>
    <row r="23" spans="1:29" ht="162.75">
      <c r="A23" s="428"/>
      <c r="B23" s="451" t="s">
        <v>2096</v>
      </c>
      <c r="C23" s="2604" t="str">
        <f>估价对象房地状况!C9</f>
        <v>区域自然环境：绿化条件较好，2公里内无公园；人文环境：有华侨大学等人文景观；综合评价环境状况一般。</v>
      </c>
      <c r="D23" s="450">
        <v>100</v>
      </c>
      <c r="E23" s="459" t="s">
        <v>3224</v>
      </c>
      <c r="F23" s="450">
        <f>SUMIF(84:84,E24,85:85)-SUMIF(84:84,C24,85:85)+100</f>
        <v>103</v>
      </c>
      <c r="G23" s="459" t="s">
        <v>3216</v>
      </c>
      <c r="H23" s="450">
        <f>SUMIF(84:84,G24,85:85)-SUMIF(84:84,C24,85:85)+100</f>
        <v>100</v>
      </c>
      <c r="I23" s="459" t="s">
        <v>3105</v>
      </c>
      <c r="J23" s="450">
        <f>SUMIF(84:84,I24,85:85)-SUMIF(84:84,C24,85:85)+100</f>
        <v>100</v>
      </c>
      <c r="K23" s="445">
        <v>3</v>
      </c>
      <c r="L23" s="1143"/>
      <c r="M23" s="1134"/>
      <c r="N23" s="1134"/>
      <c r="O23" s="1134"/>
      <c r="P23" s="3239"/>
      <c r="Q23" s="1813" t="str">
        <f>B23</f>
        <v>自然及人文环境</v>
      </c>
      <c r="R23" s="774" t="s">
        <v>21</v>
      </c>
      <c r="S23" s="775">
        <f>F23</f>
        <v>103</v>
      </c>
      <c r="T23" s="774" t="s">
        <v>21</v>
      </c>
      <c r="U23" s="775">
        <f>H23</f>
        <v>100</v>
      </c>
      <c r="V23" s="774" t="s">
        <v>21</v>
      </c>
      <c r="W23" s="775">
        <f>J23</f>
        <v>100</v>
      </c>
      <c r="X23" s="1816"/>
      <c r="Y23" s="3171"/>
      <c r="Z23" s="1817" t="str">
        <f>Q23</f>
        <v>自然及人文环境</v>
      </c>
      <c r="AA23" s="1814">
        <f>D23/F23</f>
        <v>0.970873786407767</v>
      </c>
      <c r="AB23" s="1814">
        <f>D23/H23</f>
        <v>1</v>
      </c>
      <c r="AC23" s="1814">
        <f>D23/J23</f>
        <v>1</v>
      </c>
    </row>
    <row r="24" spans="1:29" ht="15">
      <c r="A24" s="428"/>
      <c r="B24" s="456"/>
      <c r="C24" s="447" t="s">
        <v>3084</v>
      </c>
      <c r="D24" s="448"/>
      <c r="E24" s="447" t="s">
        <v>3083</v>
      </c>
      <c r="F24" s="448"/>
      <c r="G24" s="447" t="s">
        <v>3084</v>
      </c>
      <c r="H24" s="448"/>
      <c r="I24" s="447" t="s">
        <v>3084</v>
      </c>
      <c r="J24" s="448"/>
      <c r="K24" s="2603"/>
      <c r="L24" s="1143"/>
      <c r="M24" s="1134"/>
      <c r="N24" s="1134"/>
      <c r="O24" s="1134"/>
      <c r="P24" s="3239"/>
      <c r="Q24" s="1813"/>
      <c r="R24" s="774"/>
      <c r="S24" s="775"/>
      <c r="T24" s="774"/>
      <c r="U24" s="775"/>
      <c r="V24" s="774"/>
      <c r="W24" s="775"/>
      <c r="X24" s="1816"/>
      <c r="Y24" s="3171"/>
      <c r="Z24" s="1817"/>
      <c r="AA24" s="1814">
        <v>1</v>
      </c>
      <c r="AB24" s="1814">
        <v>1</v>
      </c>
      <c r="AC24" s="1814">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3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1"/>
      <c r="Z25" s="1817" t="str">
        <f>Q25</f>
        <v>楼层-1</v>
      </c>
      <c r="AA25" s="1814">
        <f t="shared" ref="AA25:AA46" si="15">D25/F25</f>
        <v>1</v>
      </c>
      <c r="AB25" s="1814">
        <f t="shared" ref="AB25:AB46" si="16">D25/H25</f>
        <v>1</v>
      </c>
      <c r="AC25" s="1814">
        <f t="shared" ref="AC25:AC46" si="17">D25/J25</f>
        <v>1</v>
      </c>
    </row>
    <row r="26" spans="1:29" ht="15.75" thickBot="1">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39"/>
      <c r="Q26" s="1813" t="str">
        <f t="shared" si="11"/>
        <v>朝向</v>
      </c>
      <c r="R26" s="774" t="s">
        <v>21</v>
      </c>
      <c r="S26" s="775">
        <f t="shared" si="12"/>
        <v>100</v>
      </c>
      <c r="T26" s="774" t="s">
        <v>21</v>
      </c>
      <c r="U26" s="775">
        <f t="shared" si="13"/>
        <v>100</v>
      </c>
      <c r="V26" s="774" t="s">
        <v>21</v>
      </c>
      <c r="W26" s="775">
        <f t="shared" si="14"/>
        <v>100</v>
      </c>
      <c r="X26" s="1816"/>
      <c r="Y26" s="3171"/>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39"/>
      <c r="Q27" s="1798">
        <f t="shared" si="11"/>
        <v>111</v>
      </c>
      <c r="R27" s="770" t="s">
        <v>21</v>
      </c>
      <c r="S27" s="771">
        <f t="shared" si="12"/>
        <v>100</v>
      </c>
      <c r="T27" s="770" t="s">
        <v>21</v>
      </c>
      <c r="U27" s="771">
        <f t="shared" si="13"/>
        <v>100</v>
      </c>
      <c r="V27" s="770" t="s">
        <v>21</v>
      </c>
      <c r="W27" s="771">
        <f t="shared" si="14"/>
        <v>100</v>
      </c>
      <c r="X27" s="772"/>
      <c r="Y27" s="3171"/>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39"/>
      <c r="Q28" s="1813">
        <f t="shared" si="11"/>
        <v>111</v>
      </c>
      <c r="R28" s="774" t="s">
        <v>21</v>
      </c>
      <c r="S28" s="775">
        <f t="shared" si="12"/>
        <v>100</v>
      </c>
      <c r="T28" s="774" t="s">
        <v>21</v>
      </c>
      <c r="U28" s="775">
        <f t="shared" si="13"/>
        <v>100</v>
      </c>
      <c r="V28" s="774" t="s">
        <v>21</v>
      </c>
      <c r="W28" s="775">
        <f t="shared" si="14"/>
        <v>100</v>
      </c>
      <c r="X28" s="1816"/>
      <c r="Y28" s="3171"/>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39"/>
      <c r="Q29" s="1813">
        <f t="shared" si="11"/>
        <v>111</v>
      </c>
      <c r="R29" s="774" t="s">
        <v>21</v>
      </c>
      <c r="S29" s="775">
        <f t="shared" si="12"/>
        <v>100</v>
      </c>
      <c r="T29" s="774" t="s">
        <v>21</v>
      </c>
      <c r="U29" s="775">
        <f t="shared" si="13"/>
        <v>100</v>
      </c>
      <c r="V29" s="774" t="s">
        <v>21</v>
      </c>
      <c r="W29" s="775">
        <f t="shared" si="14"/>
        <v>100</v>
      </c>
      <c r="X29" s="1816"/>
      <c r="Y29" s="3171"/>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39"/>
      <c r="Q30" s="1813">
        <f t="shared" si="11"/>
        <v>111</v>
      </c>
      <c r="R30" s="774" t="s">
        <v>21</v>
      </c>
      <c r="S30" s="775">
        <f t="shared" si="12"/>
        <v>100</v>
      </c>
      <c r="T30" s="774" t="s">
        <v>21</v>
      </c>
      <c r="U30" s="775">
        <f t="shared" si="13"/>
        <v>100</v>
      </c>
      <c r="V30" s="774" t="s">
        <v>21</v>
      </c>
      <c r="W30" s="775">
        <f t="shared" si="14"/>
        <v>100</v>
      </c>
      <c r="X30" s="1816"/>
      <c r="Y30" s="3171"/>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39"/>
      <c r="Q31" s="1813">
        <f t="shared" si="11"/>
        <v>111</v>
      </c>
      <c r="R31" s="774" t="s">
        <v>21</v>
      </c>
      <c r="S31" s="775">
        <f t="shared" si="12"/>
        <v>100</v>
      </c>
      <c r="T31" s="774" t="s">
        <v>21</v>
      </c>
      <c r="U31" s="775">
        <f t="shared" si="13"/>
        <v>100</v>
      </c>
      <c r="V31" s="774" t="s">
        <v>21</v>
      </c>
      <c r="W31" s="775">
        <f t="shared" si="14"/>
        <v>100</v>
      </c>
      <c r="X31" s="1816"/>
      <c r="Y31" s="3171"/>
      <c r="Z31" s="1817">
        <f t="shared" si="18"/>
        <v>111</v>
      </c>
      <c r="AA31" s="1814">
        <f t="shared" si="15"/>
        <v>1</v>
      </c>
      <c r="AB31" s="1814">
        <f t="shared" si="16"/>
        <v>1</v>
      </c>
      <c r="AC31" s="1814">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34" t="s">
        <v>2557</v>
      </c>
      <c r="Q32" s="1813" t="str">
        <f t="shared" si="11"/>
        <v>建筑类型</v>
      </c>
      <c r="R32" s="774" t="s">
        <v>21</v>
      </c>
      <c r="S32" s="775">
        <f t="shared" si="12"/>
        <v>100</v>
      </c>
      <c r="T32" s="774" t="s">
        <v>21</v>
      </c>
      <c r="U32" s="775">
        <f t="shared" si="13"/>
        <v>100</v>
      </c>
      <c r="V32" s="774" t="s">
        <v>21</v>
      </c>
      <c r="W32" s="775">
        <f t="shared" si="14"/>
        <v>100</v>
      </c>
      <c r="X32" s="1816"/>
      <c r="Y32" s="3173" t="s">
        <v>2557</v>
      </c>
      <c r="Z32" s="1817" t="str">
        <f t="shared" si="18"/>
        <v>建筑类型</v>
      </c>
      <c r="AA32" s="1814">
        <f t="shared" si="15"/>
        <v>1</v>
      </c>
      <c r="AB32" s="1814">
        <f t="shared" si="16"/>
        <v>1</v>
      </c>
      <c r="AC32" s="1814">
        <f t="shared" si="17"/>
        <v>1</v>
      </c>
    </row>
    <row r="33" spans="1:29" s="471" customFormat="1" ht="15">
      <c r="A33" s="468"/>
      <c r="B33" s="422" t="s">
        <v>2558</v>
      </c>
      <c r="C33" s="469">
        <f>'数据-汇总表'!F19</f>
        <v>66561.350000000006</v>
      </c>
      <c r="D33" s="136">
        <v>100</v>
      </c>
      <c r="E33" s="430">
        <v>66987</v>
      </c>
      <c r="F33" s="425">
        <f>LOOKUP(E33,103:103,104:104)-LOOKUP(C33,103:103,104:104)+100</f>
        <v>100</v>
      </c>
      <c r="G33" s="429">
        <v>750000</v>
      </c>
      <c r="H33" s="136">
        <f>LOOKUP(G33,103:103,104:104)-LOOKUP(C33,103:103,104:104)+100</f>
        <v>106</v>
      </c>
      <c r="I33" s="430">
        <v>127764</v>
      </c>
      <c r="J33" s="136">
        <f>LOOKUP(I33,103:103,104:104)-LOOKUP(C33,103:103,104:104)+100</f>
        <v>103</v>
      </c>
      <c r="K33" s="2598"/>
      <c r="L33" s="1141"/>
      <c r="M33" s="1144"/>
      <c r="N33" s="1144"/>
      <c r="O33" s="1144"/>
      <c r="P33" s="3235"/>
      <c r="Q33" s="776" t="str">
        <f t="shared" si="11"/>
        <v>项目建筑规模</v>
      </c>
      <c r="R33" s="777" t="s">
        <v>21</v>
      </c>
      <c r="S33" s="778">
        <f t="shared" si="12"/>
        <v>100</v>
      </c>
      <c r="T33" s="777" t="s">
        <v>21</v>
      </c>
      <c r="U33" s="778">
        <f t="shared" si="13"/>
        <v>106</v>
      </c>
      <c r="V33" s="777" t="s">
        <v>21</v>
      </c>
      <c r="W33" s="778">
        <f t="shared" si="14"/>
        <v>103</v>
      </c>
      <c r="X33" s="779"/>
      <c r="Y33" s="3173"/>
      <c r="Z33" s="780" t="str">
        <f t="shared" si="18"/>
        <v>项目建筑规模</v>
      </c>
      <c r="AA33" s="1814">
        <f t="shared" si="15"/>
        <v>1</v>
      </c>
      <c r="AB33" s="1814">
        <f t="shared" si="16"/>
        <v>0.94339622641509435</v>
      </c>
      <c r="AC33" s="1814">
        <f t="shared" si="17"/>
        <v>0.970873786407767</v>
      </c>
    </row>
    <row r="34" spans="1:29" ht="15">
      <c r="A34" s="472"/>
      <c r="B34" s="422"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173"/>
      <c r="Z34" s="1817" t="str">
        <f t="shared" si="18"/>
        <v>建筑结构</v>
      </c>
      <c r="AA34" s="1814">
        <f t="shared" si="15"/>
        <v>1</v>
      </c>
      <c r="AB34" s="1814">
        <f t="shared" si="16"/>
        <v>1</v>
      </c>
      <c r="AC34" s="1814">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173"/>
      <c r="Z35" s="1817" t="str">
        <f t="shared" si="18"/>
        <v>建筑品质</v>
      </c>
      <c r="AA35" s="1814">
        <f t="shared" si="15"/>
        <v>1</v>
      </c>
      <c r="AB35" s="1814">
        <f t="shared" si="16"/>
        <v>1</v>
      </c>
      <c r="AC35" s="1814">
        <f t="shared" si="17"/>
        <v>1</v>
      </c>
    </row>
    <row r="36" spans="1:29" ht="15">
      <c r="A36" s="472"/>
      <c r="B36" s="422" t="s">
        <v>2561</v>
      </c>
      <c r="C36" s="2610" t="s">
        <v>3090</v>
      </c>
      <c r="D36" s="435">
        <v>100</v>
      </c>
      <c r="E36" s="2610" t="s">
        <v>3090</v>
      </c>
      <c r="F36" s="461">
        <f>SUMIF(109:109,E36,110:110)-SUMIF(109:109,C36,110:110)+100</f>
        <v>100</v>
      </c>
      <c r="G36" s="2610" t="s">
        <v>3090</v>
      </c>
      <c r="H36" s="435">
        <f>SUMIF(109:109,G36,110:110)-SUMIF(109:109,C36,110:110)+100</f>
        <v>100</v>
      </c>
      <c r="I36" s="2610" t="s">
        <v>3090</v>
      </c>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173"/>
      <c r="Z36" s="1817" t="str">
        <f t="shared" si="18"/>
        <v>公共部分装修</v>
      </c>
      <c r="AA36" s="1814">
        <f t="shared" si="15"/>
        <v>1</v>
      </c>
      <c r="AB36" s="1814">
        <f t="shared" si="16"/>
        <v>1</v>
      </c>
      <c r="AC36" s="1814">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5"/>
      <c r="Q37" s="1798" t="str">
        <f t="shared" si="11"/>
        <v>成新度</v>
      </c>
      <c r="R37" s="770" t="s">
        <v>21</v>
      </c>
      <c r="S37" s="771">
        <f t="shared" si="12"/>
        <v>100</v>
      </c>
      <c r="T37" s="770" t="s">
        <v>21</v>
      </c>
      <c r="U37" s="771">
        <f t="shared" si="13"/>
        <v>100</v>
      </c>
      <c r="V37" s="770" t="s">
        <v>21</v>
      </c>
      <c r="W37" s="771">
        <f t="shared" si="14"/>
        <v>100</v>
      </c>
      <c r="X37" s="772"/>
      <c r="Y37" s="3173"/>
      <c r="Z37" s="55" t="str">
        <f t="shared" si="18"/>
        <v>成新度</v>
      </c>
      <c r="AA37" s="773">
        <f t="shared" si="15"/>
        <v>1</v>
      </c>
      <c r="AB37" s="773">
        <f t="shared" si="16"/>
        <v>1</v>
      </c>
      <c r="AC37" s="773">
        <f t="shared" si="17"/>
        <v>1</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35" t="s">
        <v>2557</v>
      </c>
      <c r="Q38" s="1813" t="str">
        <f t="shared" si="11"/>
        <v>物业管理</v>
      </c>
      <c r="R38" s="774" t="s">
        <v>21</v>
      </c>
      <c r="S38" s="775">
        <f t="shared" si="12"/>
        <v>100</v>
      </c>
      <c r="T38" s="774" t="s">
        <v>21</v>
      </c>
      <c r="U38" s="775">
        <f t="shared" si="13"/>
        <v>100</v>
      </c>
      <c r="V38" s="774" t="s">
        <v>21</v>
      </c>
      <c r="W38" s="775">
        <f t="shared" si="14"/>
        <v>100</v>
      </c>
      <c r="X38" s="1816"/>
      <c r="Y38" s="3173" t="s">
        <v>2557</v>
      </c>
      <c r="Z38" s="1817" t="str">
        <f t="shared" si="18"/>
        <v>物业管理</v>
      </c>
      <c r="AA38" s="1814">
        <f t="shared" si="15"/>
        <v>1</v>
      </c>
      <c r="AB38" s="1814">
        <f t="shared" si="16"/>
        <v>1</v>
      </c>
      <c r="AC38" s="1814">
        <f t="shared" si="17"/>
        <v>1</v>
      </c>
    </row>
    <row r="39" spans="1:29" ht="15">
      <c r="A39" s="472"/>
      <c r="B39" s="422" t="s">
        <v>2564</v>
      </c>
      <c r="C39" s="2610" t="s">
        <v>3098</v>
      </c>
      <c r="D39" s="435">
        <v>100</v>
      </c>
      <c r="E39" s="2611" t="s">
        <v>3211</v>
      </c>
      <c r="F39" s="461">
        <f>SUMIF(116:116,E39,117:117)-SUMIF(116:116,C39,117:117)+100</f>
        <v>102</v>
      </c>
      <c r="G39" s="2610" t="s">
        <v>3211</v>
      </c>
      <c r="H39" s="435">
        <f>SUMIF(116:116,G39,117:117)-SUMIF(116:116,C39,117:117)+100</f>
        <v>102</v>
      </c>
      <c r="I39" s="2611" t="s">
        <v>3211</v>
      </c>
      <c r="J39" s="435">
        <f>SUMIF(116:116,I39,117:117)-SUMIF(116:116,C39,117:117)+100</f>
        <v>102</v>
      </c>
      <c r="K39" s="426">
        <v>2</v>
      </c>
      <c r="L39" s="1143"/>
      <c r="M39" s="1134"/>
      <c r="N39" s="1134"/>
      <c r="O39" s="1134"/>
      <c r="P39" s="3235"/>
      <c r="Q39" s="1813" t="str">
        <f t="shared" si="11"/>
        <v>市政基础设施</v>
      </c>
      <c r="R39" s="774" t="s">
        <v>21</v>
      </c>
      <c r="S39" s="775">
        <f t="shared" si="12"/>
        <v>102</v>
      </c>
      <c r="T39" s="774" t="s">
        <v>21</v>
      </c>
      <c r="U39" s="775">
        <f t="shared" si="13"/>
        <v>102</v>
      </c>
      <c r="V39" s="774" t="s">
        <v>21</v>
      </c>
      <c r="W39" s="775">
        <f t="shared" si="14"/>
        <v>102</v>
      </c>
      <c r="X39" s="1816"/>
      <c r="Y39" s="3173"/>
      <c r="Z39" s="1817" t="str">
        <f t="shared" si="18"/>
        <v>市政基础设施</v>
      </c>
      <c r="AA39" s="1814">
        <f t="shared" si="15"/>
        <v>0.98039215686274506</v>
      </c>
      <c r="AB39" s="1814">
        <f t="shared" si="16"/>
        <v>0.98039215686274506</v>
      </c>
      <c r="AC39" s="1814">
        <f t="shared" si="17"/>
        <v>0.98039215686274506</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173"/>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14">
        <f t="shared" si="15"/>
        <v>1</v>
      </c>
      <c r="AB41" s="1814">
        <f t="shared" si="16"/>
        <v>1</v>
      </c>
      <c r="AC41" s="1814">
        <f t="shared" si="17"/>
        <v>1</v>
      </c>
    </row>
    <row r="42" spans="1:29" ht="15">
      <c r="A42" s="472"/>
      <c r="B42" s="422" t="s">
        <v>2567</v>
      </c>
      <c r="C42" s="2610" t="s">
        <v>3200</v>
      </c>
      <c r="D42" s="435">
        <v>100</v>
      </c>
      <c r="E42" s="2611" t="s">
        <v>3200</v>
      </c>
      <c r="F42" s="461">
        <f>SUMIF(122:122,E42,123:123)-SUMIF(122:122,C42,123:123)+100</f>
        <v>100</v>
      </c>
      <c r="G42" s="2610" t="s">
        <v>3204</v>
      </c>
      <c r="H42" s="435">
        <f>SUMIF(122:122,G42,123:123)-SUMIF(122:122,C42,123:123)+100</f>
        <v>94</v>
      </c>
      <c r="I42" s="2611" t="s">
        <v>3204</v>
      </c>
      <c r="J42" s="435">
        <f>SUMIF(122:122,I42,123:123)-SUMIF(122:122,C42,123:123)+100</f>
        <v>94</v>
      </c>
      <c r="K42" s="426">
        <v>2</v>
      </c>
      <c r="L42" s="1143"/>
      <c r="M42" s="1134"/>
      <c r="N42" s="1134"/>
      <c r="O42" s="1134"/>
      <c r="P42" s="3235"/>
      <c r="Q42" s="1813" t="str">
        <f t="shared" si="11"/>
        <v>内部装修</v>
      </c>
      <c r="R42" s="774" t="s">
        <v>21</v>
      </c>
      <c r="S42" s="775">
        <f t="shared" si="12"/>
        <v>100</v>
      </c>
      <c r="T42" s="774" t="s">
        <v>21</v>
      </c>
      <c r="U42" s="775">
        <f t="shared" si="13"/>
        <v>94</v>
      </c>
      <c r="V42" s="774" t="s">
        <v>21</v>
      </c>
      <c r="W42" s="775">
        <f t="shared" si="14"/>
        <v>94</v>
      </c>
      <c r="X42" s="1816"/>
      <c r="Y42" s="3173"/>
      <c r="Z42" s="1817" t="str">
        <f t="shared" si="18"/>
        <v>内部装修</v>
      </c>
      <c r="AA42" s="1814">
        <f t="shared" si="15"/>
        <v>1</v>
      </c>
      <c r="AB42" s="1814">
        <f t="shared" si="16"/>
        <v>1.0638297872340425</v>
      </c>
      <c r="AC42" s="1814">
        <f t="shared" si="17"/>
        <v>1.0638297872340425</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173"/>
      <c r="Z43" s="1817" t="str">
        <f t="shared" si="18"/>
        <v>内部装修维护情况</v>
      </c>
      <c r="AA43" s="1814">
        <f t="shared" si="15"/>
        <v>1</v>
      </c>
      <c r="AB43" s="1814">
        <f t="shared" si="16"/>
        <v>1</v>
      </c>
      <c r="AC43" s="1814">
        <f t="shared" si="17"/>
        <v>1</v>
      </c>
    </row>
    <row r="44" spans="1:29" s="117" customFormat="1" ht="15">
      <c r="A44" s="473"/>
      <c r="B44" s="2970" t="s">
        <v>3271</v>
      </c>
      <c r="C44" s="2971" t="s">
        <v>3273</v>
      </c>
      <c r="D44" s="136">
        <v>100</v>
      </c>
      <c r="E44" s="2971" t="s">
        <v>3273</v>
      </c>
      <c r="F44" s="425">
        <f>SUMIF(126:126,E44,127:127)-SUMIF(126:126,C44,127:127)+100</f>
        <v>100</v>
      </c>
      <c r="G44" s="2971" t="s">
        <v>3273</v>
      </c>
      <c r="H44" s="136">
        <f>SUMIF(126:126,G44,127:127)-SUMIF(126:126,C44,127:127)+100</f>
        <v>100</v>
      </c>
      <c r="I44" s="2971" t="s">
        <v>3272</v>
      </c>
      <c r="J44" s="136">
        <f>SUMIF(126:126,I44,127:127)-SUMIF(126:126,C44,127:127)+100</f>
        <v>103</v>
      </c>
      <c r="K44" s="2598"/>
      <c r="L44" s="1135"/>
      <c r="M44" s="1136"/>
      <c r="N44" s="1136"/>
      <c r="O44" s="1136"/>
      <c r="P44" s="3235"/>
      <c r="Q44" s="1798" t="str">
        <f t="shared" si="11"/>
        <v>景观</v>
      </c>
      <c r="R44" s="770" t="s">
        <v>21</v>
      </c>
      <c r="S44" s="771">
        <f t="shared" si="12"/>
        <v>100</v>
      </c>
      <c r="T44" s="770" t="s">
        <v>21</v>
      </c>
      <c r="U44" s="771">
        <f t="shared" si="13"/>
        <v>100</v>
      </c>
      <c r="V44" s="770" t="s">
        <v>21</v>
      </c>
      <c r="W44" s="771">
        <f t="shared" si="14"/>
        <v>103</v>
      </c>
      <c r="X44" s="772"/>
      <c r="Y44" s="3173"/>
      <c r="Z44" s="55" t="str">
        <f t="shared" si="18"/>
        <v>景观</v>
      </c>
      <c r="AA44" s="773">
        <f t="shared" si="15"/>
        <v>1</v>
      </c>
      <c r="AB44" s="773">
        <f t="shared" si="16"/>
        <v>1</v>
      </c>
      <c r="AC44" s="773">
        <f t="shared" si="17"/>
        <v>0.970873786407767</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173"/>
      <c r="Z45" s="1817">
        <f t="shared" si="18"/>
        <v>111</v>
      </c>
      <c r="AA45" s="1814">
        <f t="shared" si="15"/>
        <v>1</v>
      </c>
      <c r="AB45" s="1814">
        <f t="shared" si="16"/>
        <v>1</v>
      </c>
      <c r="AC45" s="1814">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7"/>
      <c r="Z46" s="1817">
        <f t="shared" si="18"/>
        <v>111</v>
      </c>
      <c r="AA46" s="1814">
        <f t="shared" si="15"/>
        <v>1</v>
      </c>
      <c r="AB46" s="1814">
        <f t="shared" si="16"/>
        <v>1</v>
      </c>
      <c r="AC46" s="1814">
        <f t="shared" si="17"/>
        <v>1</v>
      </c>
    </row>
    <row r="47" spans="1:29" ht="15">
      <c r="A47" s="479" t="s">
        <v>2569</v>
      </c>
      <c r="B47" s="480"/>
      <c r="C47" s="1410" t="s">
        <v>19</v>
      </c>
      <c r="D47" s="1411"/>
      <c r="E47" s="1412">
        <f>18000*0.95</f>
        <v>17100</v>
      </c>
      <c r="F47" s="1413"/>
      <c r="G47" s="1414">
        <f>15000*0.95</f>
        <v>14250</v>
      </c>
      <c r="H47" s="1415"/>
      <c r="I47" s="1412">
        <f>17000*0.95</f>
        <v>16150</v>
      </c>
      <c r="J47" s="1415"/>
      <c r="K47" s="2617"/>
      <c r="L47" s="1146"/>
      <c r="M47" s="1147"/>
      <c r="N47" s="1134"/>
      <c r="O47" s="1147"/>
      <c r="P47" s="3168" t="str">
        <f>A47</f>
        <v>成交单价（元/平方米）</v>
      </c>
      <c r="Q47" s="3168"/>
      <c r="R47" s="3233">
        <f>E47</f>
        <v>17100</v>
      </c>
      <c r="S47" s="3233"/>
      <c r="T47" s="3233">
        <f>G47</f>
        <v>14250</v>
      </c>
      <c r="U47" s="3233"/>
      <c r="V47" s="3233">
        <f>I47</f>
        <v>16150</v>
      </c>
      <c r="W47" s="3233"/>
      <c r="X47" s="759"/>
      <c r="Y47" s="781"/>
      <c r="Z47" s="759"/>
      <c r="AA47" s="759"/>
      <c r="AB47" s="759"/>
      <c r="AC47" s="759"/>
    </row>
    <row r="48" spans="1:29" ht="15.75" thickBot="1">
      <c r="A48" s="486" t="s">
        <v>2570</v>
      </c>
      <c r="B48" s="487"/>
      <c r="C48" s="1416">
        <f>R49</f>
        <v>15233</v>
      </c>
      <c r="D48" s="1417"/>
      <c r="E48" s="1418">
        <f>R48</f>
        <v>15802</v>
      </c>
      <c r="F48" s="1418"/>
      <c r="G48" s="1416">
        <f>T48</f>
        <v>14021</v>
      </c>
      <c r="H48" s="1417"/>
      <c r="I48" s="1418">
        <f>V48</f>
        <v>15877</v>
      </c>
      <c r="J48" s="1417"/>
      <c r="K48" s="2618"/>
      <c r="L48" s="1146"/>
      <c r="M48" s="1147"/>
      <c r="N48" s="1147"/>
      <c r="O48" s="1147"/>
      <c r="P48" s="3168" t="str">
        <f>A48</f>
        <v>比较价值（元/平方米）</v>
      </c>
      <c r="Q48" s="3168"/>
      <c r="R48" s="3233">
        <f>IF(F1="售价",ROUND(PRODUCT(R47,AA7:AA46),0),ROUND(PRODUCT(R47,AA7:AA46),1))</f>
        <v>15802</v>
      </c>
      <c r="S48" s="3233"/>
      <c r="T48" s="3233">
        <f>IF(F1="售价",ROUND(PRODUCT(T47,AB7:AB46),0),ROUND(PRODUCT(T47,AB7:AB46),1))</f>
        <v>14021</v>
      </c>
      <c r="U48" s="3233"/>
      <c r="V48" s="3233">
        <f>IF(F1="售价",ROUND(PRODUCT(V47,AC7:AC46),0),ROUND(PRODUCT(V47,AC7:AC46),1))</f>
        <v>15877</v>
      </c>
      <c r="W48" s="3233"/>
      <c r="X48" s="759"/>
      <c r="Y48" s="759"/>
      <c r="Z48" s="759"/>
      <c r="AA48" s="759"/>
      <c r="AB48" s="759"/>
      <c r="AC48" s="759"/>
    </row>
    <row r="49" spans="1:29" ht="15.75" thickBot="1">
      <c r="A49" s="492" t="s">
        <v>2571</v>
      </c>
      <c r="B49" s="493"/>
      <c r="C49" s="1419">
        <f>R49</f>
        <v>15233</v>
      </c>
      <c r="D49" s="1420"/>
      <c r="E49" s="1420"/>
      <c r="F49" s="1420"/>
      <c r="G49" s="1420"/>
      <c r="H49" s="1420"/>
      <c r="I49" s="1420"/>
      <c r="J49" s="1420"/>
      <c r="K49" s="2619"/>
      <c r="L49" s="1146"/>
      <c r="M49" s="1147"/>
      <c r="N49" s="1147"/>
      <c r="O49" s="1147"/>
      <c r="P49" s="3162" t="str">
        <f>A49</f>
        <v>估价对象XX用房的比较价值（楼面单价，元/平方米）</v>
      </c>
      <c r="Q49" s="3163"/>
      <c r="R49" s="3232">
        <f>IF(F1="售价",ROUND(AVERAGE(R48:V48),0),ROUND(AVERAGE(R48:V48),1))</f>
        <v>15233</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8.2141501075813084E-2</v>
      </c>
      <c r="F52" s="500" t="str">
        <f>IF(OR(E52&gt;=0.3,E52&lt;=-0.3),"超过30%","")</f>
        <v/>
      </c>
      <c r="G52" s="499">
        <f>IF(G47&lt;G48,G48/G47-1,G47/G48-1)</f>
        <v>1.6332643891305842E-2</v>
      </c>
      <c r="H52" s="500" t="str">
        <f>IF(OR(G52&gt;=0.3,G52&lt;=-0.3),"超过30%","")</f>
        <v/>
      </c>
      <c r="I52" s="499">
        <f>IF(I47&lt;I48,I48/I47-1,I47/I48-1)</f>
        <v>1.7194684134282268E-2</v>
      </c>
      <c r="J52" s="500" t="str">
        <f>IF(OR(I52&gt;=0.3,I52&lt;=-0.3),"超过30%","")</f>
        <v/>
      </c>
      <c r="K52" s="1108"/>
      <c r="L52" s="1109"/>
      <c r="M52" s="1147"/>
      <c r="N52" s="1147"/>
      <c r="O52" s="1147"/>
    </row>
    <row r="53" spans="1:29" ht="13.5" customHeight="1">
      <c r="A53" s="1147"/>
      <c r="B53" s="1147"/>
      <c r="C53" s="497" t="s">
        <v>2573</v>
      </c>
      <c r="D53" s="501"/>
      <c r="E53" s="499">
        <f>IF(E48&lt;G48,G48/E48-1,E48/G48-1)</f>
        <v>0.12702375008915201</v>
      </c>
      <c r="F53" s="500" t="str">
        <f>IF(OR(E53&gt;=0.2,E53&lt;=-0.2),"超过20%","")</f>
        <v/>
      </c>
      <c r="G53" s="499">
        <f>IF(G48&lt;I48,I48/G48-1,G48/I48-1)</f>
        <v>0.13237286926752723</v>
      </c>
      <c r="H53" s="500" t="str">
        <f>IF(OR(G53&gt;=0.2,G53&lt;=-0.2),"超过20%","")</f>
        <v/>
      </c>
      <c r="I53" s="499">
        <f>IF(I48&lt;E48,E48/I48-1,I48/E48-1)</f>
        <v>4.7462346538413858E-3</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0.19999999999999996</v>
      </c>
      <c r="F54" s="500" t="str">
        <f>IF(OR(E54&gt;=0.3,E54&lt;=-0.3),"超过30%","")</f>
        <v/>
      </c>
      <c r="G54" s="499">
        <f>IF(G47&lt;I47,I47/G47-1,G47/I47-1)</f>
        <v>0.1333333333333333</v>
      </c>
      <c r="H54" s="500" t="str">
        <f>IF(OR(G54&gt;=0.3,G54&lt;=-0.3),"超过30%","")</f>
        <v/>
      </c>
      <c r="I54" s="499">
        <f>IF(I47&lt;E47,E47/I47-1,I47/E47-1)</f>
        <v>5.8823529411764719E-2</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2"/>
      <c r="Q57" s="504"/>
    </row>
    <row r="58" spans="1:29" s="508" customFormat="1" ht="15">
      <c r="A58" s="505" t="s">
        <v>2576</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23"/>
      <c r="C59" s="1576">
        <v>100</v>
      </c>
      <c r="D59" s="511"/>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2578</v>
      </c>
      <c r="B61" s="510"/>
      <c r="C61" s="522" t="s">
        <v>2579</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26"/>
      <c r="Q85" s="504"/>
    </row>
    <row r="86" spans="1:17" s="117" customFormat="1" ht="15.75" thickTop="1">
      <c r="A86" s="579"/>
      <c r="B86" s="538" t="s">
        <v>2602</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2603</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2555</v>
      </c>
      <c r="B100" s="528" t="s">
        <v>2604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29.25" thickTop="1">
      <c r="A102" s="534"/>
      <c r="B102" s="538" t="s">
        <v>2605</v>
      </c>
      <c r="C102" s="578" t="str">
        <f>C103&amp;"(含)"&amp;"-"&amp;D103</f>
        <v>0(含)-100000</v>
      </c>
      <c r="D102" s="578" t="str">
        <f t="shared" ref="D102:L102" si="27">D103&amp;"(含)"&amp;"-"&amp;E103</f>
        <v>100000(含)-500000</v>
      </c>
      <c r="E102" s="578" t="str">
        <f t="shared" si="27"/>
        <v>500000(含)-1000000</v>
      </c>
      <c r="F102" s="578" t="str">
        <f t="shared" si="27"/>
        <v>1000000(含)-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500000</v>
      </c>
      <c r="F103" s="595">
        <v>1000000</v>
      </c>
      <c r="G103" s="595"/>
      <c r="H103" s="595"/>
      <c r="I103" s="595"/>
      <c r="J103" s="596"/>
      <c r="K103" s="596"/>
      <c r="L103" s="597"/>
      <c r="M103" s="598"/>
      <c r="N103" s="1157"/>
      <c r="O103" s="1157"/>
      <c r="P103" s="2627"/>
      <c r="Q103" s="559"/>
    </row>
    <row r="104" spans="1:17" s="471" customFormat="1" ht="15.75" thickBot="1">
      <c r="A104" s="553"/>
      <c r="B104" s="543"/>
      <c r="C104" s="560">
        <v>100</v>
      </c>
      <c r="D104" s="536">
        <v>103</v>
      </c>
      <c r="E104" s="536">
        <v>106</v>
      </c>
      <c r="F104" s="536">
        <v>109</v>
      </c>
      <c r="G104" s="536"/>
      <c r="H104" s="536"/>
      <c r="I104" s="536"/>
      <c r="J104" s="536"/>
      <c r="K104" s="536"/>
      <c r="L104" s="536"/>
      <c r="M104" s="536"/>
      <c r="N104" s="1156"/>
      <c r="O104" s="1156"/>
      <c r="P104" s="2627"/>
      <c r="Q104" s="559"/>
    </row>
    <row r="105" spans="1:17" ht="15" thickTop="1">
      <c r="A105" s="599"/>
      <c r="B105" s="538" t="s">
        <v>2606</v>
      </c>
      <c r="C105" s="2949" t="s">
        <v>3225</v>
      </c>
      <c r="D105" s="2949" t="s">
        <v>3226</v>
      </c>
      <c r="E105" s="2950" t="s">
        <v>3227</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2607</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2608</v>
      </c>
      <c r="C109" s="2949" t="s">
        <v>3201</v>
      </c>
      <c r="D109" s="2949" t="s">
        <v>3202</v>
      </c>
      <c r="E109" s="2949" t="s">
        <v>3203</v>
      </c>
      <c r="F109" s="2950" t="s">
        <v>3205</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2609</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2610</v>
      </c>
      <c r="C116" s="2949" t="s">
        <v>3210</v>
      </c>
      <c r="D116" s="2949" t="s">
        <v>3212</v>
      </c>
      <c r="E116" s="2949" t="s">
        <v>3213</v>
      </c>
      <c r="F116" s="2949" t="s">
        <v>3214</v>
      </c>
      <c r="G116" s="2949" t="s">
        <v>3215</v>
      </c>
      <c r="H116" s="583"/>
      <c r="I116" s="583"/>
      <c r="J116" s="583"/>
      <c r="K116" s="584"/>
      <c r="L116" s="585"/>
      <c r="M116" s="586"/>
      <c r="N116" s="1155"/>
      <c r="O116" s="1155"/>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6"/>
      <c r="Q117" s="504"/>
    </row>
    <row r="118" spans="1:17" ht="15" thickTop="1">
      <c r="A118" s="599"/>
      <c r="B118" s="538" t="s">
        <v>2611</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2612</v>
      </c>
      <c r="C122" s="2949" t="s">
        <v>3201</v>
      </c>
      <c r="D122" s="2949" t="s">
        <v>3202</v>
      </c>
      <c r="E122" s="2949" t="s">
        <v>3203</v>
      </c>
      <c r="F122" s="2950" t="s">
        <v>3205</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t="str">
        <f>B44</f>
        <v>景观</v>
      </c>
      <c r="C126" s="2949" t="s">
        <v>3272</v>
      </c>
      <c r="D126" s="2949" t="s">
        <v>3273</v>
      </c>
      <c r="E126" s="554"/>
      <c r="F126" s="554"/>
      <c r="G126" s="554"/>
      <c r="H126" s="555"/>
      <c r="I126" s="555"/>
      <c r="J126" s="555"/>
      <c r="K126" s="555"/>
      <c r="L126" s="556"/>
      <c r="M126" s="557"/>
      <c r="N126" s="1157"/>
      <c r="O126" s="1157"/>
      <c r="P126" s="2627"/>
      <c r="Q126" s="559"/>
    </row>
    <row r="127" spans="1:17" s="471" customFormat="1" ht="15.75" thickBot="1">
      <c r="A127" s="553"/>
      <c r="B127" s="543"/>
      <c r="C127" s="560">
        <v>100</v>
      </c>
      <c r="D127" s="536">
        <v>97</v>
      </c>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7">
        <v>6</v>
      </c>
      <c r="C139" s="1088">
        <v>96</v>
      </c>
      <c r="D139" s="2644" t="s">
        <v>2623</v>
      </c>
      <c r="E139" s="1089">
        <v>100</v>
      </c>
      <c r="F139" s="1090">
        <v>102.5</v>
      </c>
      <c r="G139" s="2644" t="s">
        <v>2623</v>
      </c>
      <c r="H139" s="1091">
        <v>105</v>
      </c>
      <c r="I139" s="2645" t="s">
        <v>2624</v>
      </c>
      <c r="J139" s="1088">
        <v>20</v>
      </c>
      <c r="K139" s="1092">
        <f>C145/(J139-2)</f>
        <v>4.0555555555555553E-3</v>
      </c>
    </row>
    <row r="140" spans="1:17" ht="15">
      <c r="B140" s="1093">
        <v>5</v>
      </c>
      <c r="C140" s="1094">
        <v>100</v>
      </c>
      <c r="D140" s="1094"/>
      <c r="E140" s="1095"/>
      <c r="F140" s="1096">
        <v>102</v>
      </c>
      <c r="G140" s="1094"/>
      <c r="H140" s="1097"/>
      <c r="I140" s="2646" t="s">
        <v>2625</v>
      </c>
      <c r="J140" s="315">
        <f>ROUNDUP((J139-1)/2,0)</f>
        <v>10</v>
      </c>
      <c r="K140" s="1098">
        <v>100</v>
      </c>
    </row>
    <row r="141" spans="1:17" ht="15">
      <c r="B141" s="1093">
        <v>4</v>
      </c>
      <c r="C141" s="1094">
        <v>102</v>
      </c>
      <c r="D141" s="1094"/>
      <c r="E141" s="1095"/>
      <c r="F141" s="1096">
        <v>101.5</v>
      </c>
      <c r="G141" s="1094"/>
      <c r="H141" s="1097"/>
      <c r="I141" s="2646" t="s">
        <v>2626</v>
      </c>
      <c r="J141" s="315">
        <v>1</v>
      </c>
      <c r="K141" s="1099">
        <f>ROUND(100+(J141-J140)*K139*100,1)</f>
        <v>96.4</v>
      </c>
    </row>
    <row r="142" spans="1:17" ht="15">
      <c r="B142" s="1093">
        <v>3</v>
      </c>
      <c r="C142" s="1094">
        <v>103</v>
      </c>
      <c r="D142" s="1094"/>
      <c r="E142" s="1095"/>
      <c r="F142" s="1096">
        <v>101</v>
      </c>
      <c r="G142" s="1094"/>
      <c r="H142" s="1097"/>
      <c r="I142" s="2646" t="s">
        <v>2627</v>
      </c>
      <c r="J142" s="315">
        <f>J139</f>
        <v>20</v>
      </c>
      <c r="K142" s="1100">
        <v>95</v>
      </c>
    </row>
    <row r="143" spans="1:17" ht="15">
      <c r="B143" s="1093">
        <v>2</v>
      </c>
      <c r="C143" s="1094">
        <v>100</v>
      </c>
      <c r="D143" s="1094"/>
      <c r="E143" s="1095"/>
      <c r="F143" s="1096">
        <v>100.5</v>
      </c>
      <c r="G143" s="1094"/>
      <c r="H143" s="1097"/>
      <c r="I143" s="2646" t="s">
        <v>2628</v>
      </c>
      <c r="J143" s="1094">
        <v>15</v>
      </c>
      <c r="K143" s="1099">
        <f>ROUND(100+(J143-J140)*K139*100,1)</f>
        <v>102</v>
      </c>
    </row>
    <row r="144" spans="1:17" ht="15">
      <c r="B144" s="1093">
        <v>1</v>
      </c>
      <c r="C144" s="1094">
        <v>98</v>
      </c>
      <c r="D144" s="2647" t="s">
        <v>2629</v>
      </c>
      <c r="E144" s="1095">
        <v>102</v>
      </c>
      <c r="F144" s="1101">
        <v>100</v>
      </c>
      <c r="G144" s="2647" t="s">
        <v>2629</v>
      </c>
      <c r="H144" s="1097">
        <v>105</v>
      </c>
      <c r="I144" s="2646" t="s">
        <v>2628</v>
      </c>
      <c r="J144" s="1094">
        <v>18</v>
      </c>
      <c r="K144" s="1099">
        <f>ROUND(100+(J144-J140)*K139*100,1)</f>
        <v>103.2</v>
      </c>
    </row>
    <row r="145" spans="2:11" ht="15.75" thickBot="1">
      <c r="B145" s="2648" t="s">
        <v>2630</v>
      </c>
      <c r="C145" s="1102">
        <f>ROUND(MAX(C139:C144)/MIN(C139:C144)-1,3)</f>
        <v>7.2999999999999995E-2</v>
      </c>
      <c r="D145" s="1103"/>
      <c r="E145" s="1103"/>
      <c r="F145" s="2649" t="s">
        <v>2631</v>
      </c>
      <c r="G145" s="2650"/>
      <c r="H145" s="2651"/>
      <c r="I145" s="2652" t="s">
        <v>2628</v>
      </c>
      <c r="J145" s="1104">
        <v>8</v>
      </c>
      <c r="K145" s="1105">
        <f>ROUND(100+(J145-J140)*K139*100,1)</f>
        <v>99.2</v>
      </c>
    </row>
    <row r="147" spans="2:11">
      <c r="B147" s="2633" t="s">
        <v>2632</v>
      </c>
    </row>
    <row r="148" spans="2:11">
      <c r="B148" s="2633"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C32" sqref="C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2634</v>
      </c>
      <c r="C1" s="1637" t="s">
        <v>2522</v>
      </c>
      <c r="D1" s="1624" t="s">
        <v>3184</v>
      </c>
      <c r="E1" s="2653"/>
      <c r="F1" s="2582" t="s">
        <v>3070</v>
      </c>
      <c r="G1" s="1634" t="s">
        <v>2524</v>
      </c>
      <c r="H1" s="1633"/>
      <c r="I1" s="1633"/>
      <c r="J1" s="1633"/>
      <c r="K1" s="1635"/>
      <c r="L1" s="1636"/>
      <c r="M1" s="1637"/>
      <c r="N1" s="1637"/>
      <c r="O1" s="1637"/>
      <c r="P1" s="2654"/>
      <c r="Q1" s="2655"/>
      <c r="R1" s="2655"/>
      <c r="S1" s="2655"/>
      <c r="T1" s="2655"/>
      <c r="U1" s="2655"/>
      <c r="V1" s="2655"/>
      <c r="W1" s="2655"/>
      <c r="X1" s="2655"/>
      <c r="Y1" s="2655"/>
      <c r="Z1" s="2655"/>
      <c r="AA1" s="2655"/>
      <c r="AB1" s="2655"/>
      <c r="AC1" s="2656"/>
    </row>
    <row r="2" spans="1:29" s="398" customFormat="1" ht="28.5" customHeight="1" thickTop="1">
      <c r="A2" s="1620" t="s">
        <v>1394</v>
      </c>
      <c r="B2" s="1421">
        <f>IF(C2="——",ROUND(C49*D3/10000,0),ROUND(C49*D3/10000,0)-D2)</f>
        <v>17054</v>
      </c>
      <c r="C2" s="2584" t="s">
        <v>70</v>
      </c>
      <c r="D2" s="1368" t="e">
        <f ca="1">SUMIF(INDIRECT("'"&amp;F2&amp;"'"&amp;"!A:A"),"承租人权益价值",INDIRECT("'"&amp;F2&amp;"'"&amp;"!c:c"))</f>
        <v>#REF!</v>
      </c>
      <c r="E2" s="2585" t="s">
        <v>2323</v>
      </c>
      <c r="F2" s="2586"/>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1395</v>
      </c>
      <c r="B3" s="609">
        <f>IF(C2="——",C49,ROUND(B2*10000/D3,0))</f>
        <v>39809</v>
      </c>
      <c r="C3" s="400" t="s">
        <v>2526</v>
      </c>
      <c r="D3" s="399">
        <f>IF(D1="",'数据-汇总表'!E3,SUMIF('数据-汇总表'!$C19:$C33,D1,'数据-汇总表'!$E19:$E33))</f>
        <v>4283.87</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2527</v>
      </c>
      <c r="B4" s="402"/>
      <c r="C4" s="3165" t="s">
        <v>2528</v>
      </c>
      <c r="D4" s="3178"/>
      <c r="E4" s="3179" t="s">
        <v>2529</v>
      </c>
      <c r="F4" s="3180"/>
      <c r="G4" s="3165" t="s">
        <v>2530</v>
      </c>
      <c r="H4" s="3178"/>
      <c r="I4" s="3165" t="s">
        <v>2531</v>
      </c>
      <c r="J4" s="3178"/>
      <c r="K4" s="610" t="s">
        <v>2532</v>
      </c>
      <c r="L4" s="1133"/>
      <c r="M4" s="1134"/>
      <c r="N4" s="1134"/>
      <c r="O4" s="1134"/>
      <c r="P4" s="3181" t="s">
        <v>2533</v>
      </c>
      <c r="Q4" s="3182"/>
      <c r="R4" s="3187" t="s">
        <v>2529</v>
      </c>
      <c r="S4" s="3188"/>
      <c r="T4" s="3187" t="s">
        <v>2530</v>
      </c>
      <c r="U4" s="3188"/>
      <c r="V4" s="3174" t="s">
        <v>2531</v>
      </c>
      <c r="W4" s="3174"/>
      <c r="X4" s="2964"/>
      <c r="Y4" s="3187" t="s">
        <v>2533</v>
      </c>
      <c r="Z4" s="3188"/>
      <c r="AA4" s="3175" t="s">
        <v>2529</v>
      </c>
      <c r="AB4" s="3174" t="s">
        <v>2530</v>
      </c>
      <c r="AC4" s="3175" t="s">
        <v>2531</v>
      </c>
    </row>
    <row r="5" spans="1:29" ht="15">
      <c r="A5" s="404"/>
      <c r="B5" s="405"/>
      <c r="C5" s="3200" t="s">
        <v>3076</v>
      </c>
      <c r="D5" s="3196"/>
      <c r="E5" s="3241" t="s">
        <v>3130</v>
      </c>
      <c r="F5" s="3204"/>
      <c r="G5" s="3200" t="s">
        <v>3131</v>
      </c>
      <c r="H5" s="3196"/>
      <c r="I5" s="3200" t="s">
        <v>3132</v>
      </c>
      <c r="J5" s="3196"/>
      <c r="K5" s="610"/>
      <c r="L5" s="1133"/>
      <c r="M5" s="1134"/>
      <c r="N5" s="1134"/>
      <c r="O5" s="1134"/>
      <c r="P5" s="3183"/>
      <c r="Q5" s="3184"/>
      <c r="R5" s="3189"/>
      <c r="S5" s="3190"/>
      <c r="T5" s="3189"/>
      <c r="U5" s="3190"/>
      <c r="V5" s="3174"/>
      <c r="W5" s="3174"/>
      <c r="X5" s="2964"/>
      <c r="Y5" s="3189"/>
      <c r="Z5" s="3190"/>
      <c r="AA5" s="3176"/>
      <c r="AB5" s="3174"/>
      <c r="AC5" s="3176"/>
    </row>
    <row r="6" spans="1:29" ht="32.25" customHeight="1" thickBot="1">
      <c r="A6" s="406"/>
      <c r="B6" s="407"/>
      <c r="C6" s="3193" t="s">
        <v>3081</v>
      </c>
      <c r="D6" s="3194"/>
      <c r="E6" s="3201" t="s">
        <v>3228</v>
      </c>
      <c r="F6" s="3202"/>
      <c r="G6" s="3193" t="s">
        <v>3230</v>
      </c>
      <c r="H6" s="3194"/>
      <c r="I6" s="3193" t="s">
        <v>3231</v>
      </c>
      <c r="J6" s="3194"/>
      <c r="K6" s="610" t="s">
        <v>2539</v>
      </c>
      <c r="L6" s="1133"/>
      <c r="M6" s="1134"/>
      <c r="N6" s="1134"/>
      <c r="O6" s="1134"/>
      <c r="P6" s="3185"/>
      <c r="Q6" s="3186"/>
      <c r="R6" s="3189"/>
      <c r="S6" s="3190"/>
      <c r="T6" s="3191"/>
      <c r="U6" s="3192"/>
      <c r="V6" s="3174"/>
      <c r="W6" s="3174"/>
      <c r="X6" s="2964"/>
      <c r="Y6" s="3191"/>
      <c r="Z6" s="3192"/>
      <c r="AA6" s="3177"/>
      <c r="AB6" s="3174"/>
      <c r="AC6" s="3177"/>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611"/>
      <c r="L7" s="1135"/>
      <c r="M7" s="1136"/>
      <c r="N7" s="1136"/>
      <c r="O7" s="1136"/>
      <c r="P7" s="3197" t="s">
        <v>2541</v>
      </c>
      <c r="Q7" s="3199"/>
      <c r="R7" s="770" t="s">
        <v>17</v>
      </c>
      <c r="S7" s="771">
        <f t="shared" ref="S7:S15" si="0">F7</f>
        <v>100</v>
      </c>
      <c r="T7" s="770" t="s">
        <v>17</v>
      </c>
      <c r="U7" s="771">
        <f t="shared" ref="U7:U15" si="1">H7</f>
        <v>100</v>
      </c>
      <c r="V7" s="770" t="s">
        <v>17</v>
      </c>
      <c r="W7" s="771">
        <f t="shared" ref="W7:W15" si="2">J7</f>
        <v>100</v>
      </c>
      <c r="X7" s="772"/>
      <c r="Y7" s="3197" t="s">
        <v>2541</v>
      </c>
      <c r="Z7" s="3198"/>
      <c r="AA7" s="773">
        <f>D7/F7</f>
        <v>1</v>
      </c>
      <c r="AB7" s="773">
        <f>D7/H7</f>
        <v>1</v>
      </c>
      <c r="AC7" s="773">
        <f>D7/J7</f>
        <v>1</v>
      </c>
    </row>
    <row r="8" spans="1:29" s="117" customFormat="1" ht="15.75" thickBot="1">
      <c r="A8" s="408" t="s">
        <v>2542</v>
      </c>
      <c r="B8" s="409"/>
      <c r="C8" s="414" t="s">
        <v>2579</v>
      </c>
      <c r="D8" s="411">
        <v>100</v>
      </c>
      <c r="E8" s="414" t="s">
        <v>2579</v>
      </c>
      <c r="F8" s="413">
        <f>SUMIF(61:61,E8,62:62)-SUMIF(61:61,C8,62:62)+100</f>
        <v>100</v>
      </c>
      <c r="G8" s="414" t="s">
        <v>2579</v>
      </c>
      <c r="H8" s="411">
        <f>SUMIF(61:61,G8,62:62)-SUMIF(61:61,C8,62:62)+100</f>
        <v>100</v>
      </c>
      <c r="I8" s="414" t="s">
        <v>2579</v>
      </c>
      <c r="J8" s="411">
        <f>SUMIF(61:61,I8,62:62)-SUMIF(61:61,C8,62:62)+100</f>
        <v>100</v>
      </c>
      <c r="K8" s="611"/>
      <c r="L8" s="1135"/>
      <c r="M8" s="1136"/>
      <c r="N8" s="1136"/>
      <c r="O8" s="1136"/>
      <c r="P8" s="3197" t="s">
        <v>2544</v>
      </c>
      <c r="Q8" s="3198"/>
      <c r="R8" s="770" t="s">
        <v>17</v>
      </c>
      <c r="S8" s="771">
        <f t="shared" si="0"/>
        <v>100</v>
      </c>
      <c r="T8" s="770" t="s">
        <v>17</v>
      </c>
      <c r="U8" s="771">
        <f t="shared" si="1"/>
        <v>100</v>
      </c>
      <c r="V8" s="770" t="s">
        <v>17</v>
      </c>
      <c r="W8" s="771">
        <f t="shared" si="2"/>
        <v>100</v>
      </c>
      <c r="X8" s="772"/>
      <c r="Y8" s="3197" t="s">
        <v>2544</v>
      </c>
      <c r="Z8" s="3198"/>
      <c r="AA8" s="773">
        <f t="shared" ref="AA8:AA46" si="3">D8/F8</f>
        <v>1</v>
      </c>
      <c r="AB8" s="773">
        <f t="shared" ref="AB8:AB46" si="4">D8/H8</f>
        <v>1</v>
      </c>
      <c r="AC8" s="773">
        <f t="shared" ref="AC8:AC46" si="5">D8/J8</f>
        <v>1</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2547</v>
      </c>
      <c r="Q9" s="2958" t="str">
        <f t="shared" ref="Q9:Q15" si="6">B9</f>
        <v>用途</v>
      </c>
      <c r="R9" s="770" t="s">
        <v>17</v>
      </c>
      <c r="S9" s="771">
        <f t="shared" si="0"/>
        <v>100</v>
      </c>
      <c r="T9" s="770" t="s">
        <v>17</v>
      </c>
      <c r="U9" s="771">
        <f t="shared" si="1"/>
        <v>100</v>
      </c>
      <c r="V9" s="770" t="s">
        <v>17</v>
      </c>
      <c r="W9" s="771">
        <f t="shared" si="2"/>
        <v>100</v>
      </c>
      <c r="X9" s="772"/>
      <c r="Y9" s="3016" t="s">
        <v>2548</v>
      </c>
      <c r="Z9" s="2959" t="str">
        <f t="shared" ref="Z9:Z15" si="7">Q9</f>
        <v>用途</v>
      </c>
      <c r="AA9" s="773">
        <f t="shared" si="3"/>
        <v>1</v>
      </c>
      <c r="AB9" s="773">
        <f t="shared" si="4"/>
        <v>1</v>
      </c>
      <c r="AC9" s="773">
        <f t="shared" si="5"/>
        <v>1</v>
      </c>
    </row>
    <row r="10" spans="1:29" s="427" customFormat="1" ht="27">
      <c r="A10" s="421"/>
      <c r="B10" s="2960" t="s">
        <v>2549</v>
      </c>
      <c r="C10" s="423" t="s">
        <v>3133</v>
      </c>
      <c r="D10" s="136">
        <v>100</v>
      </c>
      <c r="E10" s="423" t="s">
        <v>3133</v>
      </c>
      <c r="F10" s="425">
        <f>SUMIF(65:65,E10,66:66)-SUMIF(65:65,C10,66:66)+100</f>
        <v>100</v>
      </c>
      <c r="G10" s="423" t="s">
        <v>3133</v>
      </c>
      <c r="H10" s="136">
        <f>SUMIF(65:65,G10,66:66)-SUMIF(65:65,C10,66:66)+100</f>
        <v>100</v>
      </c>
      <c r="I10" s="423" t="s">
        <v>3133</v>
      </c>
      <c r="J10" s="136">
        <f>SUMIF(65:65,I10,66:66)-SUMIF(65:65,C10,66:66)+100</f>
        <v>100</v>
      </c>
      <c r="K10" s="612"/>
      <c r="L10" s="1138"/>
      <c r="M10" s="1139"/>
      <c r="N10" s="1139"/>
      <c r="O10" s="1139"/>
      <c r="P10" s="3167"/>
      <c r="Q10" s="2958" t="str">
        <f t="shared" si="6"/>
        <v>土地使用年限（年）</v>
      </c>
      <c r="R10" s="770" t="s">
        <v>17</v>
      </c>
      <c r="S10" s="771">
        <f t="shared" si="0"/>
        <v>100</v>
      </c>
      <c r="T10" s="770" t="s">
        <v>17</v>
      </c>
      <c r="U10" s="771">
        <f t="shared" si="1"/>
        <v>100</v>
      </c>
      <c r="V10" s="770" t="s">
        <v>17</v>
      </c>
      <c r="W10" s="771">
        <f t="shared" si="2"/>
        <v>100</v>
      </c>
      <c r="X10" s="772"/>
      <c r="Y10" s="3016"/>
      <c r="Z10" s="2959" t="str">
        <f t="shared" si="7"/>
        <v>土地使用年限（年）</v>
      </c>
      <c r="AA10" s="773">
        <f t="shared" si="3"/>
        <v>1</v>
      </c>
      <c r="AB10" s="773">
        <f t="shared" si="4"/>
        <v>1</v>
      </c>
      <c r="AC10" s="773">
        <f t="shared" si="5"/>
        <v>1</v>
      </c>
    </row>
    <row r="11" spans="1:29" ht="15.75" thickBot="1">
      <c r="A11" s="428"/>
      <c r="B11" s="2960"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67"/>
      <c r="Q11" s="2958" t="str">
        <f t="shared" si="6"/>
        <v>容积率</v>
      </c>
      <c r="R11" s="770" t="s">
        <v>17</v>
      </c>
      <c r="S11" s="771">
        <f t="shared" si="0"/>
        <v>100</v>
      </c>
      <c r="T11" s="770" t="s">
        <v>17</v>
      </c>
      <c r="U11" s="771">
        <f t="shared" si="1"/>
        <v>100</v>
      </c>
      <c r="V11" s="770" t="s">
        <v>17</v>
      </c>
      <c r="W11" s="771">
        <f t="shared" si="2"/>
        <v>100</v>
      </c>
      <c r="X11" s="772"/>
      <c r="Y11" s="3016"/>
      <c r="Z11" s="2959" t="str">
        <f t="shared" si="7"/>
        <v>容积率</v>
      </c>
      <c r="AA11" s="773">
        <f t="shared" si="3"/>
        <v>1</v>
      </c>
      <c r="AB11" s="773">
        <f t="shared" si="4"/>
        <v>1</v>
      </c>
      <c r="AC11" s="773">
        <f t="shared" si="5"/>
        <v>1</v>
      </c>
    </row>
    <row r="12" spans="1:29" s="117" customFormat="1" ht="15.75"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2958">
        <f t="shared" si="6"/>
        <v>111</v>
      </c>
      <c r="R12" s="770" t="s">
        <v>17</v>
      </c>
      <c r="S12" s="771">
        <f t="shared" si="0"/>
        <v>100</v>
      </c>
      <c r="T12" s="770" t="s">
        <v>17</v>
      </c>
      <c r="U12" s="771">
        <f t="shared" si="1"/>
        <v>100</v>
      </c>
      <c r="V12" s="770" t="s">
        <v>17</v>
      </c>
      <c r="W12" s="771">
        <f t="shared" si="2"/>
        <v>100</v>
      </c>
      <c r="X12" s="772"/>
      <c r="Y12" s="3016"/>
      <c r="Z12" s="2959">
        <f t="shared" si="7"/>
        <v>111</v>
      </c>
      <c r="AA12" s="773">
        <f>D12/F12</f>
        <v>1</v>
      </c>
      <c r="AB12" s="773">
        <f>D12/H12</f>
        <v>1</v>
      </c>
      <c r="AC12" s="773">
        <f>D12/J12</f>
        <v>1</v>
      </c>
    </row>
    <row r="13" spans="1:29" ht="15.75"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2958">
        <f t="shared" si="6"/>
        <v>111</v>
      </c>
      <c r="R13" s="770" t="s">
        <v>17</v>
      </c>
      <c r="S13" s="771">
        <f t="shared" si="0"/>
        <v>100</v>
      </c>
      <c r="T13" s="770" t="s">
        <v>17</v>
      </c>
      <c r="U13" s="771">
        <f t="shared" si="1"/>
        <v>100</v>
      </c>
      <c r="V13" s="770" t="s">
        <v>17</v>
      </c>
      <c r="W13" s="771">
        <f t="shared" si="2"/>
        <v>100</v>
      </c>
      <c r="X13" s="772"/>
      <c r="Y13" s="3016"/>
      <c r="Z13" s="2959">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2958">
        <f t="shared" si="6"/>
        <v>111</v>
      </c>
      <c r="R14" s="770" t="s">
        <v>17</v>
      </c>
      <c r="S14" s="771">
        <f t="shared" si="0"/>
        <v>100</v>
      </c>
      <c r="T14" s="770" t="s">
        <v>17</v>
      </c>
      <c r="U14" s="771">
        <f t="shared" si="1"/>
        <v>100</v>
      </c>
      <c r="V14" s="770" t="s">
        <v>17</v>
      </c>
      <c r="W14" s="771">
        <f t="shared" si="2"/>
        <v>100</v>
      </c>
      <c r="X14" s="772"/>
      <c r="Y14" s="3016"/>
      <c r="Z14" s="2959">
        <f t="shared" si="7"/>
        <v>111</v>
      </c>
      <c r="AA14" s="773">
        <f t="shared" si="3"/>
        <v>1</v>
      </c>
      <c r="AB14" s="773">
        <f t="shared" si="4"/>
        <v>1</v>
      </c>
      <c r="AC14" s="773">
        <f t="shared" si="5"/>
        <v>1</v>
      </c>
    </row>
    <row r="15" spans="1:29" ht="99.75">
      <c r="A15" s="440" t="s">
        <v>2551</v>
      </c>
      <c r="B15" s="69" t="s">
        <v>2645</v>
      </c>
      <c r="C15" s="2600" t="str">
        <f>估价对象房地状况!C4</f>
        <v>估价对象位于丰泽区城东组团华大片区，周边商业氛围成熟度一般，人流量一般，商业繁华度一般。</v>
      </c>
      <c r="D15" s="441">
        <v>100</v>
      </c>
      <c r="E15" s="2954" t="s">
        <v>3248</v>
      </c>
      <c r="F15" s="443">
        <f>SUMIF(76:76,E16,77:77)-SUMIF(76:76,C16,77:77)+100</f>
        <v>103</v>
      </c>
      <c r="G15" s="2968" t="s">
        <v>3247</v>
      </c>
      <c r="H15" s="441">
        <f>SUMIF(76:76,G16,77:77)-SUMIF(76:76,C16,77:77)+100</f>
        <v>100</v>
      </c>
      <c r="I15" s="2968" t="s">
        <v>3254</v>
      </c>
      <c r="J15" s="441">
        <f>SUMIF(76:76,I16,77:77)-SUMIF(76:76,C16,77:77)+100</f>
        <v>103</v>
      </c>
      <c r="K15" s="614">
        <v>3</v>
      </c>
      <c r="L15" s="1143"/>
      <c r="M15" s="1134"/>
      <c r="N15" s="1134"/>
      <c r="O15" s="1134"/>
      <c r="P15" s="3238" t="s">
        <v>2552</v>
      </c>
      <c r="Q15" s="2962" t="str">
        <f t="shared" si="6"/>
        <v>商业繁华度</v>
      </c>
      <c r="R15" s="774" t="s">
        <v>17</v>
      </c>
      <c r="S15" s="775">
        <f t="shared" si="0"/>
        <v>103</v>
      </c>
      <c r="T15" s="774" t="s">
        <v>17</v>
      </c>
      <c r="U15" s="775">
        <f t="shared" si="1"/>
        <v>100</v>
      </c>
      <c r="V15" s="774" t="s">
        <v>17</v>
      </c>
      <c r="W15" s="775">
        <f t="shared" si="2"/>
        <v>103</v>
      </c>
      <c r="X15" s="2964"/>
      <c r="Y15" s="3170" t="s">
        <v>2552</v>
      </c>
      <c r="Z15" s="2963" t="str">
        <f t="shared" si="7"/>
        <v>商业繁华度</v>
      </c>
      <c r="AA15" s="2965">
        <f t="shared" si="3"/>
        <v>0.970873786407767</v>
      </c>
      <c r="AB15" s="2965">
        <f t="shared" si="4"/>
        <v>1</v>
      </c>
      <c r="AC15" s="2965">
        <f t="shared" si="5"/>
        <v>0.970873786407767</v>
      </c>
    </row>
    <row r="16" spans="1:29" ht="15.75" thickBot="1">
      <c r="A16" s="428"/>
      <c r="B16" s="446"/>
      <c r="C16" s="447" t="s">
        <v>3084</v>
      </c>
      <c r="D16" s="448"/>
      <c r="E16" s="447" t="s">
        <v>3083</v>
      </c>
      <c r="F16" s="449"/>
      <c r="G16" s="447" t="s">
        <v>3084</v>
      </c>
      <c r="H16" s="450"/>
      <c r="I16" s="447" t="s">
        <v>3083</v>
      </c>
      <c r="J16" s="448"/>
      <c r="K16" s="615"/>
      <c r="L16" s="1143"/>
      <c r="M16" s="1134"/>
      <c r="N16" s="1134"/>
      <c r="O16" s="1134"/>
      <c r="P16" s="3239"/>
      <c r="Q16" s="2962"/>
      <c r="R16" s="774"/>
      <c r="S16" s="775"/>
      <c r="T16" s="774"/>
      <c r="U16" s="775"/>
      <c r="V16" s="774"/>
      <c r="W16" s="775"/>
      <c r="X16" s="2964"/>
      <c r="Y16" s="3171"/>
      <c r="Z16" s="2963"/>
      <c r="AA16" s="2965">
        <v>1</v>
      </c>
      <c r="AB16" s="2965">
        <v>1</v>
      </c>
      <c r="AC16" s="2965">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3085</v>
      </c>
      <c r="F17" s="453">
        <f>SUMIF(78:78,E18,79:79)-SUMIF(78:78,C18,79:79)+100</f>
        <v>100</v>
      </c>
      <c r="G17" s="454" t="s">
        <v>3245</v>
      </c>
      <c r="H17" s="455">
        <f>SUMIF(78:78,G18,79:79)-SUMIF(78:78,C18,79:79)+100</f>
        <v>100</v>
      </c>
      <c r="I17" s="454" t="s">
        <v>3251</v>
      </c>
      <c r="J17" s="455">
        <f>SUMIF(78:78,I18,79:79)-SUMIF(78:78,C18,79:79)+100</f>
        <v>100</v>
      </c>
      <c r="K17" s="614"/>
      <c r="L17" s="1143"/>
      <c r="M17" s="1134"/>
      <c r="N17" s="1134"/>
      <c r="O17" s="1134"/>
      <c r="P17" s="3239"/>
      <c r="Q17" s="2962" t="str">
        <f>B17</f>
        <v>交通便捷度</v>
      </c>
      <c r="R17" s="774" t="s">
        <v>17</v>
      </c>
      <c r="S17" s="775">
        <f>F17</f>
        <v>100</v>
      </c>
      <c r="T17" s="774" t="s">
        <v>17</v>
      </c>
      <c r="U17" s="775">
        <f>H17</f>
        <v>100</v>
      </c>
      <c r="V17" s="774" t="s">
        <v>17</v>
      </c>
      <c r="W17" s="775">
        <f>J17</f>
        <v>100</v>
      </c>
      <c r="X17" s="2964"/>
      <c r="Y17" s="3171"/>
      <c r="Z17" s="2963" t="str">
        <f>Q17</f>
        <v>交通便捷度</v>
      </c>
      <c r="AA17" s="2965">
        <f t="shared" si="3"/>
        <v>1</v>
      </c>
      <c r="AB17" s="2965">
        <f t="shared" si="4"/>
        <v>1</v>
      </c>
      <c r="AC17" s="2965">
        <f t="shared" si="5"/>
        <v>1</v>
      </c>
    </row>
    <row r="18" spans="1:29" ht="15">
      <c r="A18" s="428"/>
      <c r="B18" s="456"/>
      <c r="C18" s="2605" t="s">
        <v>3084</v>
      </c>
      <c r="D18" s="450"/>
      <c r="E18" s="2605" t="s">
        <v>3084</v>
      </c>
      <c r="F18" s="453"/>
      <c r="G18" s="2605" t="s">
        <v>3084</v>
      </c>
      <c r="H18" s="448"/>
      <c r="I18" s="2607" t="s">
        <v>3084</v>
      </c>
      <c r="J18" s="448"/>
      <c r="K18" s="615"/>
      <c r="L18" s="1143"/>
      <c r="M18" s="1134"/>
      <c r="N18" s="1134"/>
      <c r="O18" s="1134"/>
      <c r="P18" s="3239"/>
      <c r="Q18" s="2962"/>
      <c r="R18" s="774"/>
      <c r="S18" s="775"/>
      <c r="T18" s="774"/>
      <c r="U18" s="775"/>
      <c r="V18" s="774"/>
      <c r="W18" s="775"/>
      <c r="X18" s="2964"/>
      <c r="Y18" s="3171"/>
      <c r="Z18" s="2963"/>
      <c r="AA18" s="2965">
        <v>1</v>
      </c>
      <c r="AB18" s="2965">
        <v>1</v>
      </c>
      <c r="AC18" s="2965">
        <v>1</v>
      </c>
    </row>
    <row r="19" spans="1:29" ht="199.5">
      <c r="A19" s="428"/>
      <c r="B19" s="451" t="s">
        <v>2646</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2957" t="s">
        <v>3220</v>
      </c>
      <c r="F19" s="458">
        <f>SUMIF(80:80,E20,81:81)-SUMIF(80:80,C20,81:81)+100</f>
        <v>100</v>
      </c>
      <c r="G19" s="459" t="s">
        <v>3243</v>
      </c>
      <c r="H19" s="450">
        <f>SUMIF(80:80,G20,81:81)-SUMIF(80:80,C20,81:81)+100</f>
        <v>100</v>
      </c>
      <c r="I19" s="459" t="s">
        <v>3252</v>
      </c>
      <c r="J19" s="450">
        <f>SUMIF(80:80,I20,81:81)-SUMIF(80:80,C20,81:81)+100</f>
        <v>100</v>
      </c>
      <c r="K19" s="614"/>
      <c r="L19" s="1143"/>
      <c r="M19" s="1134"/>
      <c r="N19" s="1134"/>
      <c r="O19" s="1134"/>
      <c r="P19" s="3239"/>
      <c r="Q19" s="2962" t="str">
        <f>B19</f>
        <v>公共配套设施</v>
      </c>
      <c r="R19" s="774" t="s">
        <v>17</v>
      </c>
      <c r="S19" s="775">
        <f>F19</f>
        <v>100</v>
      </c>
      <c r="T19" s="774" t="s">
        <v>17</v>
      </c>
      <c r="U19" s="775">
        <f>H19</f>
        <v>100</v>
      </c>
      <c r="V19" s="774" t="s">
        <v>17</v>
      </c>
      <c r="W19" s="775">
        <f>J19</f>
        <v>100</v>
      </c>
      <c r="X19" s="2964"/>
      <c r="Y19" s="3171"/>
      <c r="Z19" s="2963" t="str">
        <f>Q19</f>
        <v>公共配套设施</v>
      </c>
      <c r="AA19" s="2965">
        <f t="shared" si="3"/>
        <v>1</v>
      </c>
      <c r="AB19" s="2965">
        <f t="shared" si="4"/>
        <v>1</v>
      </c>
      <c r="AC19" s="2965">
        <f t="shared" si="5"/>
        <v>1</v>
      </c>
    </row>
    <row r="20" spans="1:29" ht="15">
      <c r="A20" s="428"/>
      <c r="B20" s="456"/>
      <c r="C20" s="447" t="s">
        <v>3083</v>
      </c>
      <c r="D20" s="448"/>
      <c r="E20" s="2602" t="s">
        <v>3083</v>
      </c>
      <c r="F20" s="449"/>
      <c r="G20" s="2602" t="s">
        <v>3083</v>
      </c>
      <c r="H20" s="448"/>
      <c r="I20" s="2602" t="s">
        <v>3083</v>
      </c>
      <c r="J20" s="448"/>
      <c r="K20" s="615"/>
      <c r="L20" s="1143"/>
      <c r="M20" s="1134"/>
      <c r="N20" s="1134"/>
      <c r="O20" s="1134"/>
      <c r="P20" s="3239"/>
      <c r="Q20" s="2962"/>
      <c r="R20" s="774"/>
      <c r="S20" s="775"/>
      <c r="T20" s="774"/>
      <c r="U20" s="775"/>
      <c r="V20" s="774"/>
      <c r="W20" s="775"/>
      <c r="X20" s="2964"/>
      <c r="Y20" s="3171"/>
      <c r="Z20" s="2963"/>
      <c r="AA20" s="2965">
        <v>1</v>
      </c>
      <c r="AB20" s="2965">
        <v>1</v>
      </c>
      <c r="AC20" s="2965">
        <v>1</v>
      </c>
    </row>
    <row r="21" spans="1:29" ht="42.75">
      <c r="A21" s="428"/>
      <c r="B21" s="1387" t="s">
        <v>2647</v>
      </c>
      <c r="C21" s="2604" t="str">
        <f>估价对象房地状况!C8</f>
        <v>估价对象所在区域基础设施水平达到“五通”。</v>
      </c>
      <c r="D21" s="455">
        <v>100</v>
      </c>
      <c r="E21" s="452" t="s">
        <v>3099</v>
      </c>
      <c r="F21" s="458">
        <f>SUMIF(82:82,E22,83:83)-SUMIF(82:82,C22,83:83)+100</f>
        <v>100</v>
      </c>
      <c r="G21" s="452" t="s">
        <v>3099</v>
      </c>
      <c r="H21" s="450">
        <f>SUMIF(82:82,G22,83:83)-SUMIF(82:82,C22,83:83)+100</f>
        <v>100</v>
      </c>
      <c r="I21" s="452" t="s">
        <v>3099</v>
      </c>
      <c r="J21" s="450">
        <f>SUMIF(82:82,I22,83:83)-SUMIF(82:82,C22,83:83)+100</f>
        <v>100</v>
      </c>
      <c r="K21" s="614"/>
      <c r="L21" s="1143"/>
      <c r="M21" s="1134"/>
      <c r="N21" s="1134"/>
      <c r="O21" s="1134"/>
      <c r="P21" s="3239"/>
      <c r="Q21" s="2962" t="str">
        <f>B21</f>
        <v>基础设施水平</v>
      </c>
      <c r="R21" s="774" t="s">
        <v>17</v>
      </c>
      <c r="S21" s="775">
        <f>F21</f>
        <v>100</v>
      </c>
      <c r="T21" s="774" t="s">
        <v>17</v>
      </c>
      <c r="U21" s="775">
        <f>H21</f>
        <v>100</v>
      </c>
      <c r="V21" s="774" t="s">
        <v>17</v>
      </c>
      <c r="W21" s="775">
        <f>J21</f>
        <v>100</v>
      </c>
      <c r="X21" s="2964"/>
      <c r="Y21" s="3171"/>
      <c r="Z21" s="2963" t="str">
        <f>Q21</f>
        <v>基础设施水平</v>
      </c>
      <c r="AA21" s="2965">
        <f t="shared" ref="AA21" si="8">D21/F21</f>
        <v>1</v>
      </c>
      <c r="AB21" s="2965">
        <f t="shared" ref="AB21" si="9">D21/H21</f>
        <v>1</v>
      </c>
      <c r="AC21" s="2965">
        <f t="shared" ref="AC21" si="10">D21/J21</f>
        <v>1</v>
      </c>
    </row>
    <row r="22" spans="1:29" ht="15">
      <c r="A22" s="428"/>
      <c r="B22" s="1387"/>
      <c r="C22" s="2605" t="s">
        <v>3098</v>
      </c>
      <c r="D22" s="448"/>
      <c r="E22" s="2605" t="s">
        <v>3098</v>
      </c>
      <c r="F22" s="449"/>
      <c r="G22" s="2605" t="s">
        <v>3098</v>
      </c>
      <c r="H22" s="448"/>
      <c r="I22" s="2605" t="s">
        <v>3098</v>
      </c>
      <c r="J22" s="448"/>
      <c r="K22" s="1386"/>
      <c r="L22" s="1143"/>
      <c r="M22" s="1134"/>
      <c r="N22" s="1134"/>
      <c r="O22" s="1134"/>
      <c r="P22" s="3239"/>
      <c r="Q22" s="2962"/>
      <c r="R22" s="774"/>
      <c r="S22" s="775"/>
      <c r="T22" s="774"/>
      <c r="U22" s="775"/>
      <c r="V22" s="774"/>
      <c r="W22" s="775"/>
      <c r="X22" s="2964"/>
      <c r="Y22" s="3171"/>
      <c r="Z22" s="2963"/>
      <c r="AA22" s="2965">
        <v>1</v>
      </c>
      <c r="AB22" s="2965">
        <v>1</v>
      </c>
      <c r="AC22" s="2965">
        <v>1</v>
      </c>
    </row>
    <row r="23" spans="1:29" ht="122.25">
      <c r="A23" s="428"/>
      <c r="B23" s="451" t="s">
        <v>2096</v>
      </c>
      <c r="C23" s="2660" t="str">
        <f>估价对象房地状况!C9</f>
        <v>区域自然环境：绿化条件较好，2公里内无公园；人文环境：有华侨大学等人文景观；综合评价环境状况一般。</v>
      </c>
      <c r="D23" s="450">
        <v>100</v>
      </c>
      <c r="E23" s="459" t="s">
        <v>3216</v>
      </c>
      <c r="F23" s="453">
        <f>SUMIF(84:84,E24,85:85)-SUMIF(84:84,C24,85:85)+100</f>
        <v>100</v>
      </c>
      <c r="G23" s="454" t="s">
        <v>3250</v>
      </c>
      <c r="H23" s="450">
        <f>SUMIF(84:84,G24,85:85)-SUMIF(84:84,C24,85:85)+100</f>
        <v>100</v>
      </c>
      <c r="I23" s="459" t="s">
        <v>3253</v>
      </c>
      <c r="J23" s="450">
        <f>SUMIF(84:84,I24,85:85)-SUMIF(84:84,C24,85:85)+100</f>
        <v>100</v>
      </c>
      <c r="K23" s="614"/>
      <c r="L23" s="1143"/>
      <c r="M23" s="1134"/>
      <c r="N23" s="1134"/>
      <c r="O23" s="1134"/>
      <c r="P23" s="3239"/>
      <c r="Q23" s="2962" t="str">
        <f>B23</f>
        <v>自然及人文环境</v>
      </c>
      <c r="R23" s="774" t="s">
        <v>17</v>
      </c>
      <c r="S23" s="775">
        <f>F23</f>
        <v>100</v>
      </c>
      <c r="T23" s="774" t="s">
        <v>17</v>
      </c>
      <c r="U23" s="775">
        <f>H23</f>
        <v>100</v>
      </c>
      <c r="V23" s="774" t="s">
        <v>17</v>
      </c>
      <c r="W23" s="775">
        <f>J23</f>
        <v>100</v>
      </c>
      <c r="X23" s="2964"/>
      <c r="Y23" s="3171"/>
      <c r="Z23" s="2963" t="str">
        <f>Q23</f>
        <v>自然及人文环境</v>
      </c>
      <c r="AA23" s="2965">
        <f t="shared" si="3"/>
        <v>1</v>
      </c>
      <c r="AB23" s="2965">
        <f t="shared" si="4"/>
        <v>1</v>
      </c>
      <c r="AC23" s="2965">
        <f t="shared" si="5"/>
        <v>1</v>
      </c>
    </row>
    <row r="24" spans="1:29" ht="15">
      <c r="A24" s="428"/>
      <c r="B24" s="456"/>
      <c r="C24" s="447" t="s">
        <v>3084</v>
      </c>
      <c r="D24" s="448"/>
      <c r="E24" s="447" t="s">
        <v>3084</v>
      </c>
      <c r="F24" s="449"/>
      <c r="G24" s="447" t="s">
        <v>3084</v>
      </c>
      <c r="H24" s="448"/>
      <c r="I24" s="2602" t="s">
        <v>3084</v>
      </c>
      <c r="J24" s="448"/>
      <c r="K24" s="615"/>
      <c r="L24" s="1143"/>
      <c r="M24" s="1134"/>
      <c r="N24" s="1134"/>
      <c r="O24" s="1134"/>
      <c r="P24" s="3239"/>
      <c r="Q24" s="2962"/>
      <c r="R24" s="774"/>
      <c r="S24" s="775"/>
      <c r="T24" s="774"/>
      <c r="U24" s="775"/>
      <c r="V24" s="774"/>
      <c r="W24" s="775"/>
      <c r="X24" s="2964"/>
      <c r="Y24" s="3171"/>
      <c r="Z24" s="2963"/>
      <c r="AA24" s="2965">
        <v>1</v>
      </c>
      <c r="AB24" s="2965">
        <v>1</v>
      </c>
      <c r="AC24" s="2965">
        <v>1</v>
      </c>
    </row>
    <row r="25" spans="1:29" ht="15">
      <c r="A25" s="428"/>
      <c r="B25" s="2960" t="s">
        <v>2648</v>
      </c>
      <c r="C25" s="616" t="s">
        <v>3145</v>
      </c>
      <c r="D25" s="435">
        <v>100</v>
      </c>
      <c r="E25" s="616" t="s">
        <v>3145</v>
      </c>
      <c r="F25" s="461">
        <f>SUMIF(86:86,E25,87:87)-SUMIF(86:86,C25,87:87)+100</f>
        <v>100</v>
      </c>
      <c r="G25" s="616" t="s">
        <v>3145</v>
      </c>
      <c r="H25" s="435">
        <f>SUMIF(86:86,G25,87:87)-SUMIF(86:86,C25,87:87)+100</f>
        <v>100</v>
      </c>
      <c r="I25" s="616" t="s">
        <v>3145</v>
      </c>
      <c r="J25" s="435">
        <f>SUMIF(86:86,I25,87:87)-SUMIF(86:86,C25,87:87)+100</f>
        <v>100</v>
      </c>
      <c r="K25" s="612"/>
      <c r="L25" s="1143"/>
      <c r="M25" s="1134"/>
      <c r="N25" s="1134"/>
      <c r="O25" s="1134"/>
      <c r="P25" s="3239"/>
      <c r="Q25" s="2962" t="str">
        <f t="shared" ref="Q25:Q46" si="11">B25</f>
        <v>临街状况</v>
      </c>
      <c r="R25" s="774" t="s">
        <v>17</v>
      </c>
      <c r="S25" s="775">
        <f>F25</f>
        <v>100</v>
      </c>
      <c r="T25" s="774" t="s">
        <v>17</v>
      </c>
      <c r="U25" s="775">
        <f>H25</f>
        <v>100</v>
      </c>
      <c r="V25" s="774" t="s">
        <v>17</v>
      </c>
      <c r="W25" s="775">
        <f>J25</f>
        <v>100</v>
      </c>
      <c r="X25" s="2964"/>
      <c r="Y25" s="3171"/>
      <c r="Z25" s="2963" t="str">
        <f>Q25</f>
        <v>临街状况</v>
      </c>
      <c r="AA25" s="2965">
        <f t="shared" si="3"/>
        <v>1</v>
      </c>
      <c r="AB25" s="2965">
        <f t="shared" si="4"/>
        <v>1</v>
      </c>
      <c r="AC25" s="2965">
        <f t="shared" si="5"/>
        <v>1</v>
      </c>
    </row>
    <row r="26" spans="1:29" ht="15">
      <c r="A26" s="428"/>
      <c r="B26" s="1389" t="s">
        <v>2649</v>
      </c>
      <c r="C26" s="2969" t="s">
        <v>3234</v>
      </c>
      <c r="D26" s="435">
        <v>100</v>
      </c>
      <c r="E26" s="2969" t="s">
        <v>3233</v>
      </c>
      <c r="F26" s="461">
        <f>SUMIF(88:88,E26,89:89)-SUMIF(88:88,C26,89:89)+100</f>
        <v>102</v>
      </c>
      <c r="G26" s="2969" t="s">
        <v>3234</v>
      </c>
      <c r="H26" s="435">
        <f>SUMIF(88:88,G26,89:89)-SUMIF(88:88,C26,89:89)+100</f>
        <v>100</v>
      </c>
      <c r="I26" s="2969" t="s">
        <v>3233</v>
      </c>
      <c r="J26" s="435">
        <f>SUMIF(88:88,I26,89:89)-SUMIF(88:88,C26,89:89)+100</f>
        <v>102</v>
      </c>
      <c r="K26" s="613"/>
      <c r="L26" s="1143"/>
      <c r="M26" s="1134"/>
      <c r="N26" s="1134"/>
      <c r="O26" s="1134"/>
      <c r="P26" s="3239"/>
      <c r="Q26" s="2962" t="str">
        <f t="shared" si="11"/>
        <v>平面位置/可视性</v>
      </c>
      <c r="R26" s="774" t="s">
        <v>17</v>
      </c>
      <c r="S26" s="775">
        <f>F26</f>
        <v>102</v>
      </c>
      <c r="T26" s="774" t="s">
        <v>17</v>
      </c>
      <c r="U26" s="775">
        <f>H26</f>
        <v>100</v>
      </c>
      <c r="V26" s="774" t="s">
        <v>17</v>
      </c>
      <c r="W26" s="775">
        <f>J26</f>
        <v>102</v>
      </c>
      <c r="X26" s="2964"/>
      <c r="Y26" s="3171"/>
      <c r="Z26" s="2963" t="str">
        <f>Q26</f>
        <v>平面位置/可视性</v>
      </c>
      <c r="AA26" s="2965">
        <f t="shared" si="3"/>
        <v>0.98039215686274506</v>
      </c>
      <c r="AB26" s="2965">
        <f t="shared" si="4"/>
        <v>1</v>
      </c>
      <c r="AC26" s="2965">
        <f t="shared" si="5"/>
        <v>0.98039215686274506</v>
      </c>
    </row>
    <row r="27" spans="1:29" s="117" customFormat="1" ht="15">
      <c r="A27" s="431"/>
      <c r="B27" s="451" t="s">
        <v>2650</v>
      </c>
      <c r="C27" s="2661" t="s">
        <v>3084</v>
      </c>
      <c r="D27" s="462">
        <v>100</v>
      </c>
      <c r="E27" s="2661" t="s">
        <v>3084</v>
      </c>
      <c r="F27" s="464">
        <f>SUMIF(90:90,E27,91:91)-SUMIF(90:90,C27,91:91)+100</f>
        <v>100</v>
      </c>
      <c r="G27" s="2661" t="s">
        <v>3084</v>
      </c>
      <c r="H27" s="462">
        <f>SUMIF(90:90,G27,91:91)-SUMIF(90:90,C27,91:91)+100</f>
        <v>100</v>
      </c>
      <c r="I27" s="2661" t="s">
        <v>3238</v>
      </c>
      <c r="J27" s="462">
        <f>SUMIF(90:90,I27,91:91)-SUMIF(90:90,C27,91:91)+100</f>
        <v>102</v>
      </c>
      <c r="K27" s="612">
        <v>2</v>
      </c>
      <c r="L27" s="1135"/>
      <c r="M27" s="1136"/>
      <c r="N27" s="1136"/>
      <c r="O27" s="1136"/>
      <c r="P27" s="3239"/>
      <c r="Q27" s="2958" t="str">
        <f t="shared" si="11"/>
        <v>人流量</v>
      </c>
      <c r="R27" s="770" t="s">
        <v>17</v>
      </c>
      <c r="S27" s="771">
        <f>F27</f>
        <v>100</v>
      </c>
      <c r="T27" s="770" t="s">
        <v>17</v>
      </c>
      <c r="U27" s="771">
        <f>H27</f>
        <v>100</v>
      </c>
      <c r="V27" s="770" t="s">
        <v>17</v>
      </c>
      <c r="W27" s="771">
        <f>J27</f>
        <v>102</v>
      </c>
      <c r="X27" s="772"/>
      <c r="Y27" s="3171"/>
      <c r="Z27" s="2959" t="str">
        <f>Q27</f>
        <v>人流量</v>
      </c>
      <c r="AA27" s="2965">
        <f>D27/F27</f>
        <v>1</v>
      </c>
      <c r="AB27" s="2965">
        <f>D27/H27</f>
        <v>1</v>
      </c>
      <c r="AC27" s="2965">
        <f>D27/J27</f>
        <v>0.98039215686274506</v>
      </c>
    </row>
    <row r="28" spans="1:29" ht="15.75" thickBot="1">
      <c r="A28" s="428"/>
      <c r="B28" s="2960" t="s">
        <v>2651</v>
      </c>
      <c r="C28" s="616" t="s">
        <v>3258</v>
      </c>
      <c r="D28" s="435">
        <v>100</v>
      </c>
      <c r="E28" s="616" t="s">
        <v>3258</v>
      </c>
      <c r="F28" s="461">
        <f>SUMIF(92:92,E28,93:93)-SUMIF(92:92,C28,93:93)+100</f>
        <v>100</v>
      </c>
      <c r="G28" s="616" t="s">
        <v>3258</v>
      </c>
      <c r="H28" s="435">
        <f>SUMIF(92:92,G28,93:93)-SUMIF(92:92,C28,93:93)+100</f>
        <v>100</v>
      </c>
      <c r="I28" s="616" t="s">
        <v>3258</v>
      </c>
      <c r="J28" s="435">
        <f>SUMIF(92:92,I28,93:93)-SUMIF(92:92,C28,93:93)+100</f>
        <v>100</v>
      </c>
      <c r="K28" s="613"/>
      <c r="L28" s="1143"/>
      <c r="M28" s="1134"/>
      <c r="N28" s="1134"/>
      <c r="O28" s="1134"/>
      <c r="P28" s="3239"/>
      <c r="Q28" s="2962" t="str">
        <f t="shared" si="11"/>
        <v>楼层</v>
      </c>
      <c r="R28" s="774" t="s">
        <v>17</v>
      </c>
      <c r="S28" s="775">
        <f t="shared" ref="S28:S46" si="12">F28</f>
        <v>100</v>
      </c>
      <c r="T28" s="774" t="s">
        <v>17</v>
      </c>
      <c r="U28" s="775">
        <f t="shared" ref="U28:U46" si="13">H28</f>
        <v>100</v>
      </c>
      <c r="V28" s="774" t="s">
        <v>17</v>
      </c>
      <c r="W28" s="775">
        <f t="shared" ref="W28:W46" si="14">J28</f>
        <v>100</v>
      </c>
      <c r="X28" s="2964"/>
      <c r="Y28" s="3171"/>
      <c r="Z28" s="2963" t="str">
        <f t="shared" ref="Z28:Z46" si="15">Q28</f>
        <v>楼层</v>
      </c>
      <c r="AA28" s="2965">
        <f t="shared" si="3"/>
        <v>1</v>
      </c>
      <c r="AB28" s="2965">
        <f t="shared" si="4"/>
        <v>1</v>
      </c>
      <c r="AC28" s="2965">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2962">
        <f t="shared" si="11"/>
        <v>111</v>
      </c>
      <c r="R29" s="774" t="s">
        <v>17</v>
      </c>
      <c r="S29" s="775">
        <f t="shared" si="12"/>
        <v>100</v>
      </c>
      <c r="T29" s="774" t="s">
        <v>17</v>
      </c>
      <c r="U29" s="775">
        <f t="shared" si="13"/>
        <v>100</v>
      </c>
      <c r="V29" s="774" t="s">
        <v>17</v>
      </c>
      <c r="W29" s="775">
        <f t="shared" si="14"/>
        <v>100</v>
      </c>
      <c r="X29" s="2964"/>
      <c r="Y29" s="3171"/>
      <c r="Z29" s="2963">
        <f t="shared" si="15"/>
        <v>111</v>
      </c>
      <c r="AA29" s="2965">
        <f t="shared" si="3"/>
        <v>1</v>
      </c>
      <c r="AB29" s="2965">
        <f t="shared" si="4"/>
        <v>1</v>
      </c>
      <c r="AC29" s="2965">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2962">
        <f t="shared" si="11"/>
        <v>111</v>
      </c>
      <c r="R30" s="774" t="s">
        <v>17</v>
      </c>
      <c r="S30" s="775">
        <f t="shared" si="12"/>
        <v>100</v>
      </c>
      <c r="T30" s="774" t="s">
        <v>17</v>
      </c>
      <c r="U30" s="775">
        <f t="shared" si="13"/>
        <v>100</v>
      </c>
      <c r="V30" s="774" t="s">
        <v>17</v>
      </c>
      <c r="W30" s="775">
        <f t="shared" si="14"/>
        <v>100</v>
      </c>
      <c r="X30" s="2964"/>
      <c r="Y30" s="3171"/>
      <c r="Z30" s="2963">
        <f t="shared" si="15"/>
        <v>111</v>
      </c>
      <c r="AA30" s="2965">
        <f t="shared" si="3"/>
        <v>1</v>
      </c>
      <c r="AB30" s="2965">
        <f t="shared" si="4"/>
        <v>1</v>
      </c>
      <c r="AC30" s="2965">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2962">
        <f t="shared" si="11"/>
        <v>111</v>
      </c>
      <c r="R31" s="774" t="s">
        <v>17</v>
      </c>
      <c r="S31" s="775">
        <f t="shared" si="12"/>
        <v>100</v>
      </c>
      <c r="T31" s="774" t="s">
        <v>17</v>
      </c>
      <c r="U31" s="775">
        <f t="shared" si="13"/>
        <v>100</v>
      </c>
      <c r="V31" s="774" t="s">
        <v>17</v>
      </c>
      <c r="W31" s="775">
        <f t="shared" si="14"/>
        <v>100</v>
      </c>
      <c r="X31" s="2964"/>
      <c r="Y31" s="3171"/>
      <c r="Z31" s="2963">
        <f t="shared" si="15"/>
        <v>111</v>
      </c>
      <c r="AA31" s="2965">
        <f t="shared" si="3"/>
        <v>1</v>
      </c>
      <c r="AB31" s="2965">
        <f t="shared" si="4"/>
        <v>1</v>
      </c>
      <c r="AC31" s="2965">
        <f t="shared" si="5"/>
        <v>1</v>
      </c>
    </row>
    <row r="32" spans="1:29" ht="15">
      <c r="A32" s="440" t="s">
        <v>2555</v>
      </c>
      <c r="B32" s="71" t="s">
        <v>2652</v>
      </c>
      <c r="C32" s="2614" t="s">
        <v>3112</v>
      </c>
      <c r="D32" s="467">
        <v>100</v>
      </c>
      <c r="E32" s="2614" t="s">
        <v>3112</v>
      </c>
      <c r="F32" s="461">
        <f>SUMIF(100:100,E32,101:101)-SUMIF(100:100,C32,101:101)+100</f>
        <v>100</v>
      </c>
      <c r="G32" s="2614" t="s">
        <v>3112</v>
      </c>
      <c r="H32" s="435">
        <f>SUMIF(100:100,G32,101:101)-SUMIF(100:100,C32,101:101)+100</f>
        <v>100</v>
      </c>
      <c r="I32" s="2614" t="s">
        <v>3110</v>
      </c>
      <c r="J32" s="467">
        <f>SUMIF(100:100,I32,101:101)-SUMIF(100:100,C32,101:101)+100</f>
        <v>105</v>
      </c>
      <c r="K32" s="612">
        <v>5</v>
      </c>
      <c r="L32" s="1143"/>
      <c r="M32" s="1134"/>
      <c r="N32" s="1134"/>
      <c r="O32" s="1134"/>
      <c r="P32" s="3234" t="s">
        <v>2557</v>
      </c>
      <c r="Q32" s="2962" t="str">
        <f t="shared" si="11"/>
        <v>商业类型</v>
      </c>
      <c r="R32" s="774" t="s">
        <v>17</v>
      </c>
      <c r="S32" s="775">
        <f t="shared" si="12"/>
        <v>100</v>
      </c>
      <c r="T32" s="774" t="s">
        <v>17</v>
      </c>
      <c r="U32" s="775">
        <f t="shared" si="13"/>
        <v>100</v>
      </c>
      <c r="V32" s="774" t="s">
        <v>17</v>
      </c>
      <c r="W32" s="775">
        <f t="shared" si="14"/>
        <v>105</v>
      </c>
      <c r="X32" s="2964"/>
      <c r="Y32" s="3173" t="s">
        <v>2557</v>
      </c>
      <c r="Z32" s="2963" t="str">
        <f t="shared" si="15"/>
        <v>商业类型</v>
      </c>
      <c r="AA32" s="2965">
        <f t="shared" si="3"/>
        <v>1</v>
      </c>
      <c r="AB32" s="2965">
        <f t="shared" si="4"/>
        <v>1</v>
      </c>
      <c r="AC32" s="2965">
        <f t="shared" si="5"/>
        <v>0.95238095238095233</v>
      </c>
    </row>
    <row r="33" spans="1:29" s="471" customFormat="1" ht="15">
      <c r="A33" s="468"/>
      <c r="B33" s="2960"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5"/>
      <c r="Q33" s="776" t="str">
        <f t="shared" si="11"/>
        <v>项目建筑规模</v>
      </c>
      <c r="R33" s="777" t="s">
        <v>17</v>
      </c>
      <c r="S33" s="778">
        <f t="shared" si="12"/>
        <v>100</v>
      </c>
      <c r="T33" s="777" t="s">
        <v>17</v>
      </c>
      <c r="U33" s="778">
        <f t="shared" si="13"/>
        <v>100</v>
      </c>
      <c r="V33" s="777" t="s">
        <v>17</v>
      </c>
      <c r="W33" s="778">
        <f t="shared" si="14"/>
        <v>100</v>
      </c>
      <c r="X33" s="779"/>
      <c r="Y33" s="3173"/>
      <c r="Z33" s="780" t="str">
        <f t="shared" si="15"/>
        <v>项目建筑规模</v>
      </c>
      <c r="AA33" s="2965">
        <f t="shared" si="3"/>
        <v>1</v>
      </c>
      <c r="AB33" s="2965">
        <f t="shared" si="4"/>
        <v>1</v>
      </c>
      <c r="AC33" s="2965">
        <f t="shared" si="5"/>
        <v>1</v>
      </c>
    </row>
    <row r="34" spans="1:29" ht="15">
      <c r="A34" s="472"/>
      <c r="B34" s="2960"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612"/>
      <c r="L34" s="1143"/>
      <c r="M34" s="1134"/>
      <c r="N34" s="1134"/>
      <c r="O34" s="1134"/>
      <c r="P34" s="3235"/>
      <c r="Q34" s="2962" t="str">
        <f t="shared" si="11"/>
        <v>建筑结构</v>
      </c>
      <c r="R34" s="774" t="s">
        <v>17</v>
      </c>
      <c r="S34" s="775">
        <f t="shared" si="12"/>
        <v>100</v>
      </c>
      <c r="T34" s="774" t="s">
        <v>17</v>
      </c>
      <c r="U34" s="775">
        <f t="shared" si="13"/>
        <v>100</v>
      </c>
      <c r="V34" s="774" t="s">
        <v>17</v>
      </c>
      <c r="W34" s="775">
        <f t="shared" si="14"/>
        <v>100</v>
      </c>
      <c r="X34" s="2964"/>
      <c r="Y34" s="3173"/>
      <c r="Z34" s="2963" t="str">
        <f t="shared" si="15"/>
        <v>建筑结构</v>
      </c>
      <c r="AA34" s="2965">
        <f t="shared" si="3"/>
        <v>1</v>
      </c>
      <c r="AB34" s="2965">
        <f t="shared" si="4"/>
        <v>1</v>
      </c>
      <c r="AC34" s="2965">
        <f t="shared" si="5"/>
        <v>1</v>
      </c>
    </row>
    <row r="35" spans="1:29" ht="15">
      <c r="A35" s="472"/>
      <c r="B35" s="2960" t="s">
        <v>2653</v>
      </c>
      <c r="C35" s="2610" t="s">
        <v>3090</v>
      </c>
      <c r="D35" s="435">
        <v>100</v>
      </c>
      <c r="E35" s="2610" t="s">
        <v>3090</v>
      </c>
      <c r="F35" s="461">
        <f>SUMIF(107:107,E35,108:108)-SUMIF(107:107,C35,108:108)+100</f>
        <v>100</v>
      </c>
      <c r="G35" s="2610" t="s">
        <v>3090</v>
      </c>
      <c r="H35" s="435">
        <f>SUMIF(107:107,G35,108:108)-SUMIF(107:107,C35,108:108)+100</f>
        <v>100</v>
      </c>
      <c r="I35" s="2610" t="s">
        <v>3090</v>
      </c>
      <c r="J35" s="435">
        <f>SUMIF(107:107,I35,108:108)-SUMIF(107:107,C35,108:108)+100</f>
        <v>100</v>
      </c>
      <c r="K35" s="612"/>
      <c r="L35" s="1143"/>
      <c r="M35" s="1134"/>
      <c r="N35" s="1134"/>
      <c r="O35" s="1134"/>
      <c r="P35" s="3235"/>
      <c r="Q35" s="2962" t="str">
        <f t="shared" si="11"/>
        <v>公共部分装修</v>
      </c>
      <c r="R35" s="774" t="s">
        <v>17</v>
      </c>
      <c r="S35" s="775">
        <f t="shared" si="12"/>
        <v>100</v>
      </c>
      <c r="T35" s="774" t="s">
        <v>17</v>
      </c>
      <c r="U35" s="775">
        <f t="shared" si="13"/>
        <v>100</v>
      </c>
      <c r="V35" s="774" t="s">
        <v>17</v>
      </c>
      <c r="W35" s="775">
        <f t="shared" si="14"/>
        <v>100</v>
      </c>
      <c r="X35" s="2964"/>
      <c r="Y35" s="3173"/>
      <c r="Z35" s="2963" t="str">
        <f t="shared" si="15"/>
        <v>公共部分装修</v>
      </c>
      <c r="AA35" s="2965">
        <f t="shared" si="3"/>
        <v>1</v>
      </c>
      <c r="AB35" s="2965">
        <f t="shared" si="4"/>
        <v>1</v>
      </c>
      <c r="AC35" s="2965">
        <f t="shared" si="5"/>
        <v>1</v>
      </c>
    </row>
    <row r="36" spans="1:29" ht="15">
      <c r="A36" s="472"/>
      <c r="B36" s="2960"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35"/>
      <c r="Q36" s="2962" t="str">
        <f t="shared" si="11"/>
        <v>成新度</v>
      </c>
      <c r="R36" s="774" t="s">
        <v>17</v>
      </c>
      <c r="S36" s="775">
        <f t="shared" si="12"/>
        <v>100</v>
      </c>
      <c r="T36" s="774" t="s">
        <v>17</v>
      </c>
      <c r="U36" s="775">
        <f t="shared" si="13"/>
        <v>100</v>
      </c>
      <c r="V36" s="774" t="s">
        <v>17</v>
      </c>
      <c r="W36" s="775">
        <f t="shared" si="14"/>
        <v>100</v>
      </c>
      <c r="X36" s="2964"/>
      <c r="Y36" s="3173"/>
      <c r="Z36" s="2963" t="str">
        <f t="shared" si="15"/>
        <v>成新度</v>
      </c>
      <c r="AA36" s="2965">
        <f t="shared" si="3"/>
        <v>1</v>
      </c>
      <c r="AB36" s="2965">
        <f t="shared" si="4"/>
        <v>1</v>
      </c>
      <c r="AC36" s="2965">
        <f t="shared" si="5"/>
        <v>1</v>
      </c>
    </row>
    <row r="37" spans="1:29" s="117" customFormat="1" ht="15">
      <c r="A37" s="473"/>
      <c r="B37" s="2960" t="s">
        <v>2655</v>
      </c>
      <c r="C37" s="2610" t="s">
        <v>3098</v>
      </c>
      <c r="D37" s="136">
        <v>100</v>
      </c>
      <c r="E37" s="2610" t="s">
        <v>3098</v>
      </c>
      <c r="F37" s="461">
        <f>SUMIF(112:112,E37,113:113)-SUMIF(112:112,C37,113:113)+100</f>
        <v>100</v>
      </c>
      <c r="G37" s="2610" t="s">
        <v>3098</v>
      </c>
      <c r="H37" s="435">
        <f>SUMIF(112:112,G37,113:113)-SUMIF(112:112,C37,113:113)+100</f>
        <v>100</v>
      </c>
      <c r="I37" s="2610" t="s">
        <v>3098</v>
      </c>
      <c r="J37" s="435">
        <f>SUMIF(112:112,I37,113:113)-SUMIF(112:112,C37,113:113)+100</f>
        <v>100</v>
      </c>
      <c r="K37" s="612"/>
      <c r="L37" s="1135"/>
      <c r="M37" s="1136"/>
      <c r="N37" s="1136"/>
      <c r="O37" s="1136"/>
      <c r="P37" s="3235"/>
      <c r="Q37" s="2958" t="str">
        <f t="shared" si="11"/>
        <v>市政基础设施</v>
      </c>
      <c r="R37" s="770" t="s">
        <v>17</v>
      </c>
      <c r="S37" s="771">
        <f t="shared" si="12"/>
        <v>100</v>
      </c>
      <c r="T37" s="770" t="s">
        <v>17</v>
      </c>
      <c r="U37" s="771">
        <f t="shared" si="13"/>
        <v>100</v>
      </c>
      <c r="V37" s="770" t="s">
        <v>17</v>
      </c>
      <c r="W37" s="771">
        <f t="shared" si="14"/>
        <v>100</v>
      </c>
      <c r="X37" s="772"/>
      <c r="Y37" s="3173"/>
      <c r="Z37" s="2959" t="str">
        <f t="shared" si="15"/>
        <v>市政基础设施</v>
      </c>
      <c r="AA37" s="773">
        <f t="shared" si="3"/>
        <v>1</v>
      </c>
      <c r="AB37" s="773">
        <f t="shared" si="4"/>
        <v>1</v>
      </c>
      <c r="AC37" s="773">
        <f t="shared" si="5"/>
        <v>1</v>
      </c>
    </row>
    <row r="38" spans="1:29" ht="15">
      <c r="A38" s="472"/>
      <c r="B38" s="2960" t="s">
        <v>2656</v>
      </c>
      <c r="C38" s="2610" t="s">
        <v>3255</v>
      </c>
      <c r="D38" s="435">
        <v>100</v>
      </c>
      <c r="E38" s="2610" t="s">
        <v>3256</v>
      </c>
      <c r="F38" s="461">
        <f>SUMIF(114:114,E38,115:115)-SUMIF(114:114,C38,115:115)+100</f>
        <v>105</v>
      </c>
      <c r="G38" s="2610" t="s">
        <v>3255</v>
      </c>
      <c r="H38" s="435">
        <f>SUMIF(114:114,G38,115:115)-SUMIF(114:114,C38,115:115)+100</f>
        <v>100</v>
      </c>
      <c r="I38" s="2610" t="s">
        <v>3256</v>
      </c>
      <c r="J38" s="435">
        <f>SUMIF(114:114,I38,115:115)-SUMIF(114:114,C38,115:115)+100</f>
        <v>105</v>
      </c>
      <c r="K38" s="612">
        <v>5</v>
      </c>
      <c r="L38" s="1143"/>
      <c r="M38" s="1134"/>
      <c r="N38" s="1134"/>
      <c r="O38" s="1134"/>
      <c r="P38" s="3235" t="s">
        <v>2557</v>
      </c>
      <c r="Q38" s="2962" t="str">
        <f t="shared" si="11"/>
        <v>业态</v>
      </c>
      <c r="R38" s="774" t="s">
        <v>17</v>
      </c>
      <c r="S38" s="775">
        <f t="shared" si="12"/>
        <v>105</v>
      </c>
      <c r="T38" s="774" t="s">
        <v>17</v>
      </c>
      <c r="U38" s="775">
        <f t="shared" si="13"/>
        <v>100</v>
      </c>
      <c r="V38" s="774" t="s">
        <v>17</v>
      </c>
      <c r="W38" s="775">
        <f t="shared" si="14"/>
        <v>105</v>
      </c>
      <c r="X38" s="2964"/>
      <c r="Y38" s="3173" t="s">
        <v>2557</v>
      </c>
      <c r="Z38" s="2963" t="str">
        <f t="shared" si="15"/>
        <v>业态</v>
      </c>
      <c r="AA38" s="2965">
        <f t="shared" si="3"/>
        <v>0.95238095238095233</v>
      </c>
      <c r="AB38" s="2965">
        <f t="shared" si="4"/>
        <v>1</v>
      </c>
      <c r="AC38" s="2965">
        <f t="shared" si="5"/>
        <v>0.95238095238095233</v>
      </c>
    </row>
    <row r="39" spans="1:29" ht="15">
      <c r="A39" s="472"/>
      <c r="B39" s="2960"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35"/>
      <c r="Q39" s="2962" t="str">
        <f t="shared" si="11"/>
        <v>层高</v>
      </c>
      <c r="R39" s="774" t="s">
        <v>17</v>
      </c>
      <c r="S39" s="775">
        <f t="shared" si="12"/>
        <v>100</v>
      </c>
      <c r="T39" s="774" t="s">
        <v>17</v>
      </c>
      <c r="U39" s="775">
        <f t="shared" si="13"/>
        <v>100</v>
      </c>
      <c r="V39" s="774" t="s">
        <v>17</v>
      </c>
      <c r="W39" s="775">
        <f t="shared" si="14"/>
        <v>100</v>
      </c>
      <c r="X39" s="2964"/>
      <c r="Y39" s="3173"/>
      <c r="Z39" s="2963" t="str">
        <f t="shared" si="15"/>
        <v>层高</v>
      </c>
      <c r="AA39" s="2965">
        <f t="shared" si="3"/>
        <v>1</v>
      </c>
      <c r="AB39" s="2965">
        <f t="shared" si="4"/>
        <v>1</v>
      </c>
      <c r="AC39" s="2965">
        <f t="shared" si="5"/>
        <v>1</v>
      </c>
    </row>
    <row r="40" spans="1:29" ht="15">
      <c r="A40" s="472"/>
      <c r="B40" s="2960"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2962" t="str">
        <f t="shared" si="11"/>
        <v>单套建筑面积</v>
      </c>
      <c r="R40" s="774" t="s">
        <v>17</v>
      </c>
      <c r="S40" s="775">
        <f t="shared" si="12"/>
        <v>100</v>
      </c>
      <c r="T40" s="774" t="s">
        <v>17</v>
      </c>
      <c r="U40" s="775">
        <f t="shared" si="13"/>
        <v>100</v>
      </c>
      <c r="V40" s="774" t="s">
        <v>17</v>
      </c>
      <c r="W40" s="775">
        <f t="shared" si="14"/>
        <v>100</v>
      </c>
      <c r="X40" s="2964"/>
      <c r="Y40" s="3173"/>
      <c r="Z40" s="2963" t="str">
        <f t="shared" si="15"/>
        <v>单套建筑面积</v>
      </c>
      <c r="AA40" s="2965">
        <f t="shared" si="3"/>
        <v>1</v>
      </c>
      <c r="AB40" s="2965">
        <f t="shared" si="4"/>
        <v>1</v>
      </c>
      <c r="AC40" s="2965">
        <f t="shared" si="5"/>
        <v>1</v>
      </c>
    </row>
    <row r="41" spans="1:29" s="471" customFormat="1" ht="15">
      <c r="A41" s="468"/>
      <c r="B41" s="2961"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2965">
        <f t="shared" si="3"/>
        <v>1</v>
      </c>
      <c r="AB41" s="2965">
        <f t="shared" si="4"/>
        <v>1</v>
      </c>
      <c r="AC41" s="2965">
        <f t="shared" si="5"/>
        <v>1</v>
      </c>
    </row>
    <row r="42" spans="1:29" ht="15">
      <c r="A42" s="472"/>
      <c r="B42" s="2960" t="s">
        <v>2660</v>
      </c>
      <c r="C42" s="2610" t="s">
        <v>3204</v>
      </c>
      <c r="D42" s="435">
        <v>100</v>
      </c>
      <c r="E42" s="2610" t="s">
        <v>3204</v>
      </c>
      <c r="F42" s="461">
        <f>SUMIF(122:122,E42,123:123)-SUMIF(122:122,C42,123:123)+100</f>
        <v>100</v>
      </c>
      <c r="G42" s="2610" t="s">
        <v>3204</v>
      </c>
      <c r="H42" s="435">
        <f>SUMIF(122:122,G42,123:123)-SUMIF(122:122,C42,123:123)+100</f>
        <v>100</v>
      </c>
      <c r="I42" s="2610" t="s">
        <v>3204</v>
      </c>
      <c r="J42" s="435">
        <f>SUMIF(122:122,I42,123:123)-SUMIF(122:122,C42,123:123)+100</f>
        <v>100</v>
      </c>
      <c r="K42" s="612"/>
      <c r="L42" s="1143"/>
      <c r="M42" s="1134"/>
      <c r="N42" s="1134"/>
      <c r="O42" s="1134"/>
      <c r="P42" s="3235"/>
      <c r="Q42" s="2962" t="str">
        <f t="shared" si="11"/>
        <v>内部装修</v>
      </c>
      <c r="R42" s="774" t="s">
        <v>17</v>
      </c>
      <c r="S42" s="775">
        <f t="shared" si="12"/>
        <v>100</v>
      </c>
      <c r="T42" s="774" t="s">
        <v>17</v>
      </c>
      <c r="U42" s="775">
        <f t="shared" si="13"/>
        <v>100</v>
      </c>
      <c r="V42" s="774" t="s">
        <v>17</v>
      </c>
      <c r="W42" s="775">
        <f t="shared" si="14"/>
        <v>100</v>
      </c>
      <c r="X42" s="2964"/>
      <c r="Y42" s="3173"/>
      <c r="Z42" s="2963" t="str">
        <f t="shared" si="15"/>
        <v>内部装修</v>
      </c>
      <c r="AA42" s="2965">
        <f t="shared" si="3"/>
        <v>1</v>
      </c>
      <c r="AB42" s="2965">
        <f t="shared" si="4"/>
        <v>1</v>
      </c>
      <c r="AC42" s="2965">
        <f t="shared" si="5"/>
        <v>1</v>
      </c>
    </row>
    <row r="43" spans="1:29" ht="15.75" thickBot="1">
      <c r="A43" s="472"/>
      <c r="B43" s="2960"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35"/>
      <c r="Q43" s="2962" t="str">
        <f t="shared" si="11"/>
        <v>内部装修维护情况</v>
      </c>
      <c r="R43" s="774" t="s">
        <v>17</v>
      </c>
      <c r="S43" s="775">
        <f t="shared" si="12"/>
        <v>100</v>
      </c>
      <c r="T43" s="774" t="s">
        <v>17</v>
      </c>
      <c r="U43" s="775">
        <f t="shared" si="13"/>
        <v>100</v>
      </c>
      <c r="V43" s="774" t="s">
        <v>17</v>
      </c>
      <c r="W43" s="775">
        <f t="shared" si="14"/>
        <v>100</v>
      </c>
      <c r="X43" s="2964"/>
      <c r="Y43" s="3173"/>
      <c r="Z43" s="2963" t="str">
        <f t="shared" si="15"/>
        <v>内部装修维护情况</v>
      </c>
      <c r="AA43" s="2965">
        <f t="shared" si="3"/>
        <v>1</v>
      </c>
      <c r="AB43" s="2965">
        <f t="shared" si="4"/>
        <v>1</v>
      </c>
      <c r="AC43" s="2965">
        <f t="shared" si="5"/>
        <v>1</v>
      </c>
    </row>
    <row r="44" spans="1:29" s="117" customFormat="1" ht="15.75" hidden="1" thickBot="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2958">
        <f t="shared" si="11"/>
        <v>111</v>
      </c>
      <c r="R44" s="770" t="s">
        <v>17</v>
      </c>
      <c r="S44" s="771">
        <f t="shared" si="12"/>
        <v>100</v>
      </c>
      <c r="T44" s="770" t="s">
        <v>17</v>
      </c>
      <c r="U44" s="771">
        <f t="shared" si="13"/>
        <v>100</v>
      </c>
      <c r="V44" s="770" t="s">
        <v>17</v>
      </c>
      <c r="W44" s="771">
        <f t="shared" si="14"/>
        <v>100</v>
      </c>
      <c r="X44" s="772"/>
      <c r="Y44" s="3173"/>
      <c r="Z44" s="2959">
        <f t="shared" si="15"/>
        <v>111</v>
      </c>
      <c r="AA44" s="773">
        <f t="shared" si="3"/>
        <v>1</v>
      </c>
      <c r="AB44" s="773">
        <f t="shared" si="4"/>
        <v>1</v>
      </c>
      <c r="AC44" s="773">
        <f t="shared" si="5"/>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2962">
        <f t="shared" si="11"/>
        <v>111</v>
      </c>
      <c r="R45" s="774" t="s">
        <v>17</v>
      </c>
      <c r="S45" s="775">
        <f t="shared" si="12"/>
        <v>100</v>
      </c>
      <c r="T45" s="774" t="s">
        <v>17</v>
      </c>
      <c r="U45" s="775">
        <f t="shared" si="13"/>
        <v>100</v>
      </c>
      <c r="V45" s="774" t="s">
        <v>17</v>
      </c>
      <c r="W45" s="775">
        <f t="shared" si="14"/>
        <v>100</v>
      </c>
      <c r="X45" s="2964"/>
      <c r="Y45" s="3173"/>
      <c r="Z45" s="2963">
        <f t="shared" si="15"/>
        <v>111</v>
      </c>
      <c r="AA45" s="2965">
        <f t="shared" si="3"/>
        <v>1</v>
      </c>
      <c r="AB45" s="2965">
        <f t="shared" si="4"/>
        <v>1</v>
      </c>
      <c r="AC45" s="2965">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2962">
        <f t="shared" si="11"/>
        <v>111</v>
      </c>
      <c r="R46" s="774" t="s">
        <v>17</v>
      </c>
      <c r="S46" s="775">
        <f t="shared" si="12"/>
        <v>100</v>
      </c>
      <c r="T46" s="774" t="s">
        <v>17</v>
      </c>
      <c r="U46" s="775">
        <f t="shared" si="13"/>
        <v>100</v>
      </c>
      <c r="V46" s="774" t="s">
        <v>17</v>
      </c>
      <c r="W46" s="775">
        <f t="shared" si="14"/>
        <v>100</v>
      </c>
      <c r="X46" s="2964"/>
      <c r="Y46" s="3237"/>
      <c r="Z46" s="2963">
        <f t="shared" si="15"/>
        <v>111</v>
      </c>
      <c r="AA46" s="2965">
        <f t="shared" si="3"/>
        <v>1</v>
      </c>
      <c r="AB46" s="2965">
        <f t="shared" si="4"/>
        <v>1</v>
      </c>
      <c r="AC46" s="2965">
        <f t="shared" si="5"/>
        <v>1</v>
      </c>
    </row>
    <row r="47" spans="1:29" ht="15">
      <c r="A47" s="479" t="s">
        <v>2569</v>
      </c>
      <c r="B47" s="480"/>
      <c r="C47" s="1410" t="s">
        <v>1</v>
      </c>
      <c r="D47" s="1411"/>
      <c r="E47" s="1412">
        <v>40000</v>
      </c>
      <c r="F47" s="1413"/>
      <c r="G47" s="1414">
        <v>40000</v>
      </c>
      <c r="H47" s="1415"/>
      <c r="I47" s="1412">
        <v>51000</v>
      </c>
      <c r="J47" s="1415"/>
      <c r="K47" s="783"/>
      <c r="L47" s="1146"/>
      <c r="M47" s="1147"/>
      <c r="N47" s="1134"/>
      <c r="O47" s="1147"/>
      <c r="P47" s="3168" t="str">
        <f>A47</f>
        <v>成交单价（元/平方米）</v>
      </c>
      <c r="Q47" s="3168"/>
      <c r="R47" s="3174">
        <f>E47</f>
        <v>40000</v>
      </c>
      <c r="S47" s="3174"/>
      <c r="T47" s="3174">
        <f>G47</f>
        <v>40000</v>
      </c>
      <c r="U47" s="3174"/>
      <c r="V47" s="3174">
        <f>I47</f>
        <v>51000</v>
      </c>
      <c r="W47" s="3174"/>
      <c r="X47" s="759"/>
      <c r="Y47" s="781"/>
      <c r="Z47" s="759"/>
      <c r="AA47" s="759"/>
      <c r="AB47" s="759"/>
      <c r="AC47" s="759"/>
    </row>
    <row r="48" spans="1:29" ht="15.75" thickBot="1">
      <c r="A48" s="486" t="s">
        <v>2570</v>
      </c>
      <c r="B48" s="487"/>
      <c r="C48" s="1416">
        <f>R49</f>
        <v>39809</v>
      </c>
      <c r="D48" s="1417"/>
      <c r="E48" s="1418">
        <f>R48</f>
        <v>36260</v>
      </c>
      <c r="F48" s="1418"/>
      <c r="G48" s="1416">
        <f>T48</f>
        <v>40000</v>
      </c>
      <c r="H48" s="1417"/>
      <c r="I48" s="1418">
        <f>V48</f>
        <v>43167</v>
      </c>
      <c r="J48" s="1417"/>
      <c r="K48" s="784"/>
      <c r="L48" s="1146"/>
      <c r="M48" s="1147"/>
      <c r="N48" s="1134"/>
      <c r="O48" s="1147"/>
      <c r="P48" s="3168" t="str">
        <f>A48</f>
        <v>比较价值（元/平方米）</v>
      </c>
      <c r="Q48" s="3168"/>
      <c r="R48" s="3233">
        <f>IF(F1="售价",ROUND(PRODUCT(R47,AA7:AA46),0),ROUND(PRODUCT(R47,AA7:AA46),1))</f>
        <v>36260</v>
      </c>
      <c r="S48" s="3233"/>
      <c r="T48" s="3233">
        <f>IF(F1="售价",ROUND(PRODUCT(T47,AB7:AB46),0),ROUND(PRODUCT(T47,AB7:AB46),1))</f>
        <v>40000</v>
      </c>
      <c r="U48" s="3233"/>
      <c r="V48" s="3233">
        <f>IF(F1="售价",ROUND(PRODUCT(V47,AC7:AC46),0),ROUND(PRODUCT(V47,AC7:AC46),1))</f>
        <v>43167</v>
      </c>
      <c r="W48" s="3233"/>
      <c r="X48" s="759"/>
      <c r="Y48" s="759"/>
      <c r="Z48" s="759"/>
      <c r="AA48" s="759"/>
      <c r="AB48" s="759"/>
      <c r="AC48" s="759"/>
    </row>
    <row r="49" spans="1:29" ht="15.75" thickBot="1">
      <c r="A49" s="492" t="s">
        <v>2571</v>
      </c>
      <c r="B49" s="493"/>
      <c r="C49" s="1420">
        <f>R49</f>
        <v>39809</v>
      </c>
      <c r="D49" s="1420"/>
      <c r="E49" s="1420"/>
      <c r="F49" s="1420"/>
      <c r="G49" s="1420"/>
      <c r="H49" s="1420"/>
      <c r="I49" s="1420"/>
      <c r="J49" s="1420"/>
      <c r="K49" s="785"/>
      <c r="L49" s="1146"/>
      <c r="M49" s="1147"/>
      <c r="N49" s="1134"/>
      <c r="O49" s="1147"/>
      <c r="P49" s="3162" t="str">
        <f>A49</f>
        <v>估价对象XX用房的比较价值（楼面单价，元/平方米）</v>
      </c>
      <c r="Q49" s="3163"/>
      <c r="R49" s="3232">
        <f>IF(F1="售价",ROUND(AVERAGE(R48:V48),0),ROUND(AVERAGE(R48:V48),1))</f>
        <v>39809</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2572</v>
      </c>
      <c r="D52" s="498"/>
      <c r="E52" s="499">
        <f>IF(E47&lt;E48,E48/E47-1,E47/E48-1)</f>
        <v>0.10314396028681738</v>
      </c>
      <c r="F52" s="500" t="str">
        <f>IF(OR(E52&gt;=0.3,E52&lt;=-0.3),"超过30%","")</f>
        <v/>
      </c>
      <c r="G52" s="499">
        <f>IF(G47&lt;G48,G48/G47-1,G47/G48-1)</f>
        <v>0</v>
      </c>
      <c r="H52" s="500" t="str">
        <f>IF(OR(G52&gt;=0.3,G52&lt;=-0.3),"超过30%","")</f>
        <v/>
      </c>
      <c r="I52" s="499">
        <f>IF(I47&lt;I48,I48/I47-1,I47/I48-1)</f>
        <v>0.18145805823893246</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2573</v>
      </c>
      <c r="D53" s="501"/>
      <c r="E53" s="499">
        <f>IF(E48&lt;G48,G48/E48-1,E48/G48-1)</f>
        <v>0.10314396028681738</v>
      </c>
      <c r="F53" s="500" t="str">
        <f>IF(OR(E53&gt;=0.2,E53&lt;=-0.2),"超过20%","")</f>
        <v/>
      </c>
      <c r="G53" s="499">
        <f>IF(G48&lt;I48,I48/G48-1,G48/I48-1)</f>
        <v>7.9174999999999995E-2</v>
      </c>
      <c r="H53" s="500" t="str">
        <f>IF(OR(G53&gt;=0.2,G53&lt;=-0.2),"超过20%","")</f>
        <v/>
      </c>
      <c r="I53" s="499">
        <f>IF(I48&lt;E48,E48/I48-1,I48/E48-1)</f>
        <v>0.19048538334252618</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2574</v>
      </c>
      <c r="D54" s="501"/>
      <c r="E54" s="499">
        <f>IF(E47&lt;G47,G47/E47-1,E47/G47-1)</f>
        <v>0</v>
      </c>
      <c r="F54" s="500" t="str">
        <f>IF(OR(E54&gt;=0.3,E54&lt;=-0.3),"超过30%","")</f>
        <v/>
      </c>
      <c r="G54" s="499">
        <f>IF(G47&lt;I47,I47/G47-1,G47/I47-1)</f>
        <v>0.27499999999999991</v>
      </c>
      <c r="H54" s="500" t="str">
        <f>IF(OR(G54&gt;=0.3,G54&lt;=-0.3),"超过30%","")</f>
        <v/>
      </c>
      <c r="I54" s="499">
        <f>IF(I47&lt;E47,E47/I47-1,I47/E47-1)</f>
        <v>0.27499999999999991</v>
      </c>
      <c r="J54" s="500" t="str">
        <f>IF(OR(I54&gt;=0.3,I54&lt;=-0.3),"超过30%","")</f>
        <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2540</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2579</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6"/>
      <c r="O66" s="1156"/>
      <c r="P66" s="2626"/>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2672</v>
      </c>
      <c r="C86" s="2949" t="s">
        <v>3259</v>
      </c>
      <c r="D86" s="2949" t="s">
        <v>3260</v>
      </c>
      <c r="E86" s="2949" t="s">
        <v>3261</v>
      </c>
      <c r="F86" s="2949" t="s">
        <v>3262</v>
      </c>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2949" t="s">
        <v>3232</v>
      </c>
      <c r="D88" s="2949" t="s">
        <v>3233</v>
      </c>
      <c r="E88" s="2949" t="s">
        <v>3234</v>
      </c>
      <c r="F88" s="2967" t="s">
        <v>3235</v>
      </c>
      <c r="G88" s="2949" t="s">
        <v>3236</v>
      </c>
      <c r="H88" s="554"/>
      <c r="I88" s="554"/>
      <c r="J88" s="554"/>
      <c r="K88" s="554"/>
      <c r="L88" s="554"/>
      <c r="M88" s="581"/>
      <c r="N88" s="1154"/>
      <c r="O88" s="1154"/>
      <c r="P88" s="2626"/>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26"/>
      <c r="Q89" s="504"/>
    </row>
    <row r="90" spans="1:17" s="471" customFormat="1" ht="15.75" thickTop="1">
      <c r="A90" s="553"/>
      <c r="B90" s="538" t="str">
        <f>B27</f>
        <v>人流量</v>
      </c>
      <c r="C90" s="2949" t="s">
        <v>3237</v>
      </c>
      <c r="D90" s="2949" t="s">
        <v>3239</v>
      </c>
      <c r="E90" s="2949" t="s">
        <v>3234</v>
      </c>
      <c r="F90" s="2949" t="s">
        <v>3240</v>
      </c>
      <c r="G90" s="2949" t="s">
        <v>3241</v>
      </c>
      <c r="H90" s="555"/>
      <c r="I90" s="555"/>
      <c r="J90" s="555"/>
      <c r="K90" s="555"/>
      <c r="L90" s="556"/>
      <c r="M90" s="557"/>
      <c r="N90" s="1157"/>
      <c r="O90" s="1157"/>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27"/>
      <c r="Q91" s="559"/>
    </row>
    <row r="92" spans="1:17" ht="15.75" thickTop="1">
      <c r="A92" s="534"/>
      <c r="B92" s="538" t="str">
        <f>B28</f>
        <v>楼层</v>
      </c>
      <c r="C92" s="554" t="s">
        <v>3257</v>
      </c>
      <c r="D92" s="554"/>
      <c r="E92" s="554"/>
      <c r="F92" s="554"/>
      <c r="G92" s="554"/>
      <c r="H92" s="554"/>
      <c r="I92" s="554"/>
      <c r="J92" s="554"/>
      <c r="K92" s="554"/>
      <c r="L92" s="580"/>
      <c r="M92" s="581"/>
      <c r="N92" s="1155"/>
      <c r="O92" s="1155"/>
      <c r="P92" s="2626"/>
      <c r="Q92" s="504"/>
    </row>
    <row r="93" spans="1:17" ht="15.75" thickBot="1">
      <c r="A93" s="534"/>
      <c r="B93" s="543"/>
      <c r="C93" s="536">
        <v>100</v>
      </c>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2555</v>
      </c>
      <c r="B100" s="528" t="s">
        <v>2673</v>
      </c>
      <c r="C100" s="2948" t="s">
        <v>3111</v>
      </c>
      <c r="D100" s="2948" t="s">
        <v>3113</v>
      </c>
      <c r="E100" s="2948" t="s">
        <v>3114</v>
      </c>
      <c r="F100" s="2948" t="s">
        <v>3115</v>
      </c>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26"/>
      <c r="Q101" s="504"/>
    </row>
    <row r="102" spans="1:17" ht="15.75" thickTop="1">
      <c r="A102" s="534"/>
      <c r="B102" s="538" t="s">
        <v>2605</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v>0</v>
      </c>
      <c r="D103" s="595">
        <v>100</v>
      </c>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7"/>
      <c r="N104" s="1156"/>
      <c r="O104" s="1156"/>
      <c r="P104" s="2627"/>
      <c r="Q104" s="559"/>
    </row>
    <row r="105" spans="1:17" ht="15" thickTop="1">
      <c r="A105" s="599"/>
      <c r="B105" s="538" t="s">
        <v>2606</v>
      </c>
      <c r="C105" s="2949" t="s">
        <v>3116</v>
      </c>
      <c r="D105" s="2949" t="s">
        <v>3117</v>
      </c>
      <c r="E105" s="2950" t="s">
        <v>3118</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2608</v>
      </c>
      <c r="C107" s="2949" t="s">
        <v>3119</v>
      </c>
      <c r="D107" s="2949" t="s">
        <v>3120</v>
      </c>
      <c r="E107" s="2949" t="s">
        <v>3121</v>
      </c>
      <c r="F107" s="2950" t="s">
        <v>3122</v>
      </c>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2610</v>
      </c>
      <c r="C112" s="2949" t="s">
        <v>3123</v>
      </c>
      <c r="D112" s="2949" t="s">
        <v>3124</v>
      </c>
      <c r="E112" s="2949" t="s">
        <v>3125</v>
      </c>
      <c r="F112" s="2949" t="s">
        <v>3126</v>
      </c>
      <c r="G112" s="2949" t="s">
        <v>3127</v>
      </c>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2674</v>
      </c>
      <c r="C114" s="2949" t="s">
        <v>3128</v>
      </c>
      <c r="D114" s="2949" t="s">
        <v>3129</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6"/>
      <c r="O115" s="1156"/>
      <c r="P115" s="2626"/>
      <c r="Q115" s="504"/>
    </row>
    <row r="116" spans="1:17" ht="15" thickTop="1">
      <c r="A116" s="599"/>
      <c r="B116" s="538" t="s">
        <v>2675</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2676</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2612</v>
      </c>
      <c r="C122" s="2949" t="s">
        <v>3119</v>
      </c>
      <c r="D122" s="2949" t="s">
        <v>3120</v>
      </c>
      <c r="E122" s="2949" t="s">
        <v>3121</v>
      </c>
      <c r="F122" s="2950" t="s">
        <v>3122</v>
      </c>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0" priority="16"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E43" sqref="E4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2634</v>
      </c>
      <c r="C1" s="1637" t="s">
        <v>2522</v>
      </c>
      <c r="D1" s="1624" t="s">
        <v>3184</v>
      </c>
      <c r="E1" s="2653"/>
      <c r="F1" s="2582" t="s">
        <v>3070</v>
      </c>
      <c r="G1" s="1634" t="s">
        <v>2635</v>
      </c>
      <c r="H1" s="1633"/>
      <c r="I1" s="1633"/>
      <c r="J1" s="1633"/>
      <c r="K1" s="1635"/>
      <c r="L1" s="1636"/>
      <c r="M1" s="1637"/>
      <c r="N1" s="1637"/>
      <c r="O1" s="1637"/>
      <c r="P1" s="2654"/>
      <c r="Q1" s="2655"/>
      <c r="R1" s="2655"/>
      <c r="S1" s="2655"/>
      <c r="T1" s="2655"/>
      <c r="U1" s="2655"/>
      <c r="V1" s="2655"/>
      <c r="W1" s="2655"/>
      <c r="X1" s="2655"/>
      <c r="Y1" s="2655"/>
      <c r="Z1" s="2655"/>
      <c r="AA1" s="2655"/>
      <c r="AB1" s="2655"/>
      <c r="AC1" s="2656"/>
    </row>
    <row r="2" spans="1:29" s="398" customFormat="1" ht="28.5" customHeight="1" thickTop="1">
      <c r="A2" s="1620" t="s">
        <v>2322</v>
      </c>
      <c r="B2" s="1421">
        <f>IF(C2="——",ROUND(C49*D3/10000,0),ROUND(C49*D3/10000,0)-D2)</f>
        <v>14046</v>
      </c>
      <c r="C2" s="2584" t="s">
        <v>70</v>
      </c>
      <c r="D2" s="1368" t="e">
        <f ca="1">SUMIF(INDIRECT("'"&amp;F2&amp;"'"&amp;"!A:A"),"承租人权益价值",INDIRECT("'"&amp;F2&amp;"'"&amp;"!c:c"))</f>
        <v>#REF!</v>
      </c>
      <c r="E2" s="2585" t="s">
        <v>2323</v>
      </c>
      <c r="F2" s="2586"/>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2324</v>
      </c>
      <c r="B3" s="609">
        <f>IF(C2="——",C49,ROUND(B2*10000/D3,0))</f>
        <v>32789</v>
      </c>
      <c r="C3" s="400" t="s">
        <v>2636</v>
      </c>
      <c r="D3" s="399">
        <f>IF(D1="",'数据-汇总表'!E3,SUMIF('数据-汇总表'!$C19:$C33,D1,'数据-汇总表'!$E19:$E33))</f>
        <v>4283.87</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4" t="s">
        <v>2640</v>
      </c>
      <c r="AC4" s="3175" t="s">
        <v>2641</v>
      </c>
    </row>
    <row r="5" spans="1:29" ht="15">
      <c r="A5" s="404"/>
      <c r="B5" s="405"/>
      <c r="C5" s="3200" t="s">
        <v>3076</v>
      </c>
      <c r="D5" s="3196"/>
      <c r="E5" s="3241" t="s">
        <v>3130</v>
      </c>
      <c r="F5" s="3204"/>
      <c r="G5" s="3200" t="s">
        <v>3131</v>
      </c>
      <c r="H5" s="3196"/>
      <c r="I5" s="3200" t="s">
        <v>3132</v>
      </c>
      <c r="J5" s="3196"/>
      <c r="K5" s="610"/>
      <c r="L5" s="1133"/>
      <c r="M5" s="1134"/>
      <c r="N5" s="1134"/>
      <c r="O5" s="1134"/>
      <c r="P5" s="3183"/>
      <c r="Q5" s="3184"/>
      <c r="R5" s="3189"/>
      <c r="S5" s="3190"/>
      <c r="T5" s="3189"/>
      <c r="U5" s="3190"/>
      <c r="V5" s="3174"/>
      <c r="W5" s="3174"/>
      <c r="X5" s="1816"/>
      <c r="Y5" s="3189"/>
      <c r="Z5" s="3190"/>
      <c r="AA5" s="3176"/>
      <c r="AB5" s="3174"/>
      <c r="AC5" s="3176"/>
    </row>
    <row r="6" spans="1:29" ht="32.25" customHeight="1" thickBot="1">
      <c r="A6" s="406"/>
      <c r="B6" s="407"/>
      <c r="C6" s="3193" t="s">
        <v>3081</v>
      </c>
      <c r="D6" s="3194"/>
      <c r="E6" s="3201" t="s">
        <v>3228</v>
      </c>
      <c r="F6" s="3202"/>
      <c r="G6" s="3193" t="s">
        <v>3230</v>
      </c>
      <c r="H6" s="3194"/>
      <c r="I6" s="3193" t="s">
        <v>3231</v>
      </c>
      <c r="J6" s="3194"/>
      <c r="K6" s="610" t="s">
        <v>2539</v>
      </c>
      <c r="L6" s="1133"/>
      <c r="M6" s="1134"/>
      <c r="N6" s="1134"/>
      <c r="O6" s="1134"/>
      <c r="P6" s="3185"/>
      <c r="Q6" s="3186"/>
      <c r="R6" s="3189"/>
      <c r="S6" s="3190"/>
      <c r="T6" s="3191"/>
      <c r="U6" s="3192"/>
      <c r="V6" s="3174"/>
      <c r="W6" s="3174"/>
      <c r="X6" s="1816"/>
      <c r="Y6" s="3191"/>
      <c r="Z6" s="3192"/>
      <c r="AA6" s="3177"/>
      <c r="AB6" s="3174"/>
      <c r="AC6" s="3177"/>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611"/>
      <c r="L7" s="1135"/>
      <c r="M7" s="1136"/>
      <c r="N7" s="1136"/>
      <c r="O7" s="1136"/>
      <c r="P7" s="3197" t="s">
        <v>2541</v>
      </c>
      <c r="Q7" s="3199"/>
      <c r="R7" s="770" t="s">
        <v>17</v>
      </c>
      <c r="S7" s="771">
        <f t="shared" ref="S7:S15" si="0">F7</f>
        <v>100</v>
      </c>
      <c r="T7" s="770" t="s">
        <v>17</v>
      </c>
      <c r="U7" s="771">
        <f t="shared" ref="U7:U15" si="1">H7</f>
        <v>100</v>
      </c>
      <c r="V7" s="770" t="s">
        <v>17</v>
      </c>
      <c r="W7" s="771">
        <f t="shared" ref="W7:W15" si="2">J7</f>
        <v>100</v>
      </c>
      <c r="X7" s="772"/>
      <c r="Y7" s="3197" t="s">
        <v>2541</v>
      </c>
      <c r="Z7" s="3198"/>
      <c r="AA7" s="773">
        <f>D7/F7</f>
        <v>1</v>
      </c>
      <c r="AB7" s="773">
        <f>D7/H7</f>
        <v>1</v>
      </c>
      <c r="AC7" s="773">
        <f>D7/J7</f>
        <v>1</v>
      </c>
    </row>
    <row r="8" spans="1:29" s="117" customFormat="1" ht="15.75" thickBot="1">
      <c r="A8" s="408" t="s">
        <v>2542</v>
      </c>
      <c r="B8" s="409"/>
      <c r="C8" s="414" t="s">
        <v>2644</v>
      </c>
      <c r="D8" s="411">
        <v>100</v>
      </c>
      <c r="E8" s="414" t="s">
        <v>2644</v>
      </c>
      <c r="F8" s="413">
        <f>SUMIF(61:61,E8,62:62)-SUMIF(61:61,C8,62:62)+100</f>
        <v>100</v>
      </c>
      <c r="G8" s="414" t="s">
        <v>2644</v>
      </c>
      <c r="H8" s="411">
        <f>SUMIF(61:61,G8,62:62)-SUMIF(61:61,C8,62:62)+100</f>
        <v>100</v>
      </c>
      <c r="I8" s="414" t="s">
        <v>2644</v>
      </c>
      <c r="J8" s="411">
        <f>SUMIF(61:61,I8,62:62)-SUMIF(61:61,C8,62:62)+100</f>
        <v>100</v>
      </c>
      <c r="K8" s="611"/>
      <c r="L8" s="1135"/>
      <c r="M8" s="1136"/>
      <c r="N8" s="1136"/>
      <c r="O8" s="1136"/>
      <c r="P8" s="3197" t="s">
        <v>2544</v>
      </c>
      <c r="Q8" s="3198"/>
      <c r="R8" s="770" t="s">
        <v>17</v>
      </c>
      <c r="S8" s="771">
        <f t="shared" si="0"/>
        <v>100</v>
      </c>
      <c r="T8" s="770" t="s">
        <v>17</v>
      </c>
      <c r="U8" s="771">
        <f t="shared" si="1"/>
        <v>100</v>
      </c>
      <c r="V8" s="770" t="s">
        <v>17</v>
      </c>
      <c r="W8" s="771">
        <f t="shared" si="2"/>
        <v>100</v>
      </c>
      <c r="X8" s="772"/>
      <c r="Y8" s="3197" t="s">
        <v>2544</v>
      </c>
      <c r="Z8" s="3198"/>
      <c r="AA8" s="773">
        <f t="shared" ref="AA8:AA46" si="3">D8/F8</f>
        <v>1</v>
      </c>
      <c r="AB8" s="773">
        <f t="shared" ref="AB8:AB46" si="4">D8/H8</f>
        <v>1</v>
      </c>
      <c r="AC8" s="773">
        <f t="shared" ref="AC8:AC46" si="5">D8/J8</f>
        <v>1</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7">
      <c r="A10" s="421"/>
      <c r="B10" s="422" t="s">
        <v>2549</v>
      </c>
      <c r="C10" s="423" t="s">
        <v>3133</v>
      </c>
      <c r="D10" s="136">
        <v>100</v>
      </c>
      <c r="E10" s="423" t="s">
        <v>3133</v>
      </c>
      <c r="F10" s="425">
        <f>SUMIF(65:65,E10,66:66)-SUMIF(65:65,C10,66:66)+100</f>
        <v>100</v>
      </c>
      <c r="G10" s="423" t="s">
        <v>3133</v>
      </c>
      <c r="H10" s="136">
        <f>SUMIF(65:65,G10,66:66)-SUMIF(65:65,C10,66:66)+100</f>
        <v>100</v>
      </c>
      <c r="I10" s="423" t="s">
        <v>3133</v>
      </c>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75" thickBo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67"/>
      <c r="Q11" s="1798"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99.75">
      <c r="A15" s="440" t="s">
        <v>2551</v>
      </c>
      <c r="B15" s="69" t="s">
        <v>2645</v>
      </c>
      <c r="C15" s="2600" t="str">
        <f>估价对象房地状况!C4</f>
        <v>估价对象位于丰泽区城东组团华大片区，周边商业氛围成熟度一般，人流量一般，商业繁华度一般。</v>
      </c>
      <c r="D15" s="441">
        <v>100</v>
      </c>
      <c r="E15" s="2954" t="s">
        <v>3248</v>
      </c>
      <c r="F15" s="443">
        <f>SUMIF(76:76,E16,77:77)-SUMIF(76:76,C16,77:77)+100</f>
        <v>105</v>
      </c>
      <c r="G15" s="2968" t="s">
        <v>3247</v>
      </c>
      <c r="H15" s="441">
        <f>SUMIF(76:76,G16,77:77)-SUMIF(76:76,C16,77:77)+100</f>
        <v>100</v>
      </c>
      <c r="I15" s="2968" t="s">
        <v>3254</v>
      </c>
      <c r="J15" s="441">
        <f>SUMIF(76:76,I16,77:77)-SUMIF(76:76,C16,77:77)+100</f>
        <v>105</v>
      </c>
      <c r="K15" s="614">
        <v>5</v>
      </c>
      <c r="L15" s="1143"/>
      <c r="M15" s="1134"/>
      <c r="N15" s="1134"/>
      <c r="O15" s="1134"/>
      <c r="P15" s="3238" t="s">
        <v>2552</v>
      </c>
      <c r="Q15" s="1813" t="str">
        <f t="shared" si="6"/>
        <v>商业繁华度</v>
      </c>
      <c r="R15" s="774" t="s">
        <v>17</v>
      </c>
      <c r="S15" s="775">
        <f t="shared" si="0"/>
        <v>105</v>
      </c>
      <c r="T15" s="774" t="s">
        <v>17</v>
      </c>
      <c r="U15" s="775">
        <f t="shared" si="1"/>
        <v>100</v>
      </c>
      <c r="V15" s="774" t="s">
        <v>17</v>
      </c>
      <c r="W15" s="775">
        <f t="shared" si="2"/>
        <v>105</v>
      </c>
      <c r="X15" s="1816"/>
      <c r="Y15" s="3170" t="s">
        <v>2552</v>
      </c>
      <c r="Z15" s="1817" t="str">
        <f t="shared" si="7"/>
        <v>商业繁华度</v>
      </c>
      <c r="AA15" s="1814">
        <f t="shared" si="3"/>
        <v>0.95238095238095233</v>
      </c>
      <c r="AB15" s="1814">
        <f t="shared" si="4"/>
        <v>1</v>
      </c>
      <c r="AC15" s="1814">
        <f t="shared" si="5"/>
        <v>0.95238095238095233</v>
      </c>
    </row>
    <row r="16" spans="1:29" ht="15.75" thickBot="1">
      <c r="A16" s="428"/>
      <c r="B16" s="446"/>
      <c r="C16" s="447" t="s">
        <v>3084</v>
      </c>
      <c r="D16" s="448"/>
      <c r="E16" s="447" t="s">
        <v>3083</v>
      </c>
      <c r="F16" s="449"/>
      <c r="G16" s="447" t="s">
        <v>3084</v>
      </c>
      <c r="H16" s="450"/>
      <c r="I16" s="447" t="s">
        <v>3083</v>
      </c>
      <c r="J16" s="448"/>
      <c r="K16" s="615"/>
      <c r="L16" s="1143"/>
      <c r="M16" s="1134"/>
      <c r="N16" s="1134"/>
      <c r="O16" s="1134"/>
      <c r="P16" s="3239"/>
      <c r="Q16" s="1813"/>
      <c r="R16" s="774"/>
      <c r="S16" s="775"/>
      <c r="T16" s="774"/>
      <c r="U16" s="775"/>
      <c r="V16" s="774"/>
      <c r="W16" s="775"/>
      <c r="X16" s="1816"/>
      <c r="Y16" s="3171"/>
      <c r="Z16" s="1817"/>
      <c r="AA16" s="1814">
        <v>1</v>
      </c>
      <c r="AB16" s="1814">
        <v>1</v>
      </c>
      <c r="AC16" s="1814">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3085</v>
      </c>
      <c r="F17" s="453">
        <f>SUMIF(78:78,E18,79:79)-SUMIF(78:78,C18,79:79)+100</f>
        <v>100</v>
      </c>
      <c r="G17" s="454" t="s">
        <v>3245</v>
      </c>
      <c r="H17" s="455">
        <f>SUMIF(78:78,G18,79:79)-SUMIF(78:78,C18,79:79)+100</f>
        <v>100</v>
      </c>
      <c r="I17" s="454" t="s">
        <v>3251</v>
      </c>
      <c r="J17" s="455">
        <f>SUMIF(78:78,I18,79:79)-SUMIF(78:78,C18,79:79)+100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05" t="s">
        <v>3084</v>
      </c>
      <c r="D18" s="450"/>
      <c r="E18" s="2605" t="s">
        <v>3084</v>
      </c>
      <c r="F18" s="453"/>
      <c r="G18" s="2605" t="s">
        <v>3084</v>
      </c>
      <c r="H18" s="448"/>
      <c r="I18" s="2607" t="s">
        <v>3084</v>
      </c>
      <c r="J18" s="448"/>
      <c r="K18" s="615"/>
      <c r="L18" s="1143"/>
      <c r="M18" s="1134"/>
      <c r="N18" s="1134"/>
      <c r="O18" s="1134"/>
      <c r="P18" s="3239"/>
      <c r="Q18" s="1813"/>
      <c r="R18" s="774"/>
      <c r="S18" s="775"/>
      <c r="T18" s="774"/>
      <c r="U18" s="775"/>
      <c r="V18" s="774"/>
      <c r="W18" s="775"/>
      <c r="X18" s="1816"/>
      <c r="Y18" s="3171"/>
      <c r="Z18" s="1817"/>
      <c r="AA18" s="1814">
        <v>1</v>
      </c>
      <c r="AB18" s="1814">
        <v>1</v>
      </c>
      <c r="AC18" s="1814">
        <v>1</v>
      </c>
    </row>
    <row r="19" spans="1:29" ht="199.5">
      <c r="A19" s="428"/>
      <c r="B19" s="451" t="s">
        <v>2646</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2957" t="s">
        <v>3220</v>
      </c>
      <c r="F19" s="458">
        <f>SUMIF(80:80,E20,81:81)-SUMIF(80:80,C20,81:81)+100</f>
        <v>100</v>
      </c>
      <c r="G19" s="459" t="s">
        <v>3243</v>
      </c>
      <c r="H19" s="450">
        <f>SUMIF(80:80,G20,81:81)-SUMIF(80:80,C20,81:81)+100</f>
        <v>100</v>
      </c>
      <c r="I19" s="459" t="s">
        <v>3252</v>
      </c>
      <c r="J19" s="450">
        <f>SUMIF(80:80,I20,81:81)-SUMIF(80:80,C20,81:81)+100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t="s">
        <v>3083</v>
      </c>
      <c r="D20" s="448"/>
      <c r="E20" s="2602" t="s">
        <v>3083</v>
      </c>
      <c r="F20" s="449"/>
      <c r="G20" s="2602" t="s">
        <v>3083</v>
      </c>
      <c r="H20" s="448"/>
      <c r="I20" s="2602" t="s">
        <v>3083</v>
      </c>
      <c r="J20" s="448"/>
      <c r="K20" s="615"/>
      <c r="L20" s="1143"/>
      <c r="M20" s="1134"/>
      <c r="N20" s="1134"/>
      <c r="O20" s="1134"/>
      <c r="P20" s="3239"/>
      <c r="Q20" s="1813"/>
      <c r="R20" s="774"/>
      <c r="S20" s="775"/>
      <c r="T20" s="774"/>
      <c r="U20" s="775"/>
      <c r="V20" s="774"/>
      <c r="W20" s="775"/>
      <c r="X20" s="1816"/>
      <c r="Y20" s="3171"/>
      <c r="Z20" s="1817"/>
      <c r="AA20" s="1814">
        <v>1</v>
      </c>
      <c r="AB20" s="1814">
        <v>1</v>
      </c>
      <c r="AC20" s="1814">
        <v>1</v>
      </c>
    </row>
    <row r="21" spans="1:29" ht="42.75">
      <c r="A21" s="428"/>
      <c r="B21" s="1387" t="s">
        <v>2647</v>
      </c>
      <c r="C21" s="2604" t="str">
        <f>估价对象房地状况!C8</f>
        <v>估价对象所在区域基础设施水平达到“五通”。</v>
      </c>
      <c r="D21" s="455">
        <v>100</v>
      </c>
      <c r="E21" s="452" t="s">
        <v>3099</v>
      </c>
      <c r="F21" s="458">
        <f>SUMIF(82:82,E22,83:83)-SUMIF(82:82,C22,83:83)+100</f>
        <v>100</v>
      </c>
      <c r="G21" s="452" t="s">
        <v>3099</v>
      </c>
      <c r="H21" s="450">
        <f>SUMIF(82:82,G22,83:83)-SUMIF(82:82,C22,83:83)+100</f>
        <v>100</v>
      </c>
      <c r="I21" s="452" t="s">
        <v>3099</v>
      </c>
      <c r="J21" s="450">
        <f>SUMIF(82:82,I22,83:83)-SUMIF(82:82,C22,83:83)+100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05" t="s">
        <v>3098</v>
      </c>
      <c r="D22" s="448"/>
      <c r="E22" s="2605" t="s">
        <v>3098</v>
      </c>
      <c r="F22" s="449"/>
      <c r="G22" s="2605" t="s">
        <v>3098</v>
      </c>
      <c r="H22" s="448"/>
      <c r="I22" s="2605" t="s">
        <v>3098</v>
      </c>
      <c r="J22" s="448"/>
      <c r="K22" s="1386"/>
      <c r="L22" s="1143"/>
      <c r="M22" s="1134"/>
      <c r="N22" s="1134"/>
      <c r="O22" s="1134"/>
      <c r="P22" s="3239"/>
      <c r="Q22" s="1813"/>
      <c r="R22" s="774"/>
      <c r="S22" s="775"/>
      <c r="T22" s="774"/>
      <c r="U22" s="775"/>
      <c r="V22" s="774"/>
      <c r="W22" s="775"/>
      <c r="X22" s="1816"/>
      <c r="Y22" s="3171"/>
      <c r="Z22" s="1817"/>
      <c r="AA22" s="1814">
        <v>1</v>
      </c>
      <c r="AB22" s="1814">
        <v>1</v>
      </c>
      <c r="AC22" s="1814">
        <v>1</v>
      </c>
    </row>
    <row r="23" spans="1:29" ht="122.25">
      <c r="A23" s="428"/>
      <c r="B23" s="451" t="s">
        <v>2096</v>
      </c>
      <c r="C23" s="2660" t="str">
        <f>估价对象房地状况!C9</f>
        <v>区域自然环境：绿化条件较好，2公里内无公园；人文环境：有华侨大学等人文景观；综合评价环境状况一般。</v>
      </c>
      <c r="D23" s="450">
        <v>100</v>
      </c>
      <c r="E23" s="459" t="s">
        <v>3216</v>
      </c>
      <c r="F23" s="453">
        <f>SUMIF(84:84,E24,85:85)-SUMIF(84:84,C24,85:85)+100</f>
        <v>100</v>
      </c>
      <c r="G23" s="454" t="s">
        <v>3250</v>
      </c>
      <c r="H23" s="450">
        <f>SUMIF(84:84,G24,85:85)-SUMIF(84:84,C24,85:85)+100</f>
        <v>100</v>
      </c>
      <c r="I23" s="459" t="s">
        <v>3253</v>
      </c>
      <c r="J23" s="450">
        <f>SUMIF(84:84,I24,85:85)-SUMIF(84:84,C24,85:85)+100</f>
        <v>100</v>
      </c>
      <c r="K23" s="614"/>
      <c r="L23" s="1143"/>
      <c r="M23" s="1134"/>
      <c r="N23" s="1134"/>
      <c r="O23" s="1134"/>
      <c r="P23" s="3239"/>
      <c r="Q23" s="1813" t="str">
        <f>B23</f>
        <v>自然及人文环境</v>
      </c>
      <c r="R23" s="774" t="s">
        <v>17</v>
      </c>
      <c r="S23" s="775">
        <f>F23</f>
        <v>100</v>
      </c>
      <c r="T23" s="774" t="s">
        <v>17</v>
      </c>
      <c r="U23" s="775">
        <f>H23</f>
        <v>100</v>
      </c>
      <c r="V23" s="774" t="s">
        <v>17</v>
      </c>
      <c r="W23" s="775">
        <f>J23</f>
        <v>100</v>
      </c>
      <c r="X23" s="1816"/>
      <c r="Y23" s="3171"/>
      <c r="Z23" s="1817" t="str">
        <f>Q23</f>
        <v>自然及人文环境</v>
      </c>
      <c r="AA23" s="1814">
        <f t="shared" si="3"/>
        <v>1</v>
      </c>
      <c r="AB23" s="1814">
        <f t="shared" si="4"/>
        <v>1</v>
      </c>
      <c r="AC23" s="1814">
        <f t="shared" si="5"/>
        <v>1</v>
      </c>
    </row>
    <row r="24" spans="1:29" ht="15">
      <c r="A24" s="428"/>
      <c r="B24" s="456"/>
      <c r="C24" s="447" t="s">
        <v>3084</v>
      </c>
      <c r="D24" s="448"/>
      <c r="E24" s="447" t="s">
        <v>3084</v>
      </c>
      <c r="F24" s="449"/>
      <c r="G24" s="447" t="s">
        <v>3084</v>
      </c>
      <c r="H24" s="448"/>
      <c r="I24" s="2602" t="s">
        <v>3084</v>
      </c>
      <c r="J24" s="448"/>
      <c r="K24" s="615"/>
      <c r="L24" s="1143"/>
      <c r="M24" s="1134"/>
      <c r="N24" s="1134"/>
      <c r="O24" s="1134"/>
      <c r="P24" s="3239"/>
      <c r="Q24" s="1813"/>
      <c r="R24" s="774"/>
      <c r="S24" s="775"/>
      <c r="T24" s="774"/>
      <c r="U24" s="775"/>
      <c r="V24" s="774"/>
      <c r="W24" s="775"/>
      <c r="X24" s="1816"/>
      <c r="Y24" s="3171"/>
      <c r="Z24" s="1817"/>
      <c r="AA24" s="1814">
        <v>1</v>
      </c>
      <c r="AB24" s="1814">
        <v>1</v>
      </c>
      <c r="AC24" s="1814">
        <v>1</v>
      </c>
    </row>
    <row r="25" spans="1:29" ht="15">
      <c r="A25" s="428"/>
      <c r="B25" s="422" t="s">
        <v>2648</v>
      </c>
      <c r="C25" s="616" t="s">
        <v>3145</v>
      </c>
      <c r="D25" s="435">
        <v>100</v>
      </c>
      <c r="E25" s="616" t="s">
        <v>3145</v>
      </c>
      <c r="F25" s="461">
        <f>SUMIF(86:86,E25,87:87)-SUMIF(86:86,C25,87:87)+100</f>
        <v>100</v>
      </c>
      <c r="G25" s="616" t="s">
        <v>3145</v>
      </c>
      <c r="H25" s="435">
        <f>SUMIF(86:86,G25,87:87)-SUMIF(86:86,C25,87:87)+100</f>
        <v>100</v>
      </c>
      <c r="I25" s="616" t="s">
        <v>3145</v>
      </c>
      <c r="J25" s="435">
        <f>SUMIF(86:86,I25,87:87)-SUMIF(86:86,C25,87:87)+100</f>
        <v>100</v>
      </c>
      <c r="K25" s="612"/>
      <c r="L25" s="1143"/>
      <c r="M25" s="1134"/>
      <c r="N25" s="1134"/>
      <c r="O25" s="1134"/>
      <c r="P25" s="3239"/>
      <c r="Q25" s="1813" t="str">
        <f t="shared" ref="Q25:Q46" si="11">B25</f>
        <v>临街状况</v>
      </c>
      <c r="R25" s="774" t="s">
        <v>17</v>
      </c>
      <c r="S25" s="775">
        <f>F25</f>
        <v>100</v>
      </c>
      <c r="T25" s="774" t="s">
        <v>17</v>
      </c>
      <c r="U25" s="775">
        <f>H25</f>
        <v>100</v>
      </c>
      <c r="V25" s="774" t="s">
        <v>17</v>
      </c>
      <c r="W25" s="775">
        <f>J25</f>
        <v>100</v>
      </c>
      <c r="X25" s="1816"/>
      <c r="Y25" s="3171"/>
      <c r="Z25" s="1817" t="str">
        <f>Q25</f>
        <v>临街状况</v>
      </c>
      <c r="AA25" s="1814">
        <f t="shared" si="3"/>
        <v>1</v>
      </c>
      <c r="AB25" s="1814">
        <f t="shared" si="4"/>
        <v>1</v>
      </c>
      <c r="AC25" s="1814">
        <f t="shared" si="5"/>
        <v>1</v>
      </c>
    </row>
    <row r="26" spans="1:29" ht="15">
      <c r="A26" s="428"/>
      <c r="B26" s="1389" t="s">
        <v>2649</v>
      </c>
      <c r="C26" s="2969" t="s">
        <v>3234</v>
      </c>
      <c r="D26" s="435">
        <v>100</v>
      </c>
      <c r="E26" s="2969" t="s">
        <v>3233</v>
      </c>
      <c r="F26" s="461">
        <f>SUMIF(88:88,E26,89:89)-SUMIF(88:88,C26,89:89)+100</f>
        <v>105</v>
      </c>
      <c r="G26" s="2969" t="s">
        <v>3234</v>
      </c>
      <c r="H26" s="435">
        <f>SUMIF(88:88,G26,89:89)-SUMIF(88:88,C26,89:89)+100</f>
        <v>100</v>
      </c>
      <c r="I26" s="2969" t="s">
        <v>3233</v>
      </c>
      <c r="J26" s="435">
        <f>SUMIF(88:88,I26,89:89)-SUMIF(88:88,C26,89:89)+100</f>
        <v>105</v>
      </c>
      <c r="K26" s="613"/>
      <c r="L26" s="1143"/>
      <c r="M26" s="1134"/>
      <c r="N26" s="1134"/>
      <c r="O26" s="1134"/>
      <c r="P26" s="3239"/>
      <c r="Q26" s="1813" t="str">
        <f t="shared" si="11"/>
        <v>平面位置/可视性</v>
      </c>
      <c r="R26" s="774" t="s">
        <v>17</v>
      </c>
      <c r="S26" s="775">
        <f>F26</f>
        <v>105</v>
      </c>
      <c r="T26" s="774" t="s">
        <v>17</v>
      </c>
      <c r="U26" s="775">
        <f>H26</f>
        <v>100</v>
      </c>
      <c r="V26" s="774" t="s">
        <v>17</v>
      </c>
      <c r="W26" s="775">
        <f>J26</f>
        <v>105</v>
      </c>
      <c r="X26" s="1816"/>
      <c r="Y26" s="3171"/>
      <c r="Z26" s="1817" t="str">
        <f>Q26</f>
        <v>平面位置/可视性</v>
      </c>
      <c r="AA26" s="1814">
        <f t="shared" si="3"/>
        <v>0.95238095238095233</v>
      </c>
      <c r="AB26" s="1814">
        <f t="shared" si="4"/>
        <v>1</v>
      </c>
      <c r="AC26" s="1814">
        <f t="shared" si="5"/>
        <v>0.95238095238095233</v>
      </c>
    </row>
    <row r="27" spans="1:29" s="117" customFormat="1" ht="15">
      <c r="A27" s="431"/>
      <c r="B27" s="451" t="s">
        <v>2650</v>
      </c>
      <c r="C27" s="2661" t="s">
        <v>3084</v>
      </c>
      <c r="D27" s="462">
        <v>100</v>
      </c>
      <c r="E27" s="2661" t="s">
        <v>3084</v>
      </c>
      <c r="F27" s="464">
        <f>SUMIF(90:90,E27,91:91)-SUMIF(90:90,C27,91:91)+100</f>
        <v>100</v>
      </c>
      <c r="G27" s="2661" t="s">
        <v>3084</v>
      </c>
      <c r="H27" s="462">
        <f>SUMIF(90:90,G27,91:91)-SUMIF(90:90,C27,91:91)+100</f>
        <v>100</v>
      </c>
      <c r="I27" s="2661" t="s">
        <v>3238</v>
      </c>
      <c r="J27" s="462">
        <f>SUMIF(90:90,I27,91:91)-SUMIF(90:90,C27,91:91)+100</f>
        <v>105</v>
      </c>
      <c r="K27" s="612">
        <v>5</v>
      </c>
      <c r="L27" s="1135"/>
      <c r="M27" s="1136"/>
      <c r="N27" s="1136"/>
      <c r="O27" s="1136"/>
      <c r="P27" s="3239"/>
      <c r="Q27" s="1798" t="str">
        <f t="shared" si="11"/>
        <v>人流量</v>
      </c>
      <c r="R27" s="770" t="s">
        <v>17</v>
      </c>
      <c r="S27" s="771">
        <f>F27</f>
        <v>100</v>
      </c>
      <c r="T27" s="770" t="s">
        <v>17</v>
      </c>
      <c r="U27" s="771">
        <f>H27</f>
        <v>100</v>
      </c>
      <c r="V27" s="770" t="s">
        <v>17</v>
      </c>
      <c r="W27" s="771">
        <f>J27</f>
        <v>105</v>
      </c>
      <c r="X27" s="772"/>
      <c r="Y27" s="3171"/>
      <c r="Z27" s="55" t="str">
        <f>Q27</f>
        <v>人流量</v>
      </c>
      <c r="AA27" s="1814">
        <f>D27/F27</f>
        <v>1</v>
      </c>
      <c r="AB27" s="1814">
        <f>D27/H27</f>
        <v>1</v>
      </c>
      <c r="AC27" s="1814">
        <f>D27/J27</f>
        <v>0.95238095238095233</v>
      </c>
    </row>
    <row r="28" spans="1:29" ht="15.75" thickBot="1">
      <c r="A28" s="428"/>
      <c r="B28" s="422" t="s">
        <v>2651</v>
      </c>
      <c r="C28" s="616" t="s">
        <v>3258</v>
      </c>
      <c r="D28" s="435">
        <v>100</v>
      </c>
      <c r="E28" s="616" t="s">
        <v>3258</v>
      </c>
      <c r="F28" s="461">
        <f>SUMIF(92:92,E28,93:93)-SUMIF(92:92,C28,93:93)+100</f>
        <v>100</v>
      </c>
      <c r="G28" s="616" t="s">
        <v>3258</v>
      </c>
      <c r="H28" s="435">
        <f>SUMIF(92:92,G28,93:93)-SUMIF(92:92,C28,93:93)+100</f>
        <v>100</v>
      </c>
      <c r="I28" s="616" t="s">
        <v>3258</v>
      </c>
      <c r="J28" s="435">
        <f>SUMIF(92:92,I28,93:93)-SUMIF(92:92,C28,93:93)+100</f>
        <v>100</v>
      </c>
      <c r="K28" s="613"/>
      <c r="L28" s="1143"/>
      <c r="M28" s="1134"/>
      <c r="N28" s="1134"/>
      <c r="O28" s="1134"/>
      <c r="P28" s="323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1"/>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3">
        <f t="shared" si="11"/>
        <v>111</v>
      </c>
      <c r="R29" s="774" t="s">
        <v>17</v>
      </c>
      <c r="S29" s="775">
        <f t="shared" si="12"/>
        <v>100</v>
      </c>
      <c r="T29" s="774" t="s">
        <v>17</v>
      </c>
      <c r="U29" s="775">
        <f t="shared" si="13"/>
        <v>100</v>
      </c>
      <c r="V29" s="774" t="s">
        <v>17</v>
      </c>
      <c r="W29" s="775">
        <f t="shared" si="14"/>
        <v>100</v>
      </c>
      <c r="X29" s="1816"/>
      <c r="Y29" s="3171"/>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1814">
        <f t="shared" si="5"/>
        <v>1</v>
      </c>
    </row>
    <row r="32" spans="1:29" ht="15">
      <c r="A32" s="440" t="s">
        <v>2555</v>
      </c>
      <c r="B32" s="71" t="s">
        <v>2652</v>
      </c>
      <c r="C32" s="2614" t="s">
        <v>3197</v>
      </c>
      <c r="D32" s="467">
        <v>100</v>
      </c>
      <c r="E32" s="2614" t="s">
        <v>3112</v>
      </c>
      <c r="F32" s="461">
        <f>SUMIF(100:100,E32,101:101)-SUMIF(100:100,C32,101:101)+100</f>
        <v>110</v>
      </c>
      <c r="G32" s="2614" t="s">
        <v>3112</v>
      </c>
      <c r="H32" s="435">
        <f>SUMIF(100:100,G32,101:101)-SUMIF(100:100,C32,101:101)+100</f>
        <v>110</v>
      </c>
      <c r="I32" s="2614" t="s">
        <v>3110</v>
      </c>
      <c r="J32" s="467">
        <f>SUMIF(100:100,I32,101:101)-SUMIF(100:100,C32,101:101)+100</f>
        <v>115</v>
      </c>
      <c r="K32" s="612">
        <v>5</v>
      </c>
      <c r="L32" s="1143"/>
      <c r="M32" s="1134"/>
      <c r="N32" s="1134"/>
      <c r="O32" s="1134"/>
      <c r="P32" s="3234" t="s">
        <v>2557</v>
      </c>
      <c r="Q32" s="1813" t="str">
        <f t="shared" si="11"/>
        <v>商业类型</v>
      </c>
      <c r="R32" s="774" t="s">
        <v>17</v>
      </c>
      <c r="S32" s="775">
        <f t="shared" si="12"/>
        <v>110</v>
      </c>
      <c r="T32" s="774" t="s">
        <v>17</v>
      </c>
      <c r="U32" s="775">
        <f t="shared" si="13"/>
        <v>110</v>
      </c>
      <c r="V32" s="774" t="s">
        <v>17</v>
      </c>
      <c r="W32" s="775">
        <f t="shared" si="14"/>
        <v>115</v>
      </c>
      <c r="X32" s="1816"/>
      <c r="Y32" s="3173" t="s">
        <v>2557</v>
      </c>
      <c r="Z32" s="1817" t="str">
        <f t="shared" si="15"/>
        <v>商业类型</v>
      </c>
      <c r="AA32" s="1814">
        <f t="shared" si="3"/>
        <v>0.90909090909090906</v>
      </c>
      <c r="AB32" s="1814">
        <f t="shared" si="4"/>
        <v>0.90909090909090906</v>
      </c>
      <c r="AC32" s="1814">
        <f t="shared" si="5"/>
        <v>0.86956521739130432</v>
      </c>
    </row>
    <row r="33" spans="1:29" s="471" customFormat="1" ht="15">
      <c r="A33" s="468"/>
      <c r="B33" s="422"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5"/>
      <c r="Q33" s="776" t="str">
        <f t="shared" si="11"/>
        <v>项目建筑规模</v>
      </c>
      <c r="R33" s="777" t="s">
        <v>17</v>
      </c>
      <c r="S33" s="778">
        <f t="shared" si="12"/>
        <v>100</v>
      </c>
      <c r="T33" s="777" t="s">
        <v>17</v>
      </c>
      <c r="U33" s="778">
        <f t="shared" si="13"/>
        <v>100</v>
      </c>
      <c r="V33" s="777" t="s">
        <v>17</v>
      </c>
      <c r="W33" s="778">
        <f t="shared" si="14"/>
        <v>100</v>
      </c>
      <c r="X33" s="779"/>
      <c r="Y33" s="3173"/>
      <c r="Z33" s="780" t="str">
        <f t="shared" si="15"/>
        <v>项目建筑规模</v>
      </c>
      <c r="AA33" s="1814">
        <f t="shared" si="3"/>
        <v>1</v>
      </c>
      <c r="AB33" s="1814">
        <f t="shared" si="4"/>
        <v>1</v>
      </c>
      <c r="AC33" s="1814">
        <f t="shared" si="5"/>
        <v>1</v>
      </c>
    </row>
    <row r="34" spans="1:29" ht="15">
      <c r="A34" s="472"/>
      <c r="B34" s="422"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173"/>
      <c r="Z34" s="1817" t="str">
        <f t="shared" si="15"/>
        <v>建筑结构</v>
      </c>
      <c r="AA34" s="1814">
        <f t="shared" si="3"/>
        <v>1</v>
      </c>
      <c r="AB34" s="1814">
        <f t="shared" si="4"/>
        <v>1</v>
      </c>
      <c r="AC34" s="1814">
        <f t="shared" si="5"/>
        <v>1</v>
      </c>
    </row>
    <row r="35" spans="1:29" ht="15">
      <c r="A35" s="472"/>
      <c r="B35" s="422" t="s">
        <v>2653</v>
      </c>
      <c r="C35" s="2610" t="s">
        <v>3090</v>
      </c>
      <c r="D35" s="435">
        <v>100</v>
      </c>
      <c r="E35" s="2610" t="s">
        <v>3090</v>
      </c>
      <c r="F35" s="461">
        <f>SUMIF(107:107,E35,108:108)-SUMIF(107:107,C35,108:108)+100</f>
        <v>100</v>
      </c>
      <c r="G35" s="2610" t="s">
        <v>3090</v>
      </c>
      <c r="H35" s="435">
        <f>SUMIF(107:107,G35,108:108)-SUMIF(107:107,C35,108:108)+100</f>
        <v>100</v>
      </c>
      <c r="I35" s="2610" t="s">
        <v>3090</v>
      </c>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173"/>
      <c r="Z35" s="1817" t="str">
        <f t="shared" si="15"/>
        <v>公共部分装修</v>
      </c>
      <c r="AA35" s="1814">
        <f t="shared" si="3"/>
        <v>1</v>
      </c>
      <c r="AB35" s="1814">
        <f t="shared" si="4"/>
        <v>1</v>
      </c>
      <c r="AC35" s="1814">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35"/>
      <c r="Q36" s="1813" t="str">
        <f t="shared" si="11"/>
        <v>成新度</v>
      </c>
      <c r="R36" s="774" t="s">
        <v>17</v>
      </c>
      <c r="S36" s="775">
        <f t="shared" si="12"/>
        <v>100</v>
      </c>
      <c r="T36" s="774" t="s">
        <v>17</v>
      </c>
      <c r="U36" s="775">
        <f t="shared" si="13"/>
        <v>100</v>
      </c>
      <c r="V36" s="774" t="s">
        <v>17</v>
      </c>
      <c r="W36" s="775">
        <f t="shared" si="14"/>
        <v>100</v>
      </c>
      <c r="X36" s="1816"/>
      <c r="Y36" s="3173"/>
      <c r="Z36" s="1817" t="str">
        <f t="shared" si="15"/>
        <v>成新度</v>
      </c>
      <c r="AA36" s="1814">
        <f t="shared" si="3"/>
        <v>1</v>
      </c>
      <c r="AB36" s="1814">
        <f t="shared" si="4"/>
        <v>1</v>
      </c>
      <c r="AC36" s="1814">
        <f t="shared" si="5"/>
        <v>1</v>
      </c>
    </row>
    <row r="37" spans="1:29" s="117" customFormat="1" ht="15">
      <c r="A37" s="473"/>
      <c r="B37" s="422" t="s">
        <v>2655</v>
      </c>
      <c r="C37" s="2610" t="s">
        <v>3098</v>
      </c>
      <c r="D37" s="136">
        <v>100</v>
      </c>
      <c r="E37" s="2610" t="s">
        <v>3098</v>
      </c>
      <c r="F37" s="461">
        <f>SUMIF(112:112,E37,113:113)-SUMIF(112:112,C37,113:113)+100</f>
        <v>100</v>
      </c>
      <c r="G37" s="2610" t="s">
        <v>3098</v>
      </c>
      <c r="H37" s="435">
        <f>SUMIF(112:112,G37,113:113)-SUMIF(112:112,C37,113:113)+100</f>
        <v>100</v>
      </c>
      <c r="I37" s="2610" t="s">
        <v>3098</v>
      </c>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2656</v>
      </c>
      <c r="C38" s="2610" t="s">
        <v>3255</v>
      </c>
      <c r="D38" s="435">
        <v>100</v>
      </c>
      <c r="E38" s="2610" t="s">
        <v>3256</v>
      </c>
      <c r="F38" s="461">
        <f>SUMIF(114:114,E38,115:115)-SUMIF(114:114,C38,115:115)+100</f>
        <v>105</v>
      </c>
      <c r="G38" s="2610" t="s">
        <v>3255</v>
      </c>
      <c r="H38" s="435">
        <f>SUMIF(114:114,G38,115:115)-SUMIF(114:114,C38,115:115)+100</f>
        <v>100</v>
      </c>
      <c r="I38" s="2610" t="s">
        <v>3256</v>
      </c>
      <c r="J38" s="435">
        <f>SUMIF(114:114,I38,115:115)-SUMIF(114:114,C38,115:115)+100</f>
        <v>105</v>
      </c>
      <c r="K38" s="612">
        <v>5</v>
      </c>
      <c r="L38" s="1143"/>
      <c r="M38" s="1134"/>
      <c r="N38" s="1134"/>
      <c r="O38" s="1134"/>
      <c r="P38" s="3235" t="s">
        <v>2557</v>
      </c>
      <c r="Q38" s="1813" t="str">
        <f t="shared" si="11"/>
        <v>业态</v>
      </c>
      <c r="R38" s="774" t="s">
        <v>17</v>
      </c>
      <c r="S38" s="775">
        <f t="shared" si="12"/>
        <v>105</v>
      </c>
      <c r="T38" s="774" t="s">
        <v>17</v>
      </c>
      <c r="U38" s="775">
        <f t="shared" si="13"/>
        <v>100</v>
      </c>
      <c r="V38" s="774" t="s">
        <v>17</v>
      </c>
      <c r="W38" s="775">
        <f t="shared" si="14"/>
        <v>105</v>
      </c>
      <c r="X38" s="1816"/>
      <c r="Y38" s="3173" t="s">
        <v>2557</v>
      </c>
      <c r="Z38" s="1817" t="str">
        <f t="shared" si="15"/>
        <v>业态</v>
      </c>
      <c r="AA38" s="1814">
        <f t="shared" si="3"/>
        <v>0.95238095238095233</v>
      </c>
      <c r="AB38" s="1814">
        <f t="shared" si="4"/>
        <v>1</v>
      </c>
      <c r="AC38" s="1814">
        <f t="shared" si="5"/>
        <v>0.95238095238095233</v>
      </c>
    </row>
    <row r="39" spans="1:29" ht="15">
      <c r="A39" s="472"/>
      <c r="B39" s="422"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173"/>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173"/>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14">
        <f t="shared" si="3"/>
        <v>1</v>
      </c>
      <c r="AB41" s="1814">
        <f t="shared" si="4"/>
        <v>1</v>
      </c>
      <c r="AC41" s="1814">
        <f t="shared" si="5"/>
        <v>1</v>
      </c>
    </row>
    <row r="42" spans="1:29" ht="15">
      <c r="A42" s="472"/>
      <c r="B42" s="422" t="s">
        <v>2660</v>
      </c>
      <c r="C42" s="2610" t="s">
        <v>3204</v>
      </c>
      <c r="D42" s="435">
        <v>100</v>
      </c>
      <c r="E42" s="2610" t="s">
        <v>3204</v>
      </c>
      <c r="F42" s="461">
        <f>SUMIF(122:122,E42,123:123)-SUMIF(122:122,C42,123:123)+100</f>
        <v>100</v>
      </c>
      <c r="G42" s="2610" t="s">
        <v>3204</v>
      </c>
      <c r="H42" s="435">
        <f>SUMIF(122:122,G42,123:123)-SUMIF(122:122,C42,123:123)+100</f>
        <v>100</v>
      </c>
      <c r="I42" s="2610" t="s">
        <v>3204</v>
      </c>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173"/>
      <c r="Z42" s="1817" t="str">
        <f t="shared" si="15"/>
        <v>内部装修</v>
      </c>
      <c r="AA42" s="1814">
        <f t="shared" si="3"/>
        <v>1</v>
      </c>
      <c r="AB42" s="1814">
        <f t="shared" si="4"/>
        <v>1</v>
      </c>
      <c r="AC42" s="1814">
        <f t="shared" si="5"/>
        <v>1</v>
      </c>
    </row>
    <row r="43" spans="1:29" ht="15.75" thickBot="1">
      <c r="A43" s="472"/>
      <c r="B43" s="422"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173"/>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173"/>
      <c r="Z45" s="1817">
        <f t="shared" si="15"/>
        <v>111</v>
      </c>
      <c r="AA45" s="1814">
        <f t="shared" si="3"/>
        <v>1</v>
      </c>
      <c r="AB45" s="1814">
        <f t="shared" si="4"/>
        <v>1</v>
      </c>
      <c r="AC45" s="181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1814">
        <f t="shared" si="5"/>
        <v>1</v>
      </c>
    </row>
    <row r="47" spans="1:29" ht="15">
      <c r="A47" s="479" t="s">
        <v>2569</v>
      </c>
      <c r="B47" s="480"/>
      <c r="C47" s="1410" t="s">
        <v>1</v>
      </c>
      <c r="D47" s="1411"/>
      <c r="E47" s="1412">
        <f>40000*0.95</f>
        <v>38000</v>
      </c>
      <c r="F47" s="1413"/>
      <c r="G47" s="1414">
        <f>40000*0.95</f>
        <v>38000</v>
      </c>
      <c r="H47" s="1415"/>
      <c r="I47" s="1412">
        <f>50000*0.95</f>
        <v>47500</v>
      </c>
      <c r="J47" s="1415"/>
      <c r="K47" s="783"/>
      <c r="L47" s="1146"/>
      <c r="M47" s="1147"/>
      <c r="N47" s="1134"/>
      <c r="O47" s="1147"/>
      <c r="P47" s="3168" t="str">
        <f>A47</f>
        <v>成交单价（元/平方米）</v>
      </c>
      <c r="Q47" s="3168"/>
      <c r="R47" s="3174">
        <f>E47</f>
        <v>38000</v>
      </c>
      <c r="S47" s="3174"/>
      <c r="T47" s="3174">
        <f>G47</f>
        <v>38000</v>
      </c>
      <c r="U47" s="3174"/>
      <c r="V47" s="3174">
        <f>I47</f>
        <v>47500</v>
      </c>
      <c r="W47" s="3174"/>
      <c r="X47" s="759"/>
      <c r="Y47" s="781"/>
      <c r="Z47" s="759"/>
      <c r="AA47" s="759"/>
      <c r="AB47" s="759"/>
      <c r="AC47" s="759"/>
    </row>
    <row r="48" spans="1:29" ht="15.75" thickBot="1">
      <c r="A48" s="486" t="s">
        <v>2661</v>
      </c>
      <c r="B48" s="487"/>
      <c r="C48" s="1416">
        <f>R49</f>
        <v>32789</v>
      </c>
      <c r="D48" s="1417"/>
      <c r="E48" s="1418">
        <f>R48</f>
        <v>29842</v>
      </c>
      <c r="F48" s="1418"/>
      <c r="G48" s="1416">
        <f>T48</f>
        <v>34545</v>
      </c>
      <c r="H48" s="1417"/>
      <c r="I48" s="1418">
        <f>V48</f>
        <v>33981</v>
      </c>
      <c r="J48" s="1417"/>
      <c r="K48" s="784"/>
      <c r="L48" s="1146"/>
      <c r="M48" s="1147"/>
      <c r="N48" s="1134"/>
      <c r="O48" s="1147"/>
      <c r="P48" s="3168" t="str">
        <f>A48</f>
        <v>比较价值（元/平方米）</v>
      </c>
      <c r="Q48" s="3168"/>
      <c r="R48" s="3233">
        <f>IF(F1="售价",ROUND(PRODUCT(R47,AA7:AA46),0),ROUND(PRODUCT(R47,AA7:AA46),1))</f>
        <v>29842</v>
      </c>
      <c r="S48" s="3233"/>
      <c r="T48" s="3233">
        <f>IF(F1="售价",ROUND(PRODUCT(T47,AB7:AB46),0),ROUND(PRODUCT(T47,AB7:AB46),1))</f>
        <v>34545</v>
      </c>
      <c r="U48" s="3233"/>
      <c r="V48" s="3233">
        <f>IF(F1="售价",ROUND(PRODUCT(V47,AC7:AC46),0),ROUND(PRODUCT(V47,AC7:AC46),1))</f>
        <v>33981</v>
      </c>
      <c r="W48" s="3233"/>
      <c r="X48" s="759"/>
      <c r="Y48" s="759"/>
      <c r="Z48" s="759"/>
      <c r="AA48" s="759"/>
      <c r="AB48" s="759"/>
      <c r="AC48" s="759"/>
    </row>
    <row r="49" spans="1:29" ht="15.75" thickBot="1">
      <c r="A49" s="492" t="s">
        <v>2662</v>
      </c>
      <c r="B49" s="493"/>
      <c r="C49" s="1420">
        <f>R49</f>
        <v>32789</v>
      </c>
      <c r="D49" s="1420"/>
      <c r="E49" s="1420"/>
      <c r="F49" s="1420"/>
      <c r="G49" s="1420"/>
      <c r="H49" s="1420"/>
      <c r="I49" s="1420"/>
      <c r="J49" s="1420"/>
      <c r="K49" s="785"/>
      <c r="L49" s="1146"/>
      <c r="M49" s="1147"/>
      <c r="N49" s="1134"/>
      <c r="O49" s="1147"/>
      <c r="P49" s="3162" t="str">
        <f>A49</f>
        <v>估价对象XX用房的比较价值（楼面单价，元/平方米）</v>
      </c>
      <c r="Q49" s="3163"/>
      <c r="R49" s="3232">
        <f>IF(F1="售价",ROUND(AVERAGE(R48:V48),0),ROUND(AVERAGE(R48:V48),1))</f>
        <v>32789</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f>IF(E47&lt;E48,E48/E47-1,E47/E48-1)</f>
        <v>0.2733730983178071</v>
      </c>
      <c r="F52" s="500" t="str">
        <f>IF(OR(E52&gt;=0.3,E52&lt;=-0.3),"超过30%","")</f>
        <v/>
      </c>
      <c r="G52" s="499">
        <f>IF(G47&lt;G48,G48/G47-1,G47/G48-1)</f>
        <v>0.10001447387465623</v>
      </c>
      <c r="H52" s="500" t="str">
        <f>IF(OR(G52&gt;=0.3,G52&lt;=-0.3),"超过30%","")</f>
        <v/>
      </c>
      <c r="I52" s="499">
        <f>IF(I47&lt;I48,I48/I47-1,I47/I48-1)</f>
        <v>0.39783996939466171</v>
      </c>
      <c r="J52" s="500" t="str">
        <f>IF(OR(I52&gt;=0.3,I52&lt;=-0.3),"超过30%","")</f>
        <v>超过30%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f>IF(E48&lt;G48,G48/E48-1,E48/G48-1)</f>
        <v>0.157596675826017</v>
      </c>
      <c r="F53" s="500" t="str">
        <f>IF(OR(E53&gt;=0.2,E53&lt;=-0.2),"超过20%","")</f>
        <v/>
      </c>
      <c r="G53" s="499">
        <f>IF(G48&lt;I48,I48/G48-1,G48/I48-1)</f>
        <v>1.6597510373443924E-2</v>
      </c>
      <c r="H53" s="500" t="str">
        <f>IF(OR(G53&gt;=0.2,G53&lt;=-0.2),"超过20%","")</f>
        <v/>
      </c>
      <c r="I53" s="499">
        <f>IF(I48&lt;E48,E48/I48-1,I48/E48-1)</f>
        <v>0.13869713826151053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f>IF(E47&lt;G47,G47/E47-1,E47/G47-1)</f>
        <v>0</v>
      </c>
      <c r="F54" s="500" t="str">
        <f>IF(OR(E54&gt;=0.3,E54&lt;=-0.3),"超过30%","")</f>
        <v/>
      </c>
      <c r="G54" s="499">
        <f>IF(G47&lt;I47,I47/G47-1,G47/I47-1)</f>
        <v>0.25</v>
      </c>
      <c r="H54" s="500" t="str">
        <f>IF(OR(G54&gt;=0.3,G54&lt;=-0.3),"超过30%","")</f>
        <v/>
      </c>
      <c r="I54" s="499">
        <f>IF(I47&lt;E47,E47/I47-1,I47/E47-1)</f>
        <v>0.25</v>
      </c>
      <c r="J54" s="500" t="str">
        <f>IF(OR(I54&gt;=0.3,I54&lt;=-0.3),"超过30%","")</f>
        <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2540</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2644</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2672</v>
      </c>
      <c r="C86" s="2949" t="s">
        <v>3259</v>
      </c>
      <c r="D86" s="2949" t="s">
        <v>3260</v>
      </c>
      <c r="E86" s="2949" t="s">
        <v>3261</v>
      </c>
      <c r="F86" s="2949" t="s">
        <v>3262</v>
      </c>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2949" t="s">
        <v>3232</v>
      </c>
      <c r="D88" s="2949" t="s">
        <v>3233</v>
      </c>
      <c r="E88" s="2949" t="s">
        <v>3234</v>
      </c>
      <c r="F88" s="2967" t="s">
        <v>3235</v>
      </c>
      <c r="G88" s="2949" t="s">
        <v>3236</v>
      </c>
      <c r="H88" s="554"/>
      <c r="I88" s="554"/>
      <c r="J88" s="554"/>
      <c r="K88" s="554"/>
      <c r="L88" s="554"/>
      <c r="M88" s="581"/>
      <c r="N88" s="1154"/>
      <c r="O88" s="1154"/>
      <c r="P88" s="2626"/>
      <c r="Q88" s="504"/>
    </row>
    <row r="89" spans="1:17" s="117" customFormat="1" ht="15.75" thickBot="1">
      <c r="A89" s="579"/>
      <c r="B89" s="543"/>
      <c r="C89" s="560">
        <v>100</v>
      </c>
      <c r="D89" s="536">
        <v>95</v>
      </c>
      <c r="E89" s="536">
        <v>90</v>
      </c>
      <c r="F89" s="536"/>
      <c r="G89" s="536"/>
      <c r="H89" s="536"/>
      <c r="I89" s="536"/>
      <c r="J89" s="536"/>
      <c r="K89" s="536"/>
      <c r="L89" s="536"/>
      <c r="M89" s="536"/>
      <c r="N89" s="1156"/>
      <c r="O89" s="1156"/>
      <c r="P89" s="2626"/>
      <c r="Q89" s="504"/>
    </row>
    <row r="90" spans="1:17" s="471" customFormat="1" ht="15.75" thickTop="1">
      <c r="A90" s="553"/>
      <c r="B90" s="538" t="str">
        <f>B27</f>
        <v>人流量</v>
      </c>
      <c r="C90" s="2949" t="s">
        <v>3237</v>
      </c>
      <c r="D90" s="2949" t="s">
        <v>3239</v>
      </c>
      <c r="E90" s="2949" t="s">
        <v>3234</v>
      </c>
      <c r="F90" s="2949" t="s">
        <v>3240</v>
      </c>
      <c r="G90" s="2949" t="s">
        <v>3241</v>
      </c>
      <c r="H90" s="555"/>
      <c r="I90" s="555"/>
      <c r="J90" s="555"/>
      <c r="K90" s="555"/>
      <c r="L90" s="556"/>
      <c r="M90" s="557"/>
      <c r="N90" s="1157"/>
      <c r="O90" s="1157"/>
      <c r="P90" s="2627"/>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7"/>
      <c r="O91" s="1157"/>
      <c r="P91" s="2627"/>
      <c r="Q91" s="559"/>
    </row>
    <row r="92" spans="1:17" ht="15.75" thickTop="1">
      <c r="A92" s="534"/>
      <c r="B92" s="538" t="str">
        <f>B28</f>
        <v>楼层</v>
      </c>
      <c r="C92" s="554" t="s">
        <v>3257</v>
      </c>
      <c r="D92" s="554"/>
      <c r="E92" s="554"/>
      <c r="F92" s="554"/>
      <c r="G92" s="554"/>
      <c r="H92" s="554"/>
      <c r="I92" s="554"/>
      <c r="J92" s="554"/>
      <c r="K92" s="554"/>
      <c r="L92" s="580"/>
      <c r="M92" s="581"/>
      <c r="N92" s="1155"/>
      <c r="O92" s="1155"/>
      <c r="P92" s="2626"/>
      <c r="Q92" s="504"/>
    </row>
    <row r="93" spans="1:17" ht="15.75" thickBot="1">
      <c r="A93" s="534"/>
      <c r="B93" s="543"/>
      <c r="C93" s="536">
        <v>100</v>
      </c>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2555</v>
      </c>
      <c r="B100" s="528" t="s">
        <v>2673</v>
      </c>
      <c r="C100" s="2948" t="s">
        <v>3111</v>
      </c>
      <c r="D100" s="2948" t="s">
        <v>3113</v>
      </c>
      <c r="E100" s="2948" t="s">
        <v>3114</v>
      </c>
      <c r="F100" s="2948" t="s">
        <v>3115</v>
      </c>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26"/>
      <c r="Q101" s="504"/>
    </row>
    <row r="102" spans="1:17" ht="15.75" thickTop="1">
      <c r="A102" s="534"/>
      <c r="B102" s="538" t="s">
        <v>2605</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v>0</v>
      </c>
      <c r="D103" s="595">
        <v>100</v>
      </c>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7"/>
      <c r="N104" s="1156"/>
      <c r="O104" s="1156"/>
      <c r="P104" s="2627"/>
      <c r="Q104" s="559"/>
    </row>
    <row r="105" spans="1:17" ht="15" thickTop="1">
      <c r="A105" s="599"/>
      <c r="B105" s="538" t="s">
        <v>2606</v>
      </c>
      <c r="C105" s="2949" t="s">
        <v>3116</v>
      </c>
      <c r="D105" s="2949" t="s">
        <v>3117</v>
      </c>
      <c r="E105" s="2950" t="s">
        <v>3118</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2608</v>
      </c>
      <c r="C107" s="2949" t="s">
        <v>3119</v>
      </c>
      <c r="D107" s="2949" t="s">
        <v>3120</v>
      </c>
      <c r="E107" s="2949" t="s">
        <v>3121</v>
      </c>
      <c r="F107" s="2950" t="s">
        <v>3122</v>
      </c>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2610</v>
      </c>
      <c r="C112" s="2949" t="s">
        <v>3123</v>
      </c>
      <c r="D112" s="2949" t="s">
        <v>3124</v>
      </c>
      <c r="E112" s="2949" t="s">
        <v>3125</v>
      </c>
      <c r="F112" s="2949" t="s">
        <v>3126</v>
      </c>
      <c r="G112" s="2949" t="s">
        <v>3127</v>
      </c>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2674</v>
      </c>
      <c r="C114" s="2949" t="s">
        <v>3128</v>
      </c>
      <c r="D114" s="2949" t="s">
        <v>3129</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6"/>
      <c r="O115" s="1156"/>
      <c r="P115" s="2626"/>
      <c r="Q115" s="504"/>
    </row>
    <row r="116" spans="1:17" ht="15" thickTop="1">
      <c r="A116" s="599"/>
      <c r="B116" s="538" t="s">
        <v>2675</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2676</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2612</v>
      </c>
      <c r="C122" s="2949" t="s">
        <v>3119</v>
      </c>
      <c r="D122" s="2949" t="s">
        <v>3120</v>
      </c>
      <c r="E122" s="2949" t="s">
        <v>3121</v>
      </c>
      <c r="F122" s="2950" t="s">
        <v>3122</v>
      </c>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泉州华大泰禾广场投资有限公司：</v>
      </c>
    </row>
    <row r="4" spans="1:1" ht="54">
      <c r="A4" s="1951" t="str">
        <f>"受贵公司委托，我公司对"&amp;项目基本情况!S1&amp;"进行了预评估。"</f>
        <v>受贵公司委托，我公司对福建省泉州市丰泽区城东组团华大片区，东至铁路，西至324国道，南邻通源街，北至城东街2012-16号地块一期出让国有建设用地使用权及在建建筑物房地产抵押价值进行了预评估。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泉州市丰泽区城东组团华大片区，东至铁路，西至324国道，南邻通源街，北至城东街2012-16号地块一期出让国有建设用地使用权及在建建筑物房地产，为泉州华大泰禾广场投资有限公司所有。根据《国有土地使用证》[泉国有（2013）第200160号]，估价对象（分摊）出让国有建设用地使用权面积为16752.1平方米。根据《建设工程规划许可证》[建字第350503201630013号]，估价对象建筑面积为94334.89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泉州市丰泽区城东组团华大片区，东至铁路，西至324国道，南邻通源街，北至城东街2012-16号地块一期出让国有建设用地使用权及在建建筑物房地产,属泉州华大泰禾广场投资有限公司开发建设的综合项目（商业、办公），该项目尚在开发建设中。根据《国有土地使用证》[泉国有（2013）第200160号]，估价对象（分摊）出让国有建设用地使用权面积为16752.1平方米。根据《建设工程规划许可证》[建字第350503201630013号]，估价对象规划建筑面积为94334.89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为估价委托人在向大业信托办理贷款手续过程中，确定房地产抵押贷款额度提供参考依据而评估房地产抵押价值。</v>
      </c>
    </row>
    <row r="14" spans="1:1" ht="18.75">
      <c r="A14" s="1956" t="s">
        <v>1618</v>
      </c>
    </row>
    <row r="15" spans="1:1" ht="18">
      <c r="A15" s="1957" t="e">
        <f>TEXT(项目基本情况!B3,"yyyy年m月d日;;")&amp;IF(项目基本情况!B3=项目基本情况!#REF!,"（评估专业人员实地查勘之日）","")</f>
        <v>#REF!</v>
      </c>
    </row>
    <row r="16" spans="1:1" ht="18.75">
      <c r="A16" s="1956" t="s">
        <v>1619</v>
      </c>
    </row>
    <row r="17" spans="1:1" ht="75">
      <c r="A17" s="1951" t="s">
        <v>1620</v>
      </c>
    </row>
    <row r="18" spans="1:1" ht="72">
      <c r="A18" s="1951" t="str">
        <f>IF(项目基本情况!B12="出让","本次估价的“房地产价值”是指在正常市场情况下，在价值时点"&amp;TEXT(项目基本情况!B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B3,"yyyy年m月d日;;")&amp;"，估价对象规划用途为"&amp;项目基本情况!B16&amp;"，土地取得方式为"&amp;项目基本情况!B12&amp;"，假定未设立法定优先受偿款下的房地产市场价值。")</f>
        <v>本次估价的“房地产价值”是指在正常市场情况下，在价值时点2018年9月26日，估价对象规划用途为商业、地下车库，土地取得方式为出让，出让国有建设用地使用权剩余土地使用年限为商业34年、地下车库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34年、地下车库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5" t="s">
        <v>2678</v>
      </c>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4"/>
      <c r="D2" s="1368" t="e">
        <f ca="1">SUMIF(INDIRECT("'"&amp;F2&amp;"'"&amp;"!A:A"),"承租人权益价值",INDIRECT("'"&amp;F2&amp;"'"&amp;"!c:c"))</f>
        <v>#REF!</v>
      </c>
      <c r="E2" s="2585" t="s">
        <v>2323</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94334.89</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248" t="s">
        <v>2643</v>
      </c>
      <c r="Q4" s="3249"/>
      <c r="R4" s="3252" t="s">
        <v>2639</v>
      </c>
      <c r="S4" s="3253"/>
      <c r="T4" s="3252" t="s">
        <v>2640</v>
      </c>
      <c r="U4" s="3253"/>
      <c r="V4" s="3254" t="s">
        <v>2641</v>
      </c>
      <c r="W4" s="3254"/>
      <c r="X4" s="2666"/>
      <c r="Y4" s="3252" t="s">
        <v>2643</v>
      </c>
      <c r="Z4" s="3253"/>
      <c r="AA4" s="3257" t="s">
        <v>2639</v>
      </c>
      <c r="AB4" s="3257" t="s">
        <v>2640</v>
      </c>
      <c r="AC4" s="3245" t="s">
        <v>2641</v>
      </c>
    </row>
    <row r="5" spans="1:29" ht="15">
      <c r="A5" s="404"/>
      <c r="B5" s="405"/>
      <c r="C5" s="3195" t="s">
        <v>2534</v>
      </c>
      <c r="D5" s="3196"/>
      <c r="E5" s="3203" t="s">
        <v>2535</v>
      </c>
      <c r="F5" s="3204"/>
      <c r="G5" s="3195" t="s">
        <v>2536</v>
      </c>
      <c r="H5" s="3196"/>
      <c r="I5" s="3195" t="s">
        <v>2537</v>
      </c>
      <c r="J5" s="3196"/>
      <c r="K5" s="610"/>
      <c r="L5" s="1133"/>
      <c r="M5" s="1134"/>
      <c r="N5" s="1134"/>
      <c r="O5" s="1134"/>
      <c r="P5" s="3250"/>
      <c r="Q5" s="3184"/>
      <c r="R5" s="3189"/>
      <c r="S5" s="3190"/>
      <c r="T5" s="3189"/>
      <c r="U5" s="3190"/>
      <c r="V5" s="3174"/>
      <c r="W5" s="3174"/>
      <c r="X5" s="1816"/>
      <c r="Y5" s="3189"/>
      <c r="Z5" s="3190"/>
      <c r="AA5" s="3176"/>
      <c r="AB5" s="3176"/>
      <c r="AC5" s="3246"/>
    </row>
    <row r="6" spans="1:29" ht="15.75" thickBot="1">
      <c r="A6" s="406"/>
      <c r="B6" s="407"/>
      <c r="C6" s="3240" t="s">
        <v>2538</v>
      </c>
      <c r="D6" s="3194"/>
      <c r="E6" s="3256" t="s">
        <v>2538</v>
      </c>
      <c r="F6" s="3202"/>
      <c r="G6" s="3240" t="s">
        <v>2538</v>
      </c>
      <c r="H6" s="3194"/>
      <c r="I6" s="3240" t="s">
        <v>2538</v>
      </c>
      <c r="J6" s="3194"/>
      <c r="K6" s="610" t="s">
        <v>2539</v>
      </c>
      <c r="L6" s="1133"/>
      <c r="M6" s="1134"/>
      <c r="N6" s="1134"/>
      <c r="O6" s="1134"/>
      <c r="P6" s="3251"/>
      <c r="Q6" s="3186"/>
      <c r="R6" s="3189"/>
      <c r="S6" s="3190"/>
      <c r="T6" s="3191"/>
      <c r="U6" s="3192"/>
      <c r="V6" s="3174"/>
      <c r="W6" s="3174"/>
      <c r="X6" s="1816"/>
      <c r="Y6" s="3191"/>
      <c r="Z6" s="3192"/>
      <c r="AA6" s="3177"/>
      <c r="AB6" s="3177"/>
      <c r="AC6" s="3247"/>
    </row>
    <row r="7" spans="1:29" s="117" customFormat="1" ht="15.75" thickBot="1">
      <c r="A7" s="408" t="s">
        <v>2540</v>
      </c>
      <c r="B7" s="409"/>
      <c r="C7" s="410">
        <f>'数据-取费表'!B2</f>
        <v>43369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2541</v>
      </c>
      <c r="Q7" s="3199"/>
      <c r="R7" s="770" t="s">
        <v>17</v>
      </c>
      <c r="S7" s="771">
        <f t="shared" ref="S7:S15" si="0">F7</f>
        <v>0</v>
      </c>
      <c r="T7" s="770" t="s">
        <v>17</v>
      </c>
      <c r="U7" s="771">
        <f t="shared" ref="U7:U15" si="1">H7</f>
        <v>0</v>
      </c>
      <c r="V7" s="770" t="s">
        <v>17</v>
      </c>
      <c r="W7" s="771">
        <f t="shared" ref="W7:W15" si="2">J7</f>
        <v>0</v>
      </c>
      <c r="X7" s="772"/>
      <c r="Y7" s="3197" t="s">
        <v>2541</v>
      </c>
      <c r="Z7" s="3198"/>
      <c r="AA7" s="773" t="e">
        <f>D7/F7</f>
        <v>#DIV/0!</v>
      </c>
      <c r="AB7" s="773" t="e">
        <f>D7/H7</f>
        <v>#DIV/0!</v>
      </c>
      <c r="AC7" s="266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2544</v>
      </c>
      <c r="Q8" s="3198"/>
      <c r="R8" s="770" t="s">
        <v>17</v>
      </c>
      <c r="S8" s="771">
        <f t="shared" si="0"/>
        <v>0</v>
      </c>
      <c r="T8" s="770" t="s">
        <v>17</v>
      </c>
      <c r="U8" s="771">
        <f t="shared" si="1"/>
        <v>0</v>
      </c>
      <c r="V8" s="770" t="s">
        <v>17</v>
      </c>
      <c r="W8" s="771">
        <f t="shared" si="2"/>
        <v>0</v>
      </c>
      <c r="X8" s="772"/>
      <c r="Y8" s="3197" t="s">
        <v>2544</v>
      </c>
      <c r="Z8" s="3198"/>
      <c r="AA8" s="773" t="e">
        <f t="shared" ref="AA8:AA47" si="3">D8/F8</f>
        <v>#DIV/0!</v>
      </c>
      <c r="AB8" s="773" t="e">
        <f t="shared" ref="AB8:AB47" si="4">D8/H8</f>
        <v>#DIV/0!</v>
      </c>
      <c r="AC8" s="266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266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7" t="e">
        <f t="shared" si="5"/>
        <v>#N/A</v>
      </c>
    </row>
    <row r="12" spans="1:29" s="117" customFormat="1" ht="15">
      <c r="A12" s="431"/>
      <c r="B12" s="2597">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7">
        <f>D12/J12</f>
        <v>1</v>
      </c>
    </row>
    <row r="13" spans="1:29" ht="15">
      <c r="A13" s="428"/>
      <c r="B13" s="2597">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7">
        <f t="shared" si="5"/>
        <v>1</v>
      </c>
    </row>
    <row r="14" spans="1:29" ht="15.75" thickBot="1">
      <c r="A14" s="436"/>
      <c r="B14" s="2599">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7">
        <f t="shared" si="5"/>
        <v>1</v>
      </c>
    </row>
    <row r="15" spans="1:29" ht="99.75">
      <c r="A15" s="440" t="s">
        <v>2551</v>
      </c>
      <c r="B15" s="629" t="s">
        <v>2679</v>
      </c>
      <c r="C15" s="2669" t="str">
        <f>估价对象房地状况!C5</f>
        <v>估价对象位于丰泽区城东组团华大片区，周边办公楼项目较多，入驻率较高，有兴业大厦、博亚大厦等，办公集聚程度较好。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2552</v>
      </c>
      <c r="Q15" s="1813" t="str">
        <f t="shared" si="6"/>
        <v>办公集聚程度</v>
      </c>
      <c r="R15" s="774" t="s">
        <v>17</v>
      </c>
      <c r="S15" s="775">
        <f t="shared" si="0"/>
        <v>100</v>
      </c>
      <c r="T15" s="774" t="s">
        <v>17</v>
      </c>
      <c r="U15" s="775">
        <f t="shared" si="1"/>
        <v>100</v>
      </c>
      <c r="V15" s="774" t="s">
        <v>17</v>
      </c>
      <c r="W15" s="775">
        <f t="shared" si="2"/>
        <v>100</v>
      </c>
      <c r="X15" s="1816"/>
      <c r="Y15" s="3170" t="s">
        <v>2552</v>
      </c>
      <c r="Z15" s="1817" t="str">
        <f t="shared" si="7"/>
        <v>办公集聚程度</v>
      </c>
      <c r="AA15" s="1814">
        <f t="shared" si="3"/>
        <v>1</v>
      </c>
      <c r="AB15" s="1814">
        <f t="shared" si="4"/>
        <v>1</v>
      </c>
      <c r="AC15" s="2670">
        <f t="shared" si="5"/>
        <v>1</v>
      </c>
    </row>
    <row r="16" spans="1:29" ht="15">
      <c r="A16" s="428"/>
      <c r="B16" s="630"/>
      <c r="C16" s="2608"/>
      <c r="D16" s="448"/>
      <c r="E16" s="447"/>
      <c r="F16" s="448"/>
      <c r="G16" s="2608"/>
      <c r="H16" s="450"/>
      <c r="I16" s="447"/>
      <c r="J16" s="448"/>
      <c r="K16" s="615"/>
      <c r="L16" s="1143"/>
      <c r="M16" s="1134"/>
      <c r="N16" s="1134"/>
      <c r="O16" s="1134"/>
      <c r="P16" s="3239"/>
      <c r="Q16" s="1813"/>
      <c r="R16" s="774"/>
      <c r="S16" s="775"/>
      <c r="T16" s="774"/>
      <c r="U16" s="775"/>
      <c r="V16" s="774"/>
      <c r="W16" s="775"/>
      <c r="X16" s="1816"/>
      <c r="Y16" s="3171"/>
      <c r="Z16" s="1817"/>
      <c r="AA16" s="1814">
        <v>1</v>
      </c>
      <c r="AB16" s="1814">
        <v>1</v>
      </c>
      <c r="AC16" s="2670">
        <v>1</v>
      </c>
    </row>
    <row r="17" spans="1:29" ht="114">
      <c r="A17" s="428"/>
      <c r="B17" s="631" t="s">
        <v>2091</v>
      </c>
      <c r="C17" s="2671" t="str">
        <f>估价对象房地状况!C6</f>
        <v>估价对象周边路网密集程度一般、公共交通通达情况一般，有7路、11路、35路等公共交通，停车便捷程度一般，综合评价交通便捷度一般。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2670">
        <f t="shared" si="5"/>
        <v>1</v>
      </c>
    </row>
    <row r="18" spans="1:29" ht="15">
      <c r="A18" s="428"/>
      <c r="B18" s="632"/>
      <c r="C18" s="2672"/>
      <c r="D18" s="450"/>
      <c r="E18" s="2606"/>
      <c r="F18" s="450"/>
      <c r="G18" s="2607"/>
      <c r="H18" s="448"/>
      <c r="I18" s="2607"/>
      <c r="J18" s="448"/>
      <c r="K18" s="615"/>
      <c r="L18" s="1143"/>
      <c r="M18" s="1134"/>
      <c r="N18" s="1134"/>
      <c r="O18" s="1134"/>
      <c r="P18" s="3239"/>
      <c r="Q18" s="1813"/>
      <c r="R18" s="774"/>
      <c r="S18" s="775"/>
      <c r="T18" s="774"/>
      <c r="U18" s="775"/>
      <c r="V18" s="774"/>
      <c r="W18" s="775"/>
      <c r="X18" s="1816"/>
      <c r="Y18" s="3171"/>
      <c r="Z18" s="1817"/>
      <c r="AA18" s="1814">
        <v>1</v>
      </c>
      <c r="AB18" s="1814">
        <v>1</v>
      </c>
      <c r="AC18" s="2670">
        <v>1</v>
      </c>
    </row>
    <row r="19" spans="1:29" ht="171">
      <c r="A19" s="428"/>
      <c r="B19" s="631" t="s">
        <v>2680</v>
      </c>
      <c r="C19" s="2671"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2670">
        <f t="shared" si="5"/>
        <v>1</v>
      </c>
    </row>
    <row r="20" spans="1:29" ht="15">
      <c r="A20" s="428"/>
      <c r="B20" s="632"/>
      <c r="C20" s="2608"/>
      <c r="D20" s="448"/>
      <c r="E20" s="2601"/>
      <c r="F20" s="448"/>
      <c r="G20" s="2602"/>
      <c r="H20" s="448"/>
      <c r="I20" s="2602"/>
      <c r="J20" s="448"/>
      <c r="K20" s="615"/>
      <c r="L20" s="1143"/>
      <c r="M20" s="1134"/>
      <c r="N20" s="1134"/>
      <c r="O20" s="1134"/>
      <c r="P20" s="3239"/>
      <c r="Q20" s="1813"/>
      <c r="R20" s="774"/>
      <c r="S20" s="775"/>
      <c r="T20" s="774"/>
      <c r="U20" s="775"/>
      <c r="V20" s="774"/>
      <c r="W20" s="775"/>
      <c r="X20" s="1816"/>
      <c r="Y20" s="3171"/>
      <c r="Z20" s="1817"/>
      <c r="AA20" s="1814">
        <v>1</v>
      </c>
      <c r="AB20" s="1814">
        <v>1</v>
      </c>
      <c r="AC20" s="2670">
        <v>1</v>
      </c>
    </row>
    <row r="21" spans="1:29" ht="42.75">
      <c r="A21" s="428"/>
      <c r="B21" s="633" t="s">
        <v>2681</v>
      </c>
      <c r="C21" s="2671" t="str">
        <f>估价对象房地状况!C8</f>
        <v>估价对象所在区域基础设施水平达到“五通”。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2670">
        <f t="shared" ref="AC21" si="10">D21/J21</f>
        <v>1</v>
      </c>
    </row>
    <row r="22" spans="1:29" ht="15">
      <c r="A22" s="428"/>
      <c r="B22" s="633"/>
      <c r="C22" s="2672"/>
      <c r="D22" s="448"/>
      <c r="E22" s="447"/>
      <c r="F22" s="448"/>
      <c r="G22" s="2608"/>
      <c r="H22" s="448"/>
      <c r="I22" s="2608"/>
      <c r="J22" s="448"/>
      <c r="K22" s="1386"/>
      <c r="L22" s="1143"/>
      <c r="M22" s="1134"/>
      <c r="N22" s="1134"/>
      <c r="O22" s="1134"/>
      <c r="P22" s="3239"/>
      <c r="Q22" s="1813"/>
      <c r="R22" s="774"/>
      <c r="S22" s="775"/>
      <c r="T22" s="774"/>
      <c r="U22" s="775"/>
      <c r="V22" s="774"/>
      <c r="W22" s="775"/>
      <c r="X22" s="1816"/>
      <c r="Y22" s="3171"/>
      <c r="Z22" s="1817"/>
      <c r="AA22" s="1814">
        <v>1</v>
      </c>
      <c r="AB22" s="1814">
        <v>1</v>
      </c>
      <c r="AC22" s="2670">
        <v>1</v>
      </c>
    </row>
    <row r="23" spans="1:29" ht="99.75">
      <c r="A23" s="428"/>
      <c r="B23" s="631" t="s">
        <v>2682</v>
      </c>
      <c r="C23" s="2671" t="str">
        <f>估价对象房地状况!C9</f>
        <v>区域自然环境：绿化条件较好，2公里内无公园；人文环境：有华侨大学等人文景观；综合评价环境状况一般。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2670">
        <f t="shared" si="5"/>
        <v>1</v>
      </c>
    </row>
    <row r="24" spans="1:29" ht="15">
      <c r="A24" s="428"/>
      <c r="B24" s="633"/>
      <c r="C24" s="2608"/>
      <c r="D24" s="448"/>
      <c r="E24" s="2601"/>
      <c r="F24" s="448"/>
      <c r="G24" s="2602"/>
      <c r="H24" s="448"/>
      <c r="I24" s="2602"/>
      <c r="J24" s="448"/>
      <c r="K24" s="615"/>
      <c r="L24" s="1143"/>
      <c r="M24" s="1134"/>
      <c r="N24" s="1134"/>
      <c r="O24" s="1134"/>
      <c r="P24" s="3239"/>
      <c r="Q24" s="1813"/>
      <c r="R24" s="774"/>
      <c r="S24" s="775"/>
      <c r="T24" s="774"/>
      <c r="U24" s="775"/>
      <c r="V24" s="774"/>
      <c r="W24" s="775"/>
      <c r="X24" s="1816"/>
      <c r="Y24" s="3171"/>
      <c r="Z24" s="1817"/>
      <c r="AA24" s="1814">
        <v>1</v>
      </c>
      <c r="AB24" s="1814">
        <v>1</v>
      </c>
      <c r="AC24" s="2670">
        <v>1</v>
      </c>
    </row>
    <row r="25" spans="1:29" ht="27">
      <c r="A25" s="404"/>
      <c r="B25" s="631" t="s">
        <v>2683</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39"/>
      <c r="Q25" s="1813" t="str">
        <f>B25</f>
        <v>毗邻道路的类型与等级</v>
      </c>
      <c r="R25" s="774" t="s">
        <v>17</v>
      </c>
      <c r="S25" s="775">
        <f>F25</f>
        <v>100</v>
      </c>
      <c r="T25" s="774" t="s">
        <v>17</v>
      </c>
      <c r="U25" s="775">
        <f>H25</f>
        <v>100</v>
      </c>
      <c r="V25" s="774" t="s">
        <v>17</v>
      </c>
      <c r="W25" s="775">
        <f>J25</f>
        <v>100</v>
      </c>
      <c r="X25" s="1816"/>
      <c r="Y25" s="3171"/>
      <c r="Z25" s="1817" t="str">
        <f>Q25</f>
        <v>毗邻道路的类型与等级</v>
      </c>
      <c r="AA25" s="1814">
        <f t="shared" si="3"/>
        <v>1</v>
      </c>
      <c r="AB25" s="1814">
        <f t="shared" si="4"/>
        <v>1</v>
      </c>
      <c r="AC25" s="2670">
        <f t="shared" si="5"/>
        <v>1</v>
      </c>
    </row>
    <row r="26" spans="1:29" ht="15">
      <c r="A26" s="404"/>
      <c r="B26" s="632"/>
      <c r="C26" s="634"/>
      <c r="D26" s="435"/>
      <c r="E26" s="616"/>
      <c r="F26" s="435"/>
      <c r="G26" s="634"/>
      <c r="H26" s="435"/>
      <c r="I26" s="616"/>
      <c r="J26" s="435"/>
      <c r="K26" s="615"/>
      <c r="L26" s="1143"/>
      <c r="M26" s="1134"/>
      <c r="N26" s="1134"/>
      <c r="O26" s="1134"/>
      <c r="P26" s="3239"/>
      <c r="Q26" s="1813"/>
      <c r="R26" s="774"/>
      <c r="S26" s="775"/>
      <c r="T26" s="774"/>
      <c r="U26" s="775"/>
      <c r="V26" s="774"/>
      <c r="W26" s="775"/>
      <c r="X26" s="1816"/>
      <c r="Y26" s="3171"/>
      <c r="Z26" s="1817"/>
      <c r="AA26" s="1814">
        <v>1</v>
      </c>
      <c r="AB26" s="1814">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3" t="str">
        <f t="shared" ref="Q27:Q47" si="11">B27</f>
        <v>楼层</v>
      </c>
      <c r="R27" s="774" t="s">
        <v>17</v>
      </c>
      <c r="S27" s="775">
        <f>F27</f>
        <v>100</v>
      </c>
      <c r="T27" s="774" t="s">
        <v>17</v>
      </c>
      <c r="U27" s="775">
        <f>H27</f>
        <v>100</v>
      </c>
      <c r="V27" s="774" t="s">
        <v>17</v>
      </c>
      <c r="W27" s="775">
        <f>J27</f>
        <v>100</v>
      </c>
      <c r="X27" s="1816"/>
      <c r="Y27" s="3171"/>
      <c r="Z27" s="1817" t="str">
        <f>Q27</f>
        <v>楼层</v>
      </c>
      <c r="AA27" s="1814">
        <f t="shared" si="3"/>
        <v>1</v>
      </c>
      <c r="AB27" s="1814">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9"/>
      <c r="Q28" s="1798" t="str">
        <f t="shared" si="11"/>
        <v>朝向</v>
      </c>
      <c r="R28" s="770" t="s">
        <v>17</v>
      </c>
      <c r="S28" s="771">
        <f>F28</f>
        <v>100</v>
      </c>
      <c r="T28" s="770" t="s">
        <v>17</v>
      </c>
      <c r="U28" s="771">
        <f>H28</f>
        <v>100</v>
      </c>
      <c r="V28" s="770" t="s">
        <v>17</v>
      </c>
      <c r="W28" s="771">
        <f>J28</f>
        <v>100</v>
      </c>
      <c r="X28" s="772"/>
      <c r="Y28" s="3171"/>
      <c r="Z28" s="55" t="str">
        <f>Q28</f>
        <v>朝向</v>
      </c>
      <c r="AA28" s="1814">
        <f>D28/F28</f>
        <v>1</v>
      </c>
      <c r="AB28" s="1814">
        <f>D28/H28</f>
        <v>1</v>
      </c>
      <c r="AC28" s="2670">
        <f>D28/J28</f>
        <v>1</v>
      </c>
    </row>
    <row r="29" spans="1:29" ht="15">
      <c r="A29" s="428"/>
      <c r="B29" s="2674">
        <v>111</v>
      </c>
      <c r="C29" s="2612"/>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9"/>
      <c r="Q29" s="1813">
        <f t="shared" si="11"/>
        <v>111</v>
      </c>
      <c r="R29" s="774" t="s">
        <v>17</v>
      </c>
      <c r="S29" s="775">
        <f t="shared" ref="S29:S47" si="12">F29</f>
        <v>100</v>
      </c>
      <c r="T29" s="774" t="s">
        <v>17</v>
      </c>
      <c r="U29" s="775">
        <f t="shared" ref="U29:U47" si="13">H29</f>
        <v>100</v>
      </c>
      <c r="V29" s="774" t="s">
        <v>17</v>
      </c>
      <c r="W29" s="775">
        <f t="shared" ref="W29:W47" si="14">J29</f>
        <v>100</v>
      </c>
      <c r="X29" s="1816"/>
      <c r="Y29" s="3171"/>
      <c r="Z29" s="1817">
        <f t="shared" ref="Z29:Z47" si="15">Q29</f>
        <v>111</v>
      </c>
      <c r="AA29" s="1814">
        <f t="shared" si="3"/>
        <v>1</v>
      </c>
      <c r="AB29" s="1814">
        <f t="shared" si="4"/>
        <v>1</v>
      </c>
      <c r="AC29" s="2670">
        <f t="shared" si="5"/>
        <v>1</v>
      </c>
    </row>
    <row r="30" spans="1:29" ht="15">
      <c r="A30" s="428"/>
      <c r="B30" s="2674">
        <v>111</v>
      </c>
      <c r="C30" s="2612"/>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71"/>
      <c r="Z30" s="1817">
        <f t="shared" si="15"/>
        <v>111</v>
      </c>
      <c r="AA30" s="1814">
        <f t="shared" si="3"/>
        <v>1</v>
      </c>
      <c r="AB30" s="1814">
        <f t="shared" si="4"/>
        <v>1</v>
      </c>
      <c r="AC30" s="2670">
        <f t="shared" si="5"/>
        <v>1</v>
      </c>
    </row>
    <row r="31" spans="1:29" ht="15">
      <c r="A31" s="428"/>
      <c r="B31" s="2674">
        <v>111</v>
      </c>
      <c r="C31" s="2612"/>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71"/>
      <c r="Z31" s="1817">
        <f t="shared" si="15"/>
        <v>111</v>
      </c>
      <c r="AA31" s="1814">
        <f t="shared" si="3"/>
        <v>1</v>
      </c>
      <c r="AB31" s="1814">
        <f t="shared" si="4"/>
        <v>1</v>
      </c>
      <c r="AC31" s="2670">
        <f t="shared" si="5"/>
        <v>1</v>
      </c>
    </row>
    <row r="32" spans="1:29" ht="15.75" thickBot="1">
      <c r="A32" s="436"/>
      <c r="B32" s="635">
        <v>111</v>
      </c>
      <c r="C32" s="2613"/>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9"/>
      <c r="Q32" s="1813">
        <f t="shared" si="11"/>
        <v>111</v>
      </c>
      <c r="R32" s="774" t="s">
        <v>17</v>
      </c>
      <c r="S32" s="775">
        <f t="shared" si="12"/>
        <v>100</v>
      </c>
      <c r="T32" s="774" t="s">
        <v>17</v>
      </c>
      <c r="U32" s="775">
        <f t="shared" si="13"/>
        <v>100</v>
      </c>
      <c r="V32" s="774" t="s">
        <v>17</v>
      </c>
      <c r="W32" s="775">
        <f t="shared" si="14"/>
        <v>100</v>
      </c>
      <c r="X32" s="1816"/>
      <c r="Y32" s="3171"/>
      <c r="Z32" s="1817">
        <f t="shared" si="15"/>
        <v>111</v>
      </c>
      <c r="AA32" s="1814">
        <f t="shared" si="3"/>
        <v>1</v>
      </c>
      <c r="AB32" s="1814">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4" t="s">
        <v>2557</v>
      </c>
      <c r="Q33" s="1813" t="str">
        <f t="shared" si="11"/>
        <v>建筑类型</v>
      </c>
      <c r="R33" s="774" t="s">
        <v>17</v>
      </c>
      <c r="S33" s="775">
        <f t="shared" si="12"/>
        <v>100</v>
      </c>
      <c r="T33" s="774" t="s">
        <v>17</v>
      </c>
      <c r="U33" s="775">
        <f t="shared" si="13"/>
        <v>100</v>
      </c>
      <c r="V33" s="774" t="s">
        <v>17</v>
      </c>
      <c r="W33" s="775">
        <f t="shared" si="14"/>
        <v>100</v>
      </c>
      <c r="X33" s="1816"/>
      <c r="Y33" s="3173" t="s">
        <v>2557</v>
      </c>
      <c r="Z33" s="1817" t="str">
        <f t="shared" si="15"/>
        <v>建筑类型</v>
      </c>
      <c r="AA33" s="1814">
        <f t="shared" si="3"/>
        <v>1</v>
      </c>
      <c r="AB33" s="1814">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14" t="e">
        <f t="shared" si="3"/>
        <v>#N/A</v>
      </c>
      <c r="AB34" s="1814"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173"/>
      <c r="Z35" s="1817" t="str">
        <f t="shared" si="15"/>
        <v>建筑结构</v>
      </c>
      <c r="AA35" s="1814">
        <f t="shared" si="3"/>
        <v>1</v>
      </c>
      <c r="AB35" s="1814">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173"/>
      <c r="Z36" s="1817" t="str">
        <f t="shared" si="15"/>
        <v>公共部分装修</v>
      </c>
      <c r="AA36" s="1814">
        <f t="shared" si="3"/>
        <v>1</v>
      </c>
      <c r="AB36" s="1814">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3" t="str">
        <f t="shared" si="11"/>
        <v>成新度</v>
      </c>
      <c r="R37" s="774" t="s">
        <v>17</v>
      </c>
      <c r="S37" s="775" t="e">
        <f t="shared" si="12"/>
        <v>#N/A</v>
      </c>
      <c r="T37" s="774" t="s">
        <v>17</v>
      </c>
      <c r="U37" s="775" t="e">
        <f t="shared" si="13"/>
        <v>#N/A</v>
      </c>
      <c r="V37" s="774" t="s">
        <v>17</v>
      </c>
      <c r="W37" s="775" t="e">
        <f t="shared" si="14"/>
        <v>#N/A</v>
      </c>
      <c r="X37" s="1816"/>
      <c r="Y37" s="3173"/>
      <c r="Z37" s="1817" t="str">
        <f t="shared" si="15"/>
        <v>成新度</v>
      </c>
      <c r="AA37" s="1814" t="e">
        <f t="shared" si="3"/>
        <v>#N/A</v>
      </c>
      <c r="AB37" s="1814"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2557</v>
      </c>
      <c r="Q39" s="1813" t="str">
        <f t="shared" si="11"/>
        <v>物业管理</v>
      </c>
      <c r="R39" s="774" t="s">
        <v>17</v>
      </c>
      <c r="S39" s="775">
        <f t="shared" si="12"/>
        <v>100</v>
      </c>
      <c r="T39" s="774" t="s">
        <v>17</v>
      </c>
      <c r="U39" s="775">
        <f t="shared" si="13"/>
        <v>100</v>
      </c>
      <c r="V39" s="774" t="s">
        <v>17</v>
      </c>
      <c r="W39" s="775">
        <f t="shared" si="14"/>
        <v>100</v>
      </c>
      <c r="X39" s="1816"/>
      <c r="Y39" s="3173" t="s">
        <v>2557</v>
      </c>
      <c r="Z39" s="1817" t="str">
        <f t="shared" si="15"/>
        <v>物业管理</v>
      </c>
      <c r="AA39" s="1814">
        <f t="shared" si="3"/>
        <v>1</v>
      </c>
      <c r="AB39" s="1814">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173"/>
      <c r="Z40" s="1817" t="str">
        <f t="shared" si="15"/>
        <v>市政基础设施</v>
      </c>
      <c r="AA40" s="1814">
        <f t="shared" si="3"/>
        <v>1</v>
      </c>
      <c r="AB40" s="1814">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173"/>
      <c r="Z41" s="1817" t="str">
        <f t="shared" si="15"/>
        <v>层高</v>
      </c>
      <c r="AA41" s="1814">
        <f t="shared" si="3"/>
        <v>1</v>
      </c>
      <c r="AB41" s="1814">
        <f t="shared" si="4"/>
        <v>1</v>
      </c>
      <c r="AC41" s="2670">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14">
        <f t="shared" si="3"/>
        <v>1</v>
      </c>
      <c r="AB42" s="1814">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173"/>
      <c r="Z43" s="1817" t="str">
        <f t="shared" si="15"/>
        <v>内部装修</v>
      </c>
      <c r="AA43" s="1814">
        <f t="shared" si="3"/>
        <v>1</v>
      </c>
      <c r="AB43" s="1814">
        <f t="shared" si="4"/>
        <v>1</v>
      </c>
      <c r="AC43" s="2670">
        <f t="shared" si="5"/>
        <v>1</v>
      </c>
    </row>
    <row r="44" spans="1:29" ht="15">
      <c r="A44" s="472"/>
      <c r="B44" s="422" t="s">
        <v>2568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173"/>
      <c r="Z44" s="1817" t="str">
        <f t="shared" si="15"/>
        <v>内部装修维护情况</v>
      </c>
      <c r="AA44" s="1814">
        <f t="shared" si="3"/>
        <v>1</v>
      </c>
      <c r="AB44" s="1814">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2670">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7"/>
      <c r="Z47" s="1817">
        <f t="shared" si="15"/>
        <v>111</v>
      </c>
      <c r="AA47" s="1814">
        <f t="shared" si="3"/>
        <v>1</v>
      </c>
      <c r="AB47" s="1814">
        <f t="shared" si="4"/>
        <v>1</v>
      </c>
      <c r="AC47" s="2670">
        <f t="shared" si="5"/>
        <v>1</v>
      </c>
    </row>
    <row r="48" spans="1:29" ht="15">
      <c r="A48" s="479" t="s">
        <v>2569</v>
      </c>
      <c r="B48" s="480"/>
      <c r="C48" s="1410" t="s">
        <v>1</v>
      </c>
      <c r="D48" s="1411"/>
      <c r="E48" s="1412"/>
      <c r="F48" s="1413"/>
      <c r="G48" s="1414"/>
      <c r="H48" s="1415"/>
      <c r="I48" s="1412"/>
      <c r="J48" s="485"/>
      <c r="K48" s="783"/>
      <c r="L48" s="1146"/>
      <c r="M48" s="1134"/>
      <c r="N48" s="1134"/>
      <c r="O48" s="1134"/>
      <c r="P48" s="3167" t="str">
        <f>A48</f>
        <v>成交单价（元/平方米）</v>
      </c>
      <c r="Q48" s="3168"/>
      <c r="R48" s="3233">
        <f>E48</f>
        <v>0</v>
      </c>
      <c r="S48" s="3233"/>
      <c r="T48" s="3233">
        <f>G48</f>
        <v>0</v>
      </c>
      <c r="U48" s="3233"/>
      <c r="V48" s="3233">
        <f>I48</f>
        <v>0</v>
      </c>
      <c r="W48" s="3233"/>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6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42" t="str">
        <f>A50</f>
        <v>估价对象XX用房的比较价值（楼面单价，元/平方米）</v>
      </c>
      <c r="Q50" s="3243"/>
      <c r="R50" s="3244" t="e">
        <f>IF(F1="售价",ROUND(AVERAGE(R49:V49),0),ROUND(AVERAGE(R49:V49),1))</f>
        <v>#DIV/0!</v>
      </c>
      <c r="S50" s="3244"/>
      <c r="T50" s="3244"/>
      <c r="U50" s="3244"/>
      <c r="V50" s="3244"/>
      <c r="W50" s="3244"/>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7"/>
      <c r="Q58" s="504"/>
    </row>
    <row r="59" spans="1:29" s="508" customFormat="1" ht="15">
      <c r="A59" s="505" t="s">
        <v>2540</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78"/>
    </row>
    <row r="61" spans="1:29" s="117" customFormat="1" ht="15.75" thickBot="1">
      <c r="A61" s="515" t="s">
        <v>2577</v>
      </c>
      <c r="B61" s="516"/>
      <c r="C61" s="517"/>
      <c r="D61" s="518"/>
      <c r="E61" s="518"/>
      <c r="F61" s="518"/>
      <c r="G61" s="518"/>
      <c r="H61" s="518"/>
      <c r="I61" s="518"/>
      <c r="J61" s="518"/>
      <c r="K61" s="518"/>
      <c r="L61" s="518"/>
      <c r="M61" s="519"/>
      <c r="N61" s="518"/>
      <c r="O61" s="519"/>
      <c r="P61" s="2678"/>
      <c r="Q61" s="504"/>
    </row>
    <row r="62" spans="1:29" s="117" customFormat="1" ht="15">
      <c r="A62" s="521" t="s">
        <v>2542</v>
      </c>
      <c r="B62" s="510"/>
      <c r="C62" s="522" t="s">
        <v>2644</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2580</v>
      </c>
      <c r="B64" s="528" t="s">
        <v>2546</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2691</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2555</v>
      </c>
      <c r="B101" s="528" t="s">
        <v>2604</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2606</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2608</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2609</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2610</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2693</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2612</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5" t="s">
        <v>2694</v>
      </c>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4"/>
      <c r="D2" s="1127" t="e">
        <f ca="1">SUMIF(INDIRECT("'"&amp;F2&amp;"'"&amp;"!A:A"),"承租人权益价值",INDIRECT("'"&amp;F2&amp;"'"&amp;"!c:c"))</f>
        <v>#REF!</v>
      </c>
      <c r="E2" s="2585" t="s">
        <v>2323</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94334.89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6" t="s">
        <v>2640</v>
      </c>
      <c r="AC4" s="3175" t="s">
        <v>2641</v>
      </c>
    </row>
    <row r="5" spans="1:29" ht="15">
      <c r="A5" s="404"/>
      <c r="B5" s="405"/>
      <c r="C5" s="3195" t="s">
        <v>2534</v>
      </c>
      <c r="D5" s="3196"/>
      <c r="E5" s="3203" t="s">
        <v>2535</v>
      </c>
      <c r="F5" s="3204"/>
      <c r="G5" s="3195" t="s">
        <v>2536</v>
      </c>
      <c r="H5" s="3196"/>
      <c r="I5" s="3195" t="s">
        <v>2537</v>
      </c>
      <c r="J5" s="3196"/>
      <c r="K5" s="610"/>
      <c r="L5" s="1133"/>
      <c r="M5" s="1134"/>
      <c r="N5" s="1134"/>
      <c r="O5" s="1134"/>
      <c r="P5" s="3183"/>
      <c r="Q5" s="3184"/>
      <c r="R5" s="3189"/>
      <c r="S5" s="3190"/>
      <c r="T5" s="3189"/>
      <c r="U5" s="3190"/>
      <c r="V5" s="3174"/>
      <c r="W5" s="3174"/>
      <c r="X5" s="1816"/>
      <c r="Y5" s="3189"/>
      <c r="Z5" s="3190"/>
      <c r="AA5" s="3176"/>
      <c r="AB5" s="3176"/>
      <c r="AC5" s="3176"/>
    </row>
    <row r="6" spans="1:29" ht="15.75" thickBot="1">
      <c r="A6" s="406"/>
      <c r="B6" s="407"/>
      <c r="C6" s="3240" t="s">
        <v>2538</v>
      </c>
      <c r="D6" s="3194"/>
      <c r="E6" s="3256" t="s">
        <v>2538</v>
      </c>
      <c r="F6" s="3202"/>
      <c r="G6" s="3240" t="s">
        <v>2538</v>
      </c>
      <c r="H6" s="3194"/>
      <c r="I6" s="3240" t="s">
        <v>2538</v>
      </c>
      <c r="J6" s="3194"/>
      <c r="K6" s="610" t="s">
        <v>2539</v>
      </c>
      <c r="L6" s="1133"/>
      <c r="M6" s="1134"/>
      <c r="N6" s="1134"/>
      <c r="O6" s="1134"/>
      <c r="P6" s="3185"/>
      <c r="Q6" s="3186"/>
      <c r="R6" s="3189"/>
      <c r="S6" s="3190"/>
      <c r="T6" s="3191"/>
      <c r="U6" s="3192"/>
      <c r="V6" s="3174"/>
      <c r="W6" s="3174"/>
      <c r="X6" s="1816"/>
      <c r="Y6" s="3191"/>
      <c r="Z6" s="3192"/>
      <c r="AA6" s="3177"/>
      <c r="AB6" s="3177"/>
      <c r="AC6" s="3177"/>
    </row>
    <row r="7" spans="1:29" s="117" customFormat="1" ht="15.75" thickBot="1">
      <c r="A7" s="408" t="s">
        <v>2540</v>
      </c>
      <c r="B7" s="409"/>
      <c r="C7" s="410">
        <f>'数据-取费表'!B2</f>
        <v>43369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2541</v>
      </c>
      <c r="Q7" s="3199"/>
      <c r="R7" s="770" t="s">
        <v>17</v>
      </c>
      <c r="S7" s="771">
        <f t="shared" ref="S7:S15" si="0">F7</f>
        <v>0</v>
      </c>
      <c r="T7" s="770" t="s">
        <v>17</v>
      </c>
      <c r="U7" s="771">
        <f t="shared" ref="U7:U15" si="1">H7</f>
        <v>0</v>
      </c>
      <c r="V7" s="770" t="s">
        <v>17</v>
      </c>
      <c r="W7" s="771">
        <f t="shared" ref="W7:W15" si="2">J7</f>
        <v>0</v>
      </c>
      <c r="X7" s="772"/>
      <c r="Y7" s="3197" t="s">
        <v>2541</v>
      </c>
      <c r="Z7" s="3198"/>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2544</v>
      </c>
      <c r="Q8" s="3198"/>
      <c r="R8" s="770" t="s">
        <v>17</v>
      </c>
      <c r="S8" s="771">
        <f t="shared" si="0"/>
        <v>0</v>
      </c>
      <c r="T8" s="770" t="s">
        <v>17</v>
      </c>
      <c r="U8" s="771">
        <f t="shared" si="1"/>
        <v>0</v>
      </c>
      <c r="V8" s="770" t="s">
        <v>17</v>
      </c>
      <c r="W8" s="771">
        <f t="shared" si="2"/>
        <v>0</v>
      </c>
      <c r="X8" s="772"/>
      <c r="Y8" s="3197" t="s">
        <v>2544</v>
      </c>
      <c r="Z8" s="3198"/>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2551</v>
      </c>
      <c r="B15" s="69" t="s">
        <v>2695</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0" t="s">
        <v>2552</v>
      </c>
      <c r="Q15" s="1813" t="str">
        <f t="shared" si="6"/>
        <v>产业集聚程度</v>
      </c>
      <c r="R15" s="774" t="s">
        <v>17</v>
      </c>
      <c r="S15" s="775">
        <f t="shared" si="0"/>
        <v>100</v>
      </c>
      <c r="T15" s="774" t="s">
        <v>17</v>
      </c>
      <c r="U15" s="775">
        <f t="shared" si="1"/>
        <v>100</v>
      </c>
      <c r="V15" s="774" t="s">
        <v>17</v>
      </c>
      <c r="W15" s="775">
        <f t="shared" si="2"/>
        <v>100</v>
      </c>
      <c r="X15" s="1816"/>
      <c r="Y15" s="3170"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1"/>
      <c r="Q16" s="1813"/>
      <c r="R16" s="774"/>
      <c r="S16" s="775"/>
      <c r="T16" s="774"/>
      <c r="U16" s="775"/>
      <c r="V16" s="774"/>
      <c r="W16" s="775"/>
      <c r="X16" s="1816"/>
      <c r="Y16" s="3171"/>
      <c r="Z16" s="1817"/>
      <c r="AA16" s="1814">
        <v>1</v>
      </c>
      <c r="AB16" s="1814">
        <v>1</v>
      </c>
      <c r="AC16" s="1814">
        <v>1</v>
      </c>
    </row>
    <row r="17" spans="1:29" ht="85.5">
      <c r="A17" s="428"/>
      <c r="B17" s="451" t="s">
        <v>2091</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456"/>
      <c r="C18" s="2605"/>
      <c r="D18" s="450"/>
      <c r="E18" s="2607"/>
      <c r="F18" s="453"/>
      <c r="G18" s="2606"/>
      <c r="H18" s="448"/>
      <c r="I18" s="2607"/>
      <c r="J18" s="448"/>
      <c r="K18" s="615"/>
      <c r="L18" s="1143"/>
      <c r="M18" s="1134"/>
      <c r="N18" s="1134"/>
      <c r="O18" s="1142"/>
      <c r="P18" s="3171"/>
      <c r="Q18" s="1813"/>
      <c r="R18" s="774"/>
      <c r="S18" s="775"/>
      <c r="T18" s="774"/>
      <c r="U18" s="775"/>
      <c r="V18" s="774"/>
      <c r="W18" s="775"/>
      <c r="X18" s="1816"/>
      <c r="Y18" s="3171"/>
      <c r="Z18" s="1817"/>
      <c r="AA18" s="1814">
        <v>1</v>
      </c>
      <c r="AB18" s="1814">
        <v>1</v>
      </c>
      <c r="AC18" s="1814">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1"/>
      <c r="Q19" s="1813" t="str">
        <f>B19</f>
        <v>公共配套设施</v>
      </c>
      <c r="R19" s="774" t="s">
        <v>17</v>
      </c>
      <c r="S19" s="775">
        <f>F19</f>
        <v>100</v>
      </c>
      <c r="T19" s="774" t="s">
        <v>17</v>
      </c>
      <c r="U19" s="775">
        <f>H19</f>
        <v>100</v>
      </c>
      <c r="V19" s="774" t="s">
        <v>17</v>
      </c>
      <c r="W19" s="775">
        <f>J19</f>
        <v>100</v>
      </c>
      <c r="X19" s="1816"/>
      <c r="Y19" s="3171"/>
      <c r="Z19" s="1817" t="str">
        <f>Q19</f>
        <v>公共配套设施</v>
      </c>
      <c r="AA19" s="1814">
        <f t="shared" si="3"/>
        <v>1</v>
      </c>
      <c r="AB19" s="1814">
        <f t="shared" si="4"/>
        <v>1</v>
      </c>
      <c r="AC19" s="1814">
        <f t="shared" si="5"/>
        <v>1</v>
      </c>
    </row>
    <row r="20" spans="1:29" ht="15">
      <c r="A20" s="428"/>
      <c r="B20" s="456"/>
      <c r="C20" s="447"/>
      <c r="D20" s="448"/>
      <c r="E20" s="2602"/>
      <c r="F20" s="449"/>
      <c r="G20" s="2601"/>
      <c r="H20" s="448"/>
      <c r="I20" s="2602"/>
      <c r="J20" s="448"/>
      <c r="K20" s="615"/>
      <c r="L20" s="1143"/>
      <c r="M20" s="1134"/>
      <c r="N20" s="1134"/>
      <c r="O20" s="1142"/>
      <c r="P20" s="3171"/>
      <c r="Q20" s="1813"/>
      <c r="R20" s="774"/>
      <c r="S20" s="775"/>
      <c r="T20" s="774"/>
      <c r="U20" s="775"/>
      <c r="V20" s="774"/>
      <c r="W20" s="775"/>
      <c r="X20" s="1816"/>
      <c r="Y20" s="3171"/>
      <c r="Z20" s="1817"/>
      <c r="AA20" s="1814">
        <v>1</v>
      </c>
      <c r="AB20" s="1814">
        <v>1</v>
      </c>
      <c r="AC20" s="1814">
        <v>1</v>
      </c>
    </row>
    <row r="21" spans="1:29" ht="28.5">
      <c r="A21" s="428"/>
      <c r="B21" s="1387"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1"/>
      <c r="Q21" s="1813" t="str">
        <f>B21</f>
        <v>基础设施水平</v>
      </c>
      <c r="R21" s="774" t="s">
        <v>17</v>
      </c>
      <c r="S21" s="775">
        <f>F21</f>
        <v>100</v>
      </c>
      <c r="T21" s="774" t="s">
        <v>17</v>
      </c>
      <c r="U21" s="775">
        <f>H21</f>
        <v>100</v>
      </c>
      <c r="V21" s="774" t="s">
        <v>17</v>
      </c>
      <c r="W21" s="775">
        <f>J21</f>
        <v>100</v>
      </c>
      <c r="X21" s="1816"/>
      <c r="Y21" s="3171"/>
      <c r="Z21" s="1817" t="str">
        <f>Q21</f>
        <v>基础设施水平</v>
      </c>
      <c r="AA21" s="1814">
        <f t="shared" ref="AA21" si="8">D21/F21</f>
        <v>1</v>
      </c>
      <c r="AB21" s="1814">
        <f t="shared" ref="AB21" si="9">D21/H21</f>
        <v>1</v>
      </c>
      <c r="AC21" s="1814">
        <f t="shared" ref="AC21" si="10">D21/J21</f>
        <v>1</v>
      </c>
    </row>
    <row r="22" spans="1:29" ht="15">
      <c r="A22" s="428"/>
      <c r="B22" s="1387"/>
      <c r="C22" s="2605"/>
      <c r="D22" s="448"/>
      <c r="E22" s="447"/>
      <c r="F22" s="449"/>
      <c r="G22" s="447"/>
      <c r="H22" s="448"/>
      <c r="I22" s="447"/>
      <c r="J22" s="448"/>
      <c r="K22" s="1386"/>
      <c r="L22" s="1143"/>
      <c r="M22" s="1134"/>
      <c r="N22" s="1134"/>
      <c r="O22" s="1142"/>
      <c r="P22" s="3171"/>
      <c r="Q22" s="1813"/>
      <c r="R22" s="774"/>
      <c r="S22" s="775"/>
      <c r="T22" s="774"/>
      <c r="U22" s="775"/>
      <c r="V22" s="774"/>
      <c r="W22" s="775"/>
      <c r="X22" s="1816"/>
      <c r="Y22" s="3171"/>
      <c r="Z22" s="1817"/>
      <c r="AA22" s="1814">
        <v>1</v>
      </c>
      <c r="AB22" s="1814">
        <v>1</v>
      </c>
      <c r="AC22" s="1814">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1"/>
      <c r="Q23" s="1813" t="str">
        <f>B23</f>
        <v>环境质量</v>
      </c>
      <c r="R23" s="774" t="s">
        <v>17</v>
      </c>
      <c r="S23" s="775">
        <f>F23</f>
        <v>100</v>
      </c>
      <c r="T23" s="774" t="s">
        <v>17</v>
      </c>
      <c r="U23" s="775">
        <f>H23</f>
        <v>100</v>
      </c>
      <c r="V23" s="774" t="s">
        <v>17</v>
      </c>
      <c r="W23" s="775">
        <f>J23</f>
        <v>100</v>
      </c>
      <c r="X23" s="1816"/>
      <c r="Y23" s="3171"/>
      <c r="Z23" s="1817" t="str">
        <f>Q23</f>
        <v>环境质量</v>
      </c>
      <c r="AA23" s="1814">
        <f t="shared" si="3"/>
        <v>1</v>
      </c>
      <c r="AB23" s="1814">
        <f t="shared" si="4"/>
        <v>1</v>
      </c>
      <c r="AC23" s="1814">
        <f t="shared" si="5"/>
        <v>1</v>
      </c>
    </row>
    <row r="24" spans="1:29" ht="15">
      <c r="A24" s="428"/>
      <c r="B24" s="1387"/>
      <c r="C24" s="447"/>
      <c r="D24" s="448"/>
      <c r="E24" s="2602"/>
      <c r="F24" s="449"/>
      <c r="G24" s="2601"/>
      <c r="H24" s="448"/>
      <c r="I24" s="2602"/>
      <c r="J24" s="448"/>
      <c r="K24" s="615"/>
      <c r="L24" s="1143"/>
      <c r="M24" s="1134"/>
      <c r="N24" s="1134"/>
      <c r="O24" s="1142"/>
      <c r="P24" s="3171"/>
      <c r="Q24" s="1813"/>
      <c r="R24" s="774"/>
      <c r="S24" s="775"/>
      <c r="T24" s="774"/>
      <c r="U24" s="775"/>
      <c r="V24" s="774"/>
      <c r="W24" s="775"/>
      <c r="X24" s="1816"/>
      <c r="Y24" s="317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1"/>
      <c r="Q25" s="1813">
        <f>B25</f>
        <v>111</v>
      </c>
      <c r="R25" s="774" t="s">
        <v>17</v>
      </c>
      <c r="S25" s="775">
        <f>F25</f>
        <v>100</v>
      </c>
      <c r="T25" s="774" t="s">
        <v>17</v>
      </c>
      <c r="U25" s="775">
        <f>H25</f>
        <v>100</v>
      </c>
      <c r="V25" s="774" t="s">
        <v>17</v>
      </c>
      <c r="W25" s="775">
        <f>J25</f>
        <v>100</v>
      </c>
      <c r="X25" s="1816"/>
      <c r="Y25" s="317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1"/>
      <c r="Q26" s="1813">
        <f t="shared" ref="Q26:Q40" si="11">B26</f>
        <v>111</v>
      </c>
      <c r="R26" s="774" t="s">
        <v>17</v>
      </c>
      <c r="S26" s="775">
        <f>F26</f>
        <v>100</v>
      </c>
      <c r="T26" s="774" t="s">
        <v>17</v>
      </c>
      <c r="U26" s="775">
        <f>H26</f>
        <v>100</v>
      </c>
      <c r="V26" s="774" t="s">
        <v>17</v>
      </c>
      <c r="W26" s="775">
        <f>J26</f>
        <v>100</v>
      </c>
      <c r="X26" s="1816"/>
      <c r="Y26" s="317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1"/>
      <c r="Q27" s="1798">
        <f t="shared" si="11"/>
        <v>111</v>
      </c>
      <c r="R27" s="770" t="s">
        <v>17</v>
      </c>
      <c r="S27" s="771">
        <f>F27</f>
        <v>100</v>
      </c>
      <c r="T27" s="770" t="s">
        <v>17</v>
      </c>
      <c r="U27" s="771">
        <f>H27</f>
        <v>100</v>
      </c>
      <c r="V27" s="770" t="s">
        <v>17</v>
      </c>
      <c r="W27" s="771">
        <f>J27</f>
        <v>100</v>
      </c>
      <c r="X27" s="772"/>
      <c r="Y27" s="317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1"/>
      <c r="Q28" s="1813">
        <f t="shared" si="11"/>
        <v>111</v>
      </c>
      <c r="R28" s="774" t="s">
        <v>17</v>
      </c>
      <c r="S28" s="775">
        <f t="shared" ref="S28:S40" si="12">F28</f>
        <v>100</v>
      </c>
      <c r="T28" s="774" t="s">
        <v>17</v>
      </c>
      <c r="U28" s="775">
        <f t="shared" ref="U28:U40" si="13">H28</f>
        <v>100</v>
      </c>
      <c r="V28" s="774" t="s">
        <v>17</v>
      </c>
      <c r="W28" s="775">
        <f t="shared" ref="W28:W40" si="14">J28</f>
        <v>100</v>
      </c>
      <c r="X28" s="1816"/>
      <c r="Y28" s="3171"/>
      <c r="Z28" s="1817">
        <f t="shared" ref="Z28:Z40" si="15">Q28</f>
        <v>111</v>
      </c>
      <c r="AA28" s="1814">
        <f t="shared" si="3"/>
        <v>1</v>
      </c>
      <c r="AB28" s="1814">
        <f t="shared" si="4"/>
        <v>1</v>
      </c>
      <c r="AC28" s="1814">
        <f t="shared" si="5"/>
        <v>1</v>
      </c>
    </row>
    <row r="29" spans="1:29" ht="15">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72" t="s">
        <v>2557</v>
      </c>
      <c r="Q29" s="1813" t="str">
        <f t="shared" si="11"/>
        <v>建筑类型</v>
      </c>
      <c r="R29" s="774" t="s">
        <v>17</v>
      </c>
      <c r="S29" s="775">
        <f t="shared" si="12"/>
        <v>100</v>
      </c>
      <c r="T29" s="774" t="s">
        <v>17</v>
      </c>
      <c r="U29" s="775">
        <f t="shared" si="13"/>
        <v>100</v>
      </c>
      <c r="V29" s="774" t="s">
        <v>17</v>
      </c>
      <c r="W29" s="775">
        <f t="shared" si="14"/>
        <v>100</v>
      </c>
      <c r="X29" s="1816"/>
      <c r="Y29" s="3173"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3"/>
      <c r="Q31" s="1813" t="str">
        <f t="shared" si="11"/>
        <v>建筑结构</v>
      </c>
      <c r="R31" s="774" t="s">
        <v>17</v>
      </c>
      <c r="S31" s="775">
        <f t="shared" si="12"/>
        <v>100</v>
      </c>
      <c r="T31" s="774" t="s">
        <v>17</v>
      </c>
      <c r="U31" s="775">
        <f t="shared" si="13"/>
        <v>100</v>
      </c>
      <c r="V31" s="774" t="s">
        <v>17</v>
      </c>
      <c r="W31" s="775">
        <f t="shared" si="14"/>
        <v>100</v>
      </c>
      <c r="X31" s="1816"/>
      <c r="Y31" s="3173"/>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3"/>
      <c r="Q32" s="1813" t="str">
        <f t="shared" si="11"/>
        <v>公共部分装修</v>
      </c>
      <c r="R32" s="774" t="s">
        <v>17</v>
      </c>
      <c r="S32" s="775">
        <f t="shared" si="12"/>
        <v>100</v>
      </c>
      <c r="T32" s="774" t="s">
        <v>17</v>
      </c>
      <c r="U32" s="775">
        <f t="shared" si="13"/>
        <v>100</v>
      </c>
      <c r="V32" s="774" t="s">
        <v>17</v>
      </c>
      <c r="W32" s="775">
        <f t="shared" si="14"/>
        <v>100</v>
      </c>
      <c r="X32" s="1816"/>
      <c r="Y32" s="3173"/>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3"/>
      <c r="Q33" s="1813" t="str">
        <f t="shared" si="11"/>
        <v>成新度</v>
      </c>
      <c r="R33" s="774" t="s">
        <v>17</v>
      </c>
      <c r="S33" s="775" t="e">
        <f t="shared" si="12"/>
        <v>#N/A</v>
      </c>
      <c r="T33" s="774" t="s">
        <v>17</v>
      </c>
      <c r="U33" s="775" t="e">
        <f t="shared" si="13"/>
        <v>#N/A</v>
      </c>
      <c r="V33" s="774" t="s">
        <v>17</v>
      </c>
      <c r="W33" s="775" t="e">
        <f t="shared" si="14"/>
        <v>#N/A</v>
      </c>
      <c r="X33" s="1816"/>
      <c r="Y33" s="3173"/>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3"/>
      <c r="Q34" s="1798"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3" t="s">
        <v>2557</v>
      </c>
      <c r="Q35" s="1813" t="str">
        <f t="shared" si="11"/>
        <v>市政基础设施</v>
      </c>
      <c r="R35" s="774" t="s">
        <v>17</v>
      </c>
      <c r="S35" s="775">
        <f t="shared" si="12"/>
        <v>100</v>
      </c>
      <c r="T35" s="774" t="s">
        <v>17</v>
      </c>
      <c r="U35" s="775">
        <f t="shared" si="13"/>
        <v>100</v>
      </c>
      <c r="V35" s="774" t="s">
        <v>17</v>
      </c>
      <c r="W35" s="775">
        <f t="shared" si="14"/>
        <v>100</v>
      </c>
      <c r="X35" s="1816"/>
      <c r="Y35" s="3173"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3"/>
      <c r="Q36" s="1813" t="str">
        <f t="shared" si="11"/>
        <v>内部装修</v>
      </c>
      <c r="R36" s="774" t="s">
        <v>17</v>
      </c>
      <c r="S36" s="775">
        <f t="shared" si="12"/>
        <v>100</v>
      </c>
      <c r="T36" s="774" t="s">
        <v>17</v>
      </c>
      <c r="U36" s="775">
        <f t="shared" si="13"/>
        <v>100</v>
      </c>
      <c r="V36" s="774" t="s">
        <v>17</v>
      </c>
      <c r="W36" s="775">
        <f t="shared" si="14"/>
        <v>100</v>
      </c>
      <c r="X36" s="1816"/>
      <c r="Y36" s="3173"/>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3"/>
      <c r="Q37" s="1813" t="str">
        <f t="shared" si="11"/>
        <v>内部装修状况</v>
      </c>
      <c r="R37" s="774" t="s">
        <v>17</v>
      </c>
      <c r="S37" s="775">
        <f t="shared" si="12"/>
        <v>100</v>
      </c>
      <c r="T37" s="774" t="s">
        <v>17</v>
      </c>
      <c r="U37" s="775">
        <f t="shared" si="13"/>
        <v>100</v>
      </c>
      <c r="V37" s="774" t="s">
        <v>17</v>
      </c>
      <c r="W37" s="775">
        <f t="shared" si="14"/>
        <v>100</v>
      </c>
      <c r="X37" s="1816"/>
      <c r="Y37" s="31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3"/>
      <c r="Q39" s="1813">
        <f t="shared" si="11"/>
        <v>111</v>
      </c>
      <c r="R39" s="774" t="s">
        <v>17</v>
      </c>
      <c r="S39" s="775">
        <f t="shared" si="12"/>
        <v>100</v>
      </c>
      <c r="T39" s="774" t="s">
        <v>17</v>
      </c>
      <c r="U39" s="775">
        <f t="shared" si="13"/>
        <v>100</v>
      </c>
      <c r="V39" s="774" t="s">
        <v>17</v>
      </c>
      <c r="W39" s="775">
        <f t="shared" si="14"/>
        <v>100</v>
      </c>
      <c r="X39" s="1816"/>
      <c r="Y39" s="3173"/>
      <c r="Z39" s="1817">
        <f t="shared" si="15"/>
        <v>111</v>
      </c>
      <c r="AA39" s="1814">
        <f t="shared" si="3"/>
        <v>1</v>
      </c>
      <c r="AB39" s="1814">
        <f t="shared" si="4"/>
        <v>1</v>
      </c>
      <c r="AC39" s="1814">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3">
        <f t="shared" si="11"/>
        <v>111</v>
      </c>
      <c r="R40" s="774" t="s">
        <v>17</v>
      </c>
      <c r="S40" s="775">
        <f t="shared" si="12"/>
        <v>100</v>
      </c>
      <c r="T40" s="774" t="s">
        <v>17</v>
      </c>
      <c r="U40" s="775">
        <f t="shared" si="13"/>
        <v>100</v>
      </c>
      <c r="V40" s="774" t="s">
        <v>17</v>
      </c>
      <c r="W40" s="775">
        <f t="shared" si="14"/>
        <v>100</v>
      </c>
      <c r="X40" s="1816"/>
      <c r="Y40" s="3237"/>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68" t="str">
        <f>A41</f>
        <v>成交单价（元/平方米）</v>
      </c>
      <c r="Q41" s="3168"/>
      <c r="R41" s="3233">
        <f>E41</f>
        <v>0</v>
      </c>
      <c r="S41" s="3233"/>
      <c r="T41" s="3233">
        <f>G41</f>
        <v>0</v>
      </c>
      <c r="U41" s="3233"/>
      <c r="V41" s="3233">
        <f>I41</f>
        <v>0</v>
      </c>
      <c r="W41" s="3233"/>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62" t="str">
        <f>A43</f>
        <v>估价对象XX用房的比较价值（楼面单价，元/平方米）</v>
      </c>
      <c r="Q43" s="3163"/>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0" zoomScaleNormal="90" workbookViewId="0">
      <selection activeCell="J37" sqref="J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t="s">
        <v>3069</v>
      </c>
      <c r="C1" s="1623" t="s">
        <v>2522</v>
      </c>
      <c r="D1" s="1624" t="s">
        <v>48</v>
      </c>
      <c r="E1" s="1625"/>
      <c r="F1" s="2582" t="s">
        <v>3070</v>
      </c>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f>IF(C2="——",IF(B37="元/平方米",ROUND(C39*D3/10000,0),ROUND(F3*C39/10000,0)),IF(B37="元/平方米",ROUND(C39*D3/10000,0),ROUND(F3*C39/10000,0))-D2)</f>
        <v>11285</v>
      </c>
      <c r="C2" s="2584" t="s">
        <v>70</v>
      </c>
      <c r="D2" s="1127" t="e">
        <f ca="1">SUMIF(INDIRECT("'"&amp;F2&amp;"'"&amp;"!A:A"),"承租人权益价值",INDIRECT("'"&amp;F2&amp;"'"&amp;"!c:c"))</f>
        <v>#REF!</v>
      </c>
      <c r="E2" s="2585" t="s">
        <v>2323</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f>IF(AND(C2="——",B37="元/平方米"),C39,ROUND(B2*10000/D3,0))</f>
        <v>5984</v>
      </c>
      <c r="C3" s="400" t="s">
        <v>2636</v>
      </c>
      <c r="D3" s="399">
        <f>SUMIF('数据-汇总表'!$C19:$C33,D1,'数据-汇总表'!$E19:$E33)</f>
        <v>18858.009999999998</v>
      </c>
      <c r="E3" s="400" t="s">
        <v>2700</v>
      </c>
      <c r="F3" s="399">
        <f>SUMIF('数据-取费表'!A5:A15,D1,'数据-取费表'!AH5:AH15)</f>
        <v>523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6" t="s">
        <v>2640</v>
      </c>
      <c r="AC4" s="3175" t="s">
        <v>2641</v>
      </c>
    </row>
    <row r="5" spans="1:29" ht="15">
      <c r="A5" s="404"/>
      <c r="B5" s="405"/>
      <c r="C5" s="3200" t="s">
        <v>3076</v>
      </c>
      <c r="D5" s="3196"/>
      <c r="E5" s="3241" t="s">
        <v>3077</v>
      </c>
      <c r="F5" s="3204"/>
      <c r="G5" s="3200" t="s">
        <v>3078</v>
      </c>
      <c r="H5" s="3196"/>
      <c r="I5" s="3200" t="s">
        <v>3079</v>
      </c>
      <c r="J5" s="3196"/>
      <c r="K5" s="610"/>
      <c r="L5" s="1133"/>
      <c r="M5" s="1134"/>
      <c r="N5" s="1134"/>
      <c r="O5" s="1134"/>
      <c r="P5" s="3183"/>
      <c r="Q5" s="3184"/>
      <c r="R5" s="3189"/>
      <c r="S5" s="3190"/>
      <c r="T5" s="3189"/>
      <c r="U5" s="3190"/>
      <c r="V5" s="3174"/>
      <c r="W5" s="3174"/>
      <c r="X5" s="1816"/>
      <c r="Y5" s="3189"/>
      <c r="Z5" s="3190"/>
      <c r="AA5" s="3176"/>
      <c r="AB5" s="3176"/>
      <c r="AC5" s="3176"/>
    </row>
    <row r="6" spans="1:29" ht="35.25" customHeight="1" thickBot="1">
      <c r="A6" s="406"/>
      <c r="B6" s="407"/>
      <c r="C6" s="3193" t="s">
        <v>3081</v>
      </c>
      <c r="D6" s="3194"/>
      <c r="E6" s="3201" t="s">
        <v>3082</v>
      </c>
      <c r="F6" s="3202"/>
      <c r="G6" s="3193" t="s">
        <v>3102</v>
      </c>
      <c r="H6" s="3194"/>
      <c r="I6" s="3193" t="s">
        <v>3207</v>
      </c>
      <c r="J6" s="3194"/>
      <c r="K6" s="610" t="s">
        <v>2539</v>
      </c>
      <c r="L6" s="1133"/>
      <c r="M6" s="1134"/>
      <c r="N6" s="1134"/>
      <c r="O6" s="1134"/>
      <c r="P6" s="3185"/>
      <c r="Q6" s="3186"/>
      <c r="R6" s="3189"/>
      <c r="S6" s="3190"/>
      <c r="T6" s="3191"/>
      <c r="U6" s="3192"/>
      <c r="V6" s="3174"/>
      <c r="W6" s="3174"/>
      <c r="X6" s="1816"/>
      <c r="Y6" s="3191"/>
      <c r="Z6" s="3192"/>
      <c r="AA6" s="3177"/>
      <c r="AB6" s="3177"/>
      <c r="AC6" s="3177"/>
    </row>
    <row r="7" spans="1:29" s="117" customFormat="1" ht="15.75" thickBot="1">
      <c r="A7" s="408" t="s">
        <v>2540</v>
      </c>
      <c r="B7" s="409"/>
      <c r="C7" s="410">
        <f>'数据-取费表'!B2</f>
        <v>43369</v>
      </c>
      <c r="D7" s="411">
        <v>100</v>
      </c>
      <c r="E7" s="412">
        <v>43344</v>
      </c>
      <c r="F7" s="413">
        <f>SUMIF(48:48,YEAR(E7)&amp;"-"&amp;MONTH(E7),49:49)</f>
        <v>100</v>
      </c>
      <c r="G7" s="412">
        <v>43344</v>
      </c>
      <c r="H7" s="411">
        <f>SUMIF(48:48,YEAR(G7)&amp;"-"&amp;MONTH(G7),49:49)</f>
        <v>100</v>
      </c>
      <c r="I7" s="412">
        <v>43344</v>
      </c>
      <c r="J7" s="411">
        <f>SUMIF(48:48,YEAR(I7)&amp;"-"&amp;MONTH(I7),49:49)</f>
        <v>100</v>
      </c>
      <c r="K7" s="611"/>
      <c r="L7" s="1135"/>
      <c r="M7" s="1136"/>
      <c r="N7" s="1136"/>
      <c r="O7" s="1136"/>
      <c r="P7" s="3197" t="s">
        <v>2541</v>
      </c>
      <c r="Q7" s="3199"/>
      <c r="R7" s="770" t="s">
        <v>17</v>
      </c>
      <c r="S7" s="771">
        <f t="shared" ref="S7:S14" si="0">F7</f>
        <v>100</v>
      </c>
      <c r="T7" s="770" t="s">
        <v>17</v>
      </c>
      <c r="U7" s="771">
        <f t="shared" ref="U7:U14" si="1">H7</f>
        <v>100</v>
      </c>
      <c r="V7" s="770" t="s">
        <v>17</v>
      </c>
      <c r="W7" s="771">
        <f t="shared" ref="W7:W14" si="2">J7</f>
        <v>100</v>
      </c>
      <c r="X7" s="772"/>
      <c r="Y7" s="3197" t="s">
        <v>2541</v>
      </c>
      <c r="Z7" s="3198"/>
      <c r="AA7" s="773">
        <f>D7/F7</f>
        <v>1</v>
      </c>
      <c r="AB7" s="773">
        <f>D7/H7</f>
        <v>1</v>
      </c>
      <c r="AC7" s="773">
        <f>D7/J7</f>
        <v>1</v>
      </c>
    </row>
    <row r="8" spans="1:29" s="117" customFormat="1" ht="15.75" thickBot="1">
      <c r="A8" s="408" t="s">
        <v>2542</v>
      </c>
      <c r="B8" s="409"/>
      <c r="C8" s="414" t="s">
        <v>2644</v>
      </c>
      <c r="D8" s="411">
        <v>100</v>
      </c>
      <c r="E8" s="414" t="s">
        <v>2644</v>
      </c>
      <c r="F8" s="413">
        <f>SUMIF(51:51,E8,52:52)-SUMIF(51:51,C8,52:52)+100</f>
        <v>100</v>
      </c>
      <c r="G8" s="414" t="s">
        <v>2644</v>
      </c>
      <c r="H8" s="411">
        <f>SUMIF(51:51,G8,52:52)-SUMIF(51:51,C8,52:52)+100</f>
        <v>100</v>
      </c>
      <c r="I8" s="414" t="s">
        <v>2644</v>
      </c>
      <c r="J8" s="411">
        <f>SUMIF(51:51,I8,52:52)-SUMIF(51:51,C8,52:52)+100</f>
        <v>100</v>
      </c>
      <c r="K8" s="611"/>
      <c r="L8" s="1135"/>
      <c r="M8" s="1136"/>
      <c r="N8" s="1136"/>
      <c r="O8" s="1136"/>
      <c r="P8" s="3197" t="s">
        <v>2544</v>
      </c>
      <c r="Q8" s="3198"/>
      <c r="R8" s="770" t="s">
        <v>17</v>
      </c>
      <c r="S8" s="771">
        <f t="shared" si="0"/>
        <v>100</v>
      </c>
      <c r="T8" s="770" t="s">
        <v>17</v>
      </c>
      <c r="U8" s="771">
        <f t="shared" si="1"/>
        <v>100</v>
      </c>
      <c r="V8" s="770" t="s">
        <v>17</v>
      </c>
      <c r="W8" s="771">
        <f t="shared" si="2"/>
        <v>100</v>
      </c>
      <c r="X8" s="772"/>
      <c r="Y8" s="3197" t="s">
        <v>2544</v>
      </c>
      <c r="Z8" s="3198"/>
      <c r="AA8" s="773">
        <f t="shared" ref="AA8:AA36" si="3">D8/F8</f>
        <v>1</v>
      </c>
      <c r="AB8" s="773">
        <f t="shared" ref="AB8:AB36" si="4">D8/H8</f>
        <v>1</v>
      </c>
      <c r="AC8" s="773">
        <f t="shared" ref="AC8:AC36" si="5">D8/J8</f>
        <v>1</v>
      </c>
    </row>
    <row r="9" spans="1:29" s="117" customFormat="1">
      <c r="A9" s="68" t="s">
        <v>2545</v>
      </c>
      <c r="B9" s="640" t="s">
        <v>2546</v>
      </c>
      <c r="C9" s="2946" t="s">
        <v>3074</v>
      </c>
      <c r="D9" s="135">
        <v>100</v>
      </c>
      <c r="E9" s="419" t="s">
        <v>48</v>
      </c>
      <c r="F9" s="135">
        <f>SUMIF(53:53,E9,54:54)-SUMIF(53:53,C9,54:54)+100</f>
        <v>100</v>
      </c>
      <c r="G9" s="419" t="s">
        <v>48</v>
      </c>
      <c r="H9" s="135">
        <f>SUMIF(53:53,G9,54:54)-SUMIF(53:53,C9,54:54)+100</f>
        <v>100</v>
      </c>
      <c r="I9" s="419" t="s">
        <v>48</v>
      </c>
      <c r="J9" s="135">
        <f>SUMIF(53:53,I9,54:54)-SUMIF(53:53,C9,54:54)+100</f>
        <v>100</v>
      </c>
      <c r="K9" s="611"/>
      <c r="L9" s="1135"/>
      <c r="M9" s="1136"/>
      <c r="N9" s="1136"/>
      <c r="O9" s="1136"/>
      <c r="P9" s="3168" t="s">
        <v>2547</v>
      </c>
      <c r="Q9" s="1798" t="str">
        <f t="shared" ref="Q9:Q14" si="6">B9</f>
        <v>用途</v>
      </c>
      <c r="R9" s="770" t="s">
        <v>17</v>
      </c>
      <c r="S9" s="771">
        <f t="shared" si="0"/>
        <v>100</v>
      </c>
      <c r="T9" s="770" t="s">
        <v>17</v>
      </c>
      <c r="U9" s="771">
        <f t="shared" si="1"/>
        <v>100</v>
      </c>
      <c r="V9" s="770" t="s">
        <v>17</v>
      </c>
      <c r="W9" s="771">
        <f t="shared" si="2"/>
        <v>100</v>
      </c>
      <c r="X9" s="772"/>
      <c r="Y9" s="3016" t="s">
        <v>2548</v>
      </c>
      <c r="Z9" s="55" t="str">
        <f t="shared" ref="Z9:Z14" si="7">Q9</f>
        <v>用途</v>
      </c>
      <c r="AA9" s="773">
        <f t="shared" si="3"/>
        <v>1</v>
      </c>
      <c r="AB9" s="773">
        <f t="shared" si="4"/>
        <v>1</v>
      </c>
      <c r="AC9" s="773">
        <f t="shared" si="5"/>
        <v>1</v>
      </c>
    </row>
    <row r="10" spans="1:29" s="427" customFormat="1" ht="27.75" thickBot="1">
      <c r="A10" s="641"/>
      <c r="B10" s="642" t="s">
        <v>2549</v>
      </c>
      <c r="C10" s="423" t="s">
        <v>3075</v>
      </c>
      <c r="D10" s="136">
        <v>100</v>
      </c>
      <c r="E10" s="423" t="s">
        <v>3075</v>
      </c>
      <c r="F10" s="136">
        <f>SUMIF(55:55,E10,56:56)-SUMIF(55:55,C10,56:56)+100</f>
        <v>100</v>
      </c>
      <c r="G10" s="423" t="s">
        <v>3075</v>
      </c>
      <c r="H10" s="136">
        <f>SUMIF(55:55,G10,56:56)-SUMIF(55:55,C10,56:56)+100</f>
        <v>100</v>
      </c>
      <c r="I10" s="423" t="s">
        <v>3075</v>
      </c>
      <c r="J10" s="136">
        <f>SUMIF(55:55,I10,56:56)-SUMIF(55:55,C10,56:56)+100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28.25">
      <c r="A14" s="401" t="s">
        <v>2551</v>
      </c>
      <c r="B14" s="629" t="s">
        <v>2701</v>
      </c>
      <c r="C14" s="2689" t="str">
        <f>IF(B1="工业",估价对象房地状况!G4,估价对象房地状况!C6)</f>
        <v>估价对象周边路网密集程度一般、公共交通通达情况一般，有7路、11路、35路等公共交通，停车便捷程度一般，综合评价交通便捷度一般。</v>
      </c>
      <c r="D14" s="441">
        <v>100</v>
      </c>
      <c r="E14" s="442" t="s">
        <v>3085</v>
      </c>
      <c r="F14" s="443">
        <f>SUMIF(63:63,E15,64:64)-SUMIF(63:63,C15,64:64)+100</f>
        <v>100</v>
      </c>
      <c r="G14" s="442" t="s">
        <v>3103</v>
      </c>
      <c r="H14" s="441">
        <f>SUMIF(63:63,G15,64:64)-SUMIF(63:63,C15,64:64)+100</f>
        <v>100</v>
      </c>
      <c r="I14" s="442" t="s">
        <v>3104</v>
      </c>
      <c r="J14" s="441">
        <f>SUMIF(63:63,I15,64:64)-SUMIF(63:63,C15,64:64)+100</f>
        <v>100</v>
      </c>
      <c r="K14" s="614">
        <v>2</v>
      </c>
      <c r="L14" s="1143"/>
      <c r="M14" s="1134"/>
      <c r="N14" s="1134"/>
      <c r="O14" s="1134"/>
      <c r="P14" s="3170" t="s">
        <v>2552</v>
      </c>
      <c r="Q14" s="1813" t="str">
        <f t="shared" si="6"/>
        <v>交通便捷度</v>
      </c>
      <c r="R14" s="774" t="s">
        <v>17</v>
      </c>
      <c r="S14" s="775">
        <f t="shared" si="0"/>
        <v>100</v>
      </c>
      <c r="T14" s="774" t="s">
        <v>17</v>
      </c>
      <c r="U14" s="775">
        <f t="shared" si="1"/>
        <v>100</v>
      </c>
      <c r="V14" s="774" t="s">
        <v>17</v>
      </c>
      <c r="W14" s="775">
        <f t="shared" si="2"/>
        <v>100</v>
      </c>
      <c r="X14" s="1816"/>
      <c r="Y14" s="3170" t="s">
        <v>2552</v>
      </c>
      <c r="Z14" s="1817" t="str">
        <f t="shared" si="7"/>
        <v>交通便捷度</v>
      </c>
      <c r="AA14" s="1814">
        <f t="shared" si="3"/>
        <v>1</v>
      </c>
      <c r="AB14" s="1814">
        <f t="shared" si="4"/>
        <v>1</v>
      </c>
      <c r="AC14" s="1814">
        <f t="shared" si="5"/>
        <v>1</v>
      </c>
    </row>
    <row r="15" spans="1:29" ht="15">
      <c r="A15" s="404"/>
      <c r="B15" s="647"/>
      <c r="C15" s="447" t="s">
        <v>3084</v>
      </c>
      <c r="D15" s="448"/>
      <c r="E15" s="447" t="s">
        <v>3084</v>
      </c>
      <c r="F15" s="449"/>
      <c r="G15" s="447" t="s">
        <v>3084</v>
      </c>
      <c r="H15" s="450"/>
      <c r="I15" s="447" t="s">
        <v>3084</v>
      </c>
      <c r="J15" s="448"/>
      <c r="K15" s="615"/>
      <c r="L15" s="1143"/>
      <c r="M15" s="1134"/>
      <c r="N15" s="1134"/>
      <c r="O15" s="1134"/>
      <c r="P15" s="3171"/>
      <c r="Q15" s="1813"/>
      <c r="R15" s="774"/>
      <c r="S15" s="775"/>
      <c r="T15" s="774"/>
      <c r="U15" s="775"/>
      <c r="V15" s="774"/>
      <c r="W15" s="775"/>
      <c r="X15" s="1816"/>
      <c r="Y15" s="3171"/>
      <c r="Z15" s="1817"/>
      <c r="AA15" s="1814">
        <v>1</v>
      </c>
      <c r="AB15" s="1814">
        <v>1</v>
      </c>
      <c r="AC15" s="1814">
        <v>1</v>
      </c>
    </row>
    <row r="16" spans="1:29" ht="199.5">
      <c r="A16" s="404"/>
      <c r="B16" s="631" t="s">
        <v>2680</v>
      </c>
      <c r="C16" s="2604" t="str">
        <f>IF(B1="工业",估价对象房地状况!G5,估价对象房地状况!C7)</f>
        <v>估价对象所在区域2公里内有：银行（中国银行、泉州银行），购物（香港城购物中心、新天意购物广场），医院（丰泽常橙医院、华侨大学医院），学校（城东中学、鹤山小学）等，公共配套设施齐备情况较好。</v>
      </c>
      <c r="D16" s="455">
        <v>100</v>
      </c>
      <c r="E16" s="2957" t="s">
        <v>3222</v>
      </c>
      <c r="F16" s="458">
        <f>SUMIF(65:65,E17,66:66)-SUMIF(65:65,C17,66:66)+100</f>
        <v>98</v>
      </c>
      <c r="G16" s="2957" t="s">
        <v>3221</v>
      </c>
      <c r="H16" s="455">
        <f>SUMIF(65:65,G17,66:66)-SUMIF(65:65,C17,66:66)+100</f>
        <v>100</v>
      </c>
      <c r="I16" s="2957" t="s">
        <v>3220</v>
      </c>
      <c r="J16" s="455">
        <f>SUMIF(65:65,I17,66:66)-SUMIF(65:65,C17,66:66)+100</f>
        <v>100</v>
      </c>
      <c r="K16" s="614">
        <v>2</v>
      </c>
      <c r="L16" s="1143"/>
      <c r="M16" s="1134"/>
      <c r="N16" s="1134"/>
      <c r="O16" s="1134"/>
      <c r="P16" s="3171"/>
      <c r="Q16" s="1813" t="str">
        <f>B16</f>
        <v>公共配套设施</v>
      </c>
      <c r="R16" s="774" t="s">
        <v>17</v>
      </c>
      <c r="S16" s="775">
        <f>F16</f>
        <v>98</v>
      </c>
      <c r="T16" s="774" t="s">
        <v>17</v>
      </c>
      <c r="U16" s="775">
        <f>H16</f>
        <v>100</v>
      </c>
      <c r="V16" s="774" t="s">
        <v>17</v>
      </c>
      <c r="W16" s="775">
        <f>J16</f>
        <v>100</v>
      </c>
      <c r="X16" s="1816"/>
      <c r="Y16" s="3171"/>
      <c r="Z16" s="1817" t="str">
        <f>Q16</f>
        <v>公共配套设施</v>
      </c>
      <c r="AA16" s="1814">
        <f t="shared" si="3"/>
        <v>1.0204081632653061</v>
      </c>
      <c r="AB16" s="1814">
        <f t="shared" si="4"/>
        <v>1</v>
      </c>
      <c r="AC16" s="1814">
        <f t="shared" si="5"/>
        <v>1</v>
      </c>
    </row>
    <row r="17" spans="1:29" ht="15">
      <c r="A17" s="404"/>
      <c r="B17" s="632"/>
      <c r="C17" s="2605" t="s">
        <v>3083</v>
      </c>
      <c r="D17" s="448"/>
      <c r="E17" s="2605" t="s">
        <v>3084</v>
      </c>
      <c r="F17" s="449"/>
      <c r="G17" s="2605" t="s">
        <v>3083</v>
      </c>
      <c r="H17" s="448"/>
      <c r="I17" s="2605" t="s">
        <v>3083</v>
      </c>
      <c r="J17" s="448"/>
      <c r="K17" s="615"/>
      <c r="L17" s="1143"/>
      <c r="M17" s="1134"/>
      <c r="N17" s="1134"/>
      <c r="O17" s="1134"/>
      <c r="P17" s="3171"/>
      <c r="Q17" s="1813"/>
      <c r="R17" s="774"/>
      <c r="S17" s="775"/>
      <c r="T17" s="774"/>
      <c r="U17" s="775"/>
      <c r="V17" s="774"/>
      <c r="W17" s="775"/>
      <c r="X17" s="1816"/>
      <c r="Y17" s="3171"/>
      <c r="Z17" s="1817"/>
      <c r="AA17" s="1814">
        <v>1</v>
      </c>
      <c r="AB17" s="1814">
        <v>1</v>
      </c>
      <c r="AC17" s="1814">
        <v>1</v>
      </c>
    </row>
    <row r="18" spans="1:29" ht="42.75">
      <c r="A18" s="404"/>
      <c r="B18" s="633" t="s">
        <v>2681</v>
      </c>
      <c r="C18" s="2604" t="str">
        <f>IF(B1="工业",估价对象房地状况!G6,估价对象房地状况!C8)</f>
        <v>估价对象所在区域基础设施水平达到“五通”。</v>
      </c>
      <c r="D18" s="450">
        <v>100</v>
      </c>
      <c r="E18" s="452" t="s">
        <v>3099</v>
      </c>
      <c r="F18" s="458">
        <f>SUMIF(67:67,E19,68:68)-SUMIF(67:67,C19,68:68)+100</f>
        <v>100</v>
      </c>
      <c r="G18" s="454" t="s">
        <v>3099</v>
      </c>
      <c r="H18" s="455">
        <f>SUMIF(67:67,G19,68:68)-SUMIF(67:67,C19,68:68)+100</f>
        <v>100</v>
      </c>
      <c r="I18" s="452" t="s">
        <v>3099</v>
      </c>
      <c r="J18" s="455">
        <f>SUMIF(67:67,I19,68:68)-SUMIF(67:67,C19,68:68)+100</f>
        <v>100</v>
      </c>
      <c r="K18" s="614"/>
      <c r="L18" s="1143"/>
      <c r="M18" s="1134"/>
      <c r="N18" s="1134"/>
      <c r="O18" s="1134"/>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04"/>
      <c r="B19" s="633"/>
      <c r="C19" s="2605" t="s">
        <v>3098</v>
      </c>
      <c r="D19" s="450"/>
      <c r="E19" s="2605" t="s">
        <v>3098</v>
      </c>
      <c r="F19" s="453"/>
      <c r="G19" s="2605" t="s">
        <v>3098</v>
      </c>
      <c r="H19" s="448"/>
      <c r="I19" s="2605" t="s">
        <v>3098</v>
      </c>
      <c r="J19" s="448"/>
      <c r="K19" s="1386"/>
      <c r="L19" s="1143"/>
      <c r="M19" s="1134"/>
      <c r="N19" s="1134"/>
      <c r="O19" s="1134"/>
      <c r="P19" s="3171"/>
      <c r="Q19" s="1813"/>
      <c r="R19" s="774"/>
      <c r="S19" s="775"/>
      <c r="T19" s="774"/>
      <c r="U19" s="775"/>
      <c r="V19" s="774"/>
      <c r="W19" s="775"/>
      <c r="X19" s="1816"/>
      <c r="Y19" s="3171"/>
      <c r="Z19" s="1817"/>
      <c r="AA19" s="1814">
        <v>1</v>
      </c>
      <c r="AB19" s="1814">
        <v>1</v>
      </c>
      <c r="AC19" s="1814">
        <v>1</v>
      </c>
    </row>
    <row r="20" spans="1:29" ht="114">
      <c r="A20" s="404"/>
      <c r="B20" s="631" t="s">
        <v>2702</v>
      </c>
      <c r="C20" s="2604" t="str">
        <f>IF(B1="工业",估价对象房地状况!G7,估价对象房地状况!C9)</f>
        <v>区域自然环境：绿化条件较好，2公里内无公园；人文环境：有华侨大学等人文景观；综合评价环境状况一般。</v>
      </c>
      <c r="D20" s="455">
        <v>100</v>
      </c>
      <c r="E20" s="457" t="s">
        <v>3101</v>
      </c>
      <c r="F20" s="458">
        <f>SUMIF(69:69,E21,70:70)-SUMIF(69:69,C21,70:70)+100</f>
        <v>100</v>
      </c>
      <c r="G20" s="459" t="s">
        <v>3100</v>
      </c>
      <c r="H20" s="450">
        <f>SUMIF(69:69,G21,70:70)-SUMIF(69:69,C21,70:70)+100</f>
        <v>100</v>
      </c>
      <c r="I20" s="459" t="s">
        <v>3105</v>
      </c>
      <c r="J20" s="450">
        <f>SUMIF(69:69,I21,70:70)-SUMIF(69:69,C21,70:70)+100</f>
        <v>100</v>
      </c>
      <c r="K20" s="614"/>
      <c r="L20" s="1143"/>
      <c r="M20" s="1134"/>
      <c r="N20" s="1134"/>
      <c r="O20" s="1134"/>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04"/>
      <c r="B21" s="632"/>
      <c r="C21" s="447" t="s">
        <v>3084</v>
      </c>
      <c r="D21" s="448"/>
      <c r="E21" s="447" t="s">
        <v>3084</v>
      </c>
      <c r="F21" s="449"/>
      <c r="G21" s="447" t="s">
        <v>3084</v>
      </c>
      <c r="H21" s="448"/>
      <c r="I21" s="447" t="s">
        <v>3084</v>
      </c>
      <c r="J21" s="448"/>
      <c r="K21" s="615"/>
      <c r="L21" s="1143"/>
      <c r="M21" s="1134"/>
      <c r="N21" s="1134"/>
      <c r="O21" s="1134"/>
      <c r="P21" s="3171"/>
      <c r="Q21" s="1813"/>
      <c r="R21" s="774"/>
      <c r="S21" s="775"/>
      <c r="T21" s="774"/>
      <c r="U21" s="775"/>
      <c r="V21" s="774"/>
      <c r="W21" s="775"/>
      <c r="X21" s="1816"/>
      <c r="Y21" s="3171"/>
      <c r="Z21" s="1817"/>
      <c r="AA21" s="1814">
        <v>1</v>
      </c>
      <c r="AB21" s="1814">
        <v>1</v>
      </c>
      <c r="AC21" s="1814">
        <v>1</v>
      </c>
    </row>
    <row r="22" spans="1:29" ht="15.75" thickBot="1">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1"/>
      <c r="Q24" s="1813">
        <f t="shared" ref="Q24:Q36"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15">
      <c r="A26" s="652" t="s">
        <v>2555</v>
      </c>
      <c r="B26" s="70" t="s">
        <v>2704</v>
      </c>
      <c r="C26" s="2690" t="str">
        <f>B1</f>
        <v>车库</v>
      </c>
      <c r="D26" s="448">
        <v>100</v>
      </c>
      <c r="E26" s="447" t="s">
        <v>3069</v>
      </c>
      <c r="F26" s="449">
        <f>SUMIF(79:79,E26,80:80)-SUMIF(79:79,C26,80:80)+100</f>
        <v>100</v>
      </c>
      <c r="G26" s="447" t="s">
        <v>3069</v>
      </c>
      <c r="H26" s="448">
        <f>SUMIF(79:79,G26,80:80)-SUMIF(79:79,C26,80:80)+100</f>
        <v>100</v>
      </c>
      <c r="I26" s="447" t="s">
        <v>3069</v>
      </c>
      <c r="J26" s="448">
        <f>SUMIF(79:79,I26,80:80)-SUMIF(79:79,C26,80:80)+100</f>
        <v>100</v>
      </c>
      <c r="K26" s="612"/>
      <c r="L26" s="1143"/>
      <c r="M26" s="1134"/>
      <c r="N26" s="1134"/>
      <c r="O26" s="1134"/>
      <c r="P26" s="3172"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3"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14">
        <f t="shared" si="3"/>
        <v>1</v>
      </c>
      <c r="AB27" s="1814">
        <f t="shared" si="4"/>
        <v>1</v>
      </c>
      <c r="AC27" s="1814">
        <f t="shared" si="5"/>
        <v>1</v>
      </c>
    </row>
    <row r="28" spans="1:29" ht="15">
      <c r="A28" s="656"/>
      <c r="B28" s="654" t="s">
        <v>2706</v>
      </c>
      <c r="C28" s="460" t="s">
        <v>3090</v>
      </c>
      <c r="D28" s="435">
        <v>100</v>
      </c>
      <c r="E28" s="460" t="s">
        <v>3090</v>
      </c>
      <c r="F28" s="461">
        <f>SUMIF(83:83,E28,84:84)-SUMIF(83:83,C28,84:84)+100</f>
        <v>100</v>
      </c>
      <c r="G28" s="460" t="s">
        <v>3090</v>
      </c>
      <c r="H28" s="435">
        <f>SUMIF(83:83,G28,84:84)-SUMIF(83:83,C28,84:84)+100</f>
        <v>100</v>
      </c>
      <c r="I28" s="460" t="s">
        <v>3090</v>
      </c>
      <c r="J28" s="435">
        <f>SUMIF(83:83,I28,84:84)-SUMIF(83:83,C28,84:84)+100</f>
        <v>100</v>
      </c>
      <c r="K28" s="612"/>
      <c r="L28" s="1143"/>
      <c r="M28" s="1134"/>
      <c r="N28" s="1134"/>
      <c r="O28" s="1134"/>
      <c r="P28" s="3173"/>
      <c r="Q28" s="1813" t="str">
        <f t="shared" si="11"/>
        <v>公共部分装修</v>
      </c>
      <c r="R28" s="774" t="s">
        <v>17</v>
      </c>
      <c r="S28" s="775">
        <f t="shared" si="12"/>
        <v>100</v>
      </c>
      <c r="T28" s="774" t="s">
        <v>17</v>
      </c>
      <c r="U28" s="775">
        <f t="shared" si="13"/>
        <v>100</v>
      </c>
      <c r="V28" s="774" t="s">
        <v>17</v>
      </c>
      <c r="W28" s="775">
        <f t="shared" si="14"/>
        <v>100</v>
      </c>
      <c r="X28" s="1816"/>
      <c r="Y28" s="3173"/>
      <c r="Z28" s="1817" t="str">
        <f t="shared" si="15"/>
        <v>公共部分装修</v>
      </c>
      <c r="AA28" s="1814">
        <f t="shared" si="3"/>
        <v>1</v>
      </c>
      <c r="AB28" s="1814">
        <f t="shared" si="4"/>
        <v>1</v>
      </c>
      <c r="AC28" s="1814">
        <f t="shared" si="5"/>
        <v>1</v>
      </c>
    </row>
    <row r="29" spans="1:29" ht="15">
      <c r="A29" s="656"/>
      <c r="B29" s="654" t="s">
        <v>2707</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3"/>
      <c r="M29" s="1134"/>
      <c r="N29" s="1134"/>
      <c r="O29" s="1134"/>
      <c r="P29" s="3173"/>
      <c r="Q29" s="1813" t="str">
        <f t="shared" si="11"/>
        <v>成新率</v>
      </c>
      <c r="R29" s="774" t="s">
        <v>17</v>
      </c>
      <c r="S29" s="775">
        <f t="shared" si="12"/>
        <v>100</v>
      </c>
      <c r="T29" s="774" t="s">
        <v>17</v>
      </c>
      <c r="U29" s="775">
        <f t="shared" si="13"/>
        <v>100</v>
      </c>
      <c r="V29" s="774" t="s">
        <v>17</v>
      </c>
      <c r="W29" s="775">
        <f t="shared" si="14"/>
        <v>100</v>
      </c>
      <c r="X29" s="1816"/>
      <c r="Y29" s="3173"/>
      <c r="Z29" s="1817" t="str">
        <f t="shared" si="15"/>
        <v>成新率</v>
      </c>
      <c r="AA29" s="1814">
        <f t="shared" si="3"/>
        <v>1</v>
      </c>
      <c r="AB29" s="1814">
        <f t="shared" si="4"/>
        <v>1</v>
      </c>
      <c r="AC29" s="1814">
        <f t="shared" si="5"/>
        <v>1</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3"/>
      <c r="Q30" s="1813" t="str">
        <f t="shared" si="11"/>
        <v>物业等级</v>
      </c>
      <c r="R30" s="774" t="s">
        <v>17</v>
      </c>
      <c r="S30" s="775">
        <f t="shared" si="12"/>
        <v>100</v>
      </c>
      <c r="T30" s="774" t="s">
        <v>17</v>
      </c>
      <c r="U30" s="775">
        <f t="shared" si="13"/>
        <v>100</v>
      </c>
      <c r="V30" s="774" t="s">
        <v>17</v>
      </c>
      <c r="W30" s="775">
        <f t="shared" si="14"/>
        <v>100</v>
      </c>
      <c r="X30" s="1816"/>
      <c r="Y30" s="3173"/>
      <c r="Z30" s="1817" t="str">
        <f t="shared" si="15"/>
        <v>物业等级</v>
      </c>
      <c r="AA30" s="1814">
        <f t="shared" si="3"/>
        <v>1</v>
      </c>
      <c r="AB30" s="1814">
        <f t="shared" si="4"/>
        <v>1</v>
      </c>
      <c r="AC30" s="1814">
        <f t="shared" si="5"/>
        <v>1</v>
      </c>
    </row>
    <row r="31" spans="1:29" s="117" customFormat="1" ht="15">
      <c r="A31" s="658"/>
      <c r="B31" s="654" t="s">
        <v>2709</v>
      </c>
      <c r="C31" s="469">
        <v>36</v>
      </c>
      <c r="D31" s="136">
        <v>100</v>
      </c>
      <c r="E31" s="469">
        <v>12.7</v>
      </c>
      <c r="F31" s="461">
        <f>LOOKUP(E31,91:91,92:92)-LOOKUP(C31,91:91,92:92)+100</f>
        <v>98</v>
      </c>
      <c r="G31" s="469">
        <v>13.2</v>
      </c>
      <c r="H31" s="435">
        <f>LOOKUP(G31,91:91,92:92)-LOOKUP(C31,91:91,92:92)+100</f>
        <v>98</v>
      </c>
      <c r="I31" s="469">
        <v>13</v>
      </c>
      <c r="J31" s="435">
        <f>LOOKUP(I31,91:91,92:92)-LOOKUP(C31,91:91,92:92)+100</f>
        <v>98</v>
      </c>
      <c r="K31" s="612"/>
      <c r="L31" s="1135"/>
      <c r="M31" s="1136"/>
      <c r="N31" s="1136"/>
      <c r="O31" s="1136"/>
      <c r="P31" s="3173"/>
      <c r="Q31" s="1798" t="str">
        <f t="shared" si="11"/>
        <v>停车位面积</v>
      </c>
      <c r="R31" s="770" t="s">
        <v>17</v>
      </c>
      <c r="S31" s="771">
        <f t="shared" si="12"/>
        <v>98</v>
      </c>
      <c r="T31" s="770" t="s">
        <v>17</v>
      </c>
      <c r="U31" s="771">
        <f t="shared" si="13"/>
        <v>98</v>
      </c>
      <c r="V31" s="770" t="s">
        <v>17</v>
      </c>
      <c r="W31" s="771">
        <f t="shared" si="14"/>
        <v>98</v>
      </c>
      <c r="X31" s="772"/>
      <c r="Y31" s="3173"/>
      <c r="Z31" s="55" t="str">
        <f t="shared" si="15"/>
        <v>停车位面积</v>
      </c>
      <c r="AA31" s="773">
        <f t="shared" si="3"/>
        <v>1.0204081632653061</v>
      </c>
      <c r="AB31" s="773">
        <f t="shared" si="4"/>
        <v>1.0204081632653061</v>
      </c>
      <c r="AC31" s="773">
        <f t="shared" si="5"/>
        <v>1.0204081632653061</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3" t="s">
        <v>2557</v>
      </c>
      <c r="Q32" s="1813" t="str">
        <f t="shared" si="11"/>
        <v>车位类型</v>
      </c>
      <c r="R32" s="774" t="s">
        <v>17</v>
      </c>
      <c r="S32" s="775">
        <f t="shared" si="12"/>
        <v>100</v>
      </c>
      <c r="T32" s="774" t="s">
        <v>17</v>
      </c>
      <c r="U32" s="775">
        <f t="shared" si="13"/>
        <v>100</v>
      </c>
      <c r="V32" s="774" t="s">
        <v>17</v>
      </c>
      <c r="W32" s="775">
        <f t="shared" si="14"/>
        <v>100</v>
      </c>
      <c r="X32" s="1816"/>
      <c r="Y32" s="3173"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3"/>
      <c r="Q33" s="1813" t="str">
        <f t="shared" si="11"/>
        <v>是否直接入户</v>
      </c>
      <c r="R33" s="774" t="s">
        <v>17</v>
      </c>
      <c r="S33" s="775">
        <f t="shared" si="12"/>
        <v>100</v>
      </c>
      <c r="T33" s="774" t="s">
        <v>17</v>
      </c>
      <c r="U33" s="775">
        <f t="shared" si="13"/>
        <v>100</v>
      </c>
      <c r="V33" s="774" t="s">
        <v>17</v>
      </c>
      <c r="W33" s="775">
        <f t="shared" si="14"/>
        <v>100</v>
      </c>
      <c r="X33" s="1816"/>
      <c r="Y33" s="3173"/>
      <c r="Z33" s="1817" t="str">
        <f t="shared" si="15"/>
        <v>是否直接入户</v>
      </c>
      <c r="AA33" s="1814">
        <f t="shared" si="3"/>
        <v>1</v>
      </c>
      <c r="AB33" s="1814">
        <f t="shared" si="4"/>
        <v>1</v>
      </c>
      <c r="AC33" s="1814">
        <f t="shared" si="5"/>
        <v>1</v>
      </c>
    </row>
    <row r="34" spans="1:29" ht="15.75" thickBot="1">
      <c r="A34" s="656"/>
      <c r="B34" s="2951" t="s">
        <v>3094</v>
      </c>
      <c r="C34" s="2953" t="s">
        <v>3263</v>
      </c>
      <c r="D34" s="435">
        <v>100</v>
      </c>
      <c r="E34" s="2953" t="s">
        <v>3097</v>
      </c>
      <c r="F34" s="461">
        <f>SUMIF(97:97,E34,98:98)-SUMIF(97:97,C34,98:98)+100</f>
        <v>103</v>
      </c>
      <c r="G34" s="2953" t="s">
        <v>3095</v>
      </c>
      <c r="H34" s="435">
        <f>SUMIF(97:97,G34,98:98)-SUMIF(97:97,C34,98:98)+100</f>
        <v>100</v>
      </c>
      <c r="I34" s="2953" t="s">
        <v>3095</v>
      </c>
      <c r="J34" s="435">
        <f>SUMIF(97:97,I34,98:98)-SUMIF(97:97,C34,98:98)+100</f>
        <v>100</v>
      </c>
      <c r="K34" s="613"/>
      <c r="L34" s="1143"/>
      <c r="M34" s="1134"/>
      <c r="N34" s="1134"/>
      <c r="O34" s="1134"/>
      <c r="P34" s="3173"/>
      <c r="Q34" s="1813" t="str">
        <f t="shared" si="11"/>
        <v>地上用途</v>
      </c>
      <c r="R34" s="774" t="s">
        <v>17</v>
      </c>
      <c r="S34" s="775">
        <f t="shared" si="12"/>
        <v>103</v>
      </c>
      <c r="T34" s="774" t="s">
        <v>17</v>
      </c>
      <c r="U34" s="775">
        <f t="shared" si="13"/>
        <v>100</v>
      </c>
      <c r="V34" s="774" t="s">
        <v>17</v>
      </c>
      <c r="W34" s="775">
        <f t="shared" si="14"/>
        <v>100</v>
      </c>
      <c r="X34" s="1816"/>
      <c r="Y34" s="3173"/>
      <c r="Z34" s="1817" t="str">
        <f t="shared" si="15"/>
        <v>地上用途</v>
      </c>
      <c r="AA34" s="1814">
        <f t="shared" si="3"/>
        <v>0.970873786407767</v>
      </c>
      <c r="AB34" s="1814">
        <f t="shared" si="4"/>
        <v>1</v>
      </c>
      <c r="AC34" s="1814">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14">
        <f t="shared" si="3"/>
        <v>1</v>
      </c>
      <c r="AB35" s="1814">
        <f t="shared" si="4"/>
        <v>1</v>
      </c>
      <c r="AC35" s="1814">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3"/>
      <c r="Q36" s="1813">
        <f t="shared" si="11"/>
        <v>111</v>
      </c>
      <c r="R36" s="774" t="s">
        <v>17</v>
      </c>
      <c r="S36" s="775">
        <f t="shared" si="12"/>
        <v>100</v>
      </c>
      <c r="T36" s="774" t="s">
        <v>17</v>
      </c>
      <c r="U36" s="775">
        <f t="shared" si="13"/>
        <v>100</v>
      </c>
      <c r="V36" s="774" t="s">
        <v>17</v>
      </c>
      <c r="W36" s="775">
        <f t="shared" si="14"/>
        <v>100</v>
      </c>
      <c r="X36" s="1816"/>
      <c r="Y36" s="3173"/>
      <c r="Z36" s="1817">
        <f t="shared" si="15"/>
        <v>111</v>
      </c>
      <c r="AA36" s="1814">
        <f t="shared" si="3"/>
        <v>1</v>
      </c>
      <c r="AB36" s="1814">
        <f t="shared" si="4"/>
        <v>1</v>
      </c>
      <c r="AC36" s="1814">
        <f t="shared" si="5"/>
        <v>1</v>
      </c>
    </row>
    <row r="37" spans="1:29" ht="15">
      <c r="A37" s="479" t="s">
        <v>2712</v>
      </c>
      <c r="B37" s="2691" t="s">
        <v>3071</v>
      </c>
      <c r="C37" s="1410" t="s">
        <v>1</v>
      </c>
      <c r="D37" s="1411"/>
      <c r="E37" s="1412">
        <f>240000*0.95</f>
        <v>228000</v>
      </c>
      <c r="F37" s="1413"/>
      <c r="G37" s="1414">
        <f>200000*0.95</f>
        <v>190000</v>
      </c>
      <c r="H37" s="1415"/>
      <c r="I37" s="1412">
        <f>230000*0.95</f>
        <v>218500</v>
      </c>
      <c r="J37" s="1415"/>
      <c r="K37" s="619"/>
      <c r="L37" s="1146"/>
      <c r="M37" s="1147"/>
      <c r="N37" s="1134"/>
      <c r="O37" s="1147"/>
      <c r="P37" s="3168" t="str">
        <f>A37</f>
        <v>成交单价</v>
      </c>
      <c r="Q37" s="3168"/>
      <c r="R37" s="3233">
        <f>E37</f>
        <v>228000</v>
      </c>
      <c r="S37" s="3233"/>
      <c r="T37" s="3233">
        <f>G37</f>
        <v>190000</v>
      </c>
      <c r="U37" s="3233"/>
      <c r="V37" s="3233">
        <f>I37</f>
        <v>218500</v>
      </c>
      <c r="W37" s="3233"/>
      <c r="X37" s="759"/>
      <c r="Y37" s="781"/>
      <c r="Z37" s="759"/>
      <c r="AA37" s="759"/>
      <c r="AB37" s="759"/>
      <c r="AC37" s="759"/>
    </row>
    <row r="38" spans="1:29" ht="15.75" thickBot="1">
      <c r="A38" s="486" t="s">
        <v>2713</v>
      </c>
      <c r="B38" s="487" t="str">
        <f>B37</f>
        <v>元/车位</v>
      </c>
      <c r="C38" s="1416">
        <f>R39</f>
        <v>215774</v>
      </c>
      <c r="D38" s="1417"/>
      <c r="E38" s="1418">
        <f>R38</f>
        <v>230486</v>
      </c>
      <c r="F38" s="1418"/>
      <c r="G38" s="1416">
        <f>T38</f>
        <v>193878</v>
      </c>
      <c r="H38" s="1417"/>
      <c r="I38" s="1418">
        <f>V38</f>
        <v>222959</v>
      </c>
      <c r="J38" s="1417"/>
      <c r="K38" s="620"/>
      <c r="L38" s="1146"/>
      <c r="M38" s="1147"/>
      <c r="N38" s="1147"/>
      <c r="O38" s="1147"/>
      <c r="P38" s="3168" t="str">
        <f>A38</f>
        <v>比较价值（元/平方米）</v>
      </c>
      <c r="Q38" s="3168"/>
      <c r="R38" s="3233">
        <f>IF(F1="售价",ROUND(PRODUCT(R37,AA7:AA36),0),ROUND(PRODUCT(R37,AA7:AA36),1))</f>
        <v>230486</v>
      </c>
      <c r="S38" s="3233"/>
      <c r="T38" s="3233">
        <f>IF(F1="售价",ROUND(PRODUCT(T37,AB7:AB36),0),ROUND(PRODUCT(T37,AB7:AB36),1))</f>
        <v>193878</v>
      </c>
      <c r="U38" s="3233"/>
      <c r="V38" s="3233">
        <f>IF(F1="售价",ROUND(PRODUCT(V37,AC7:AC36),0),ROUND(PRODUCT(V37,AC7:AC36),1))</f>
        <v>222959</v>
      </c>
      <c r="W38" s="3233"/>
      <c r="X38" s="759"/>
      <c r="Y38" s="759"/>
      <c r="Z38" s="759"/>
      <c r="AA38" s="759"/>
      <c r="AB38" s="759"/>
      <c r="AC38" s="759"/>
    </row>
    <row r="39" spans="1:29" ht="15.75" thickBot="1">
      <c r="A39" s="492" t="s">
        <v>2714</v>
      </c>
      <c r="B39" s="493"/>
      <c r="C39" s="1420">
        <f>R39</f>
        <v>215774</v>
      </c>
      <c r="D39" s="1420"/>
      <c r="E39" s="1420"/>
      <c r="F39" s="1420"/>
      <c r="G39" s="1420"/>
      <c r="H39" s="1420"/>
      <c r="I39" s="1420"/>
      <c r="J39" s="1420"/>
      <c r="K39" s="621"/>
      <c r="L39" s="1146"/>
      <c r="M39" s="1147"/>
      <c r="N39" s="1147"/>
      <c r="O39" s="1147"/>
      <c r="P39" s="3162" t="str">
        <f>A39</f>
        <v>估价对象XX用房的比较价值（楼面单价，元/平方米）</v>
      </c>
      <c r="Q39" s="3163"/>
      <c r="R39" s="3232">
        <f>IF(F1="售价",ROUND(AVERAGE(R38:V38),0),ROUND(AVERAGE(R38:V38),1))</f>
        <v>215774</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f>IF(E37&lt;E38,E38/E37-1,E37/E38-1)</f>
        <v>1.0903508771929804E-2</v>
      </c>
      <c r="F42" s="500" t="str">
        <f>IF(OR(E42&gt;=0.3,E42&lt;=-0.3),"超过30%","")</f>
        <v/>
      </c>
      <c r="G42" s="499">
        <f>IF(G37&lt;G38,G38/G37-1,G37/G38-1)</f>
        <v>2.0410526315789435E-2</v>
      </c>
      <c r="H42" s="500" t="str">
        <f>IF(OR(G42&gt;=0.3,G42&lt;=-0.3),"超过30%","")</f>
        <v/>
      </c>
      <c r="I42" s="499">
        <f>IF(I37&lt;I38,I38/I37-1,I37/I38-1)</f>
        <v>2.0407322654462323E-2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f>IF(E38&lt;G38,G38/E38-1,E38/G38-1)</f>
        <v>0.18881977325947252</v>
      </c>
      <c r="F43" s="500" t="str">
        <f>IF(OR(E43&gt;=0.2,E43&lt;=-0.2),"超过20%","")</f>
        <v/>
      </c>
      <c r="G43" s="499">
        <f>IF(G38&lt;I38,I38/G38-1,G38/I38-1)</f>
        <v>0.1499963894820453</v>
      </c>
      <c r="H43" s="500" t="str">
        <f>IF(OR(G43&gt;=0.2,G43&lt;=-0.2),"超过20%","")</f>
        <v/>
      </c>
      <c r="I43" s="499">
        <f>IF(I38&lt;E38,E38/I38-1,I38/E38-1)</f>
        <v>3.3759570145183604E-2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f>IF(E37&lt;G37,G37/E37-1,E37/G37-1)</f>
        <v>0.19999999999999996</v>
      </c>
      <c r="F44" s="500" t="str">
        <f>IF(OR(E44&gt;=0.3,E44&lt;=-0.3),"超过30%","")</f>
        <v/>
      </c>
      <c r="G44" s="499">
        <f>IF(G37&lt;I37,I37/G37-1,G37/I37-1)</f>
        <v>0.14999999999999991</v>
      </c>
      <c r="H44" s="500" t="str">
        <f>IF(OR(G44&gt;=0.3,G44&lt;=-0.3),"超过30%","")</f>
        <v/>
      </c>
      <c r="I44" s="499">
        <f>IF(I37&lt;E37,E37/I37-1,I37/E37-1)</f>
        <v>4.3478260869565188E-2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t="str">
        <f>C9</f>
        <v>地下车库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2721</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2949" t="s">
        <v>3089</v>
      </c>
      <c r="D83" s="2949" t="s">
        <v>3091</v>
      </c>
      <c r="E83" s="2950" t="s">
        <v>3092</v>
      </c>
      <c r="F83" s="2950" t="s">
        <v>3093</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0(含)-15</v>
      </c>
      <c r="D90" s="578" t="str">
        <f t="shared" ref="D90:L90" si="21">D91&amp;"(含)"&amp;"-"&amp;E91</f>
        <v>15(含)-30</v>
      </c>
      <c r="E90" s="578" t="str">
        <f t="shared" si="21"/>
        <v>30(含)-45</v>
      </c>
      <c r="F90" s="578" t="str">
        <f t="shared" si="21"/>
        <v>45(含)-60</v>
      </c>
      <c r="G90" s="578" t="str">
        <f t="shared" si="21"/>
        <v>60(含)-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15</v>
      </c>
      <c r="E91" s="595">
        <v>30</v>
      </c>
      <c r="F91" s="595">
        <v>45</v>
      </c>
      <c r="G91" s="595">
        <v>60</v>
      </c>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v>104</v>
      </c>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2949" t="s">
        <v>3088</v>
      </c>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2948" t="s">
        <v>3086</v>
      </c>
      <c r="D95" s="2948" t="s">
        <v>3087</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地上用途</v>
      </c>
      <c r="C97" s="2952" t="s">
        <v>3097</v>
      </c>
      <c r="D97" s="2952" t="s">
        <v>3095</v>
      </c>
      <c r="E97" s="2952" t="s">
        <v>3096</v>
      </c>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97</v>
      </c>
      <c r="E98" s="536">
        <v>94</v>
      </c>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disablePrompts="1"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4"/>
      <c r="D2" s="1127" t="e">
        <f ca="1">SUMIF(INDIRECT("'"&amp;F2&amp;"'"&amp;"!A:A"),"承租人权益价值",INDIRECT("'"&amp;F2&amp;"'"&amp;"!c:c"))</f>
        <v>#REF!</v>
      </c>
      <c r="E2" s="2585" t="s">
        <v>2323</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6" t="s">
        <v>2640</v>
      </c>
      <c r="AC4" s="3175" t="s">
        <v>2641</v>
      </c>
    </row>
    <row r="5" spans="1:29" ht="15">
      <c r="A5" s="404"/>
      <c r="B5" s="405"/>
      <c r="C5" s="3195" t="s">
        <v>2534</v>
      </c>
      <c r="D5" s="3196"/>
      <c r="E5" s="3203" t="s">
        <v>2535</v>
      </c>
      <c r="F5" s="3204"/>
      <c r="G5" s="3195" t="s">
        <v>2536</v>
      </c>
      <c r="H5" s="3196"/>
      <c r="I5" s="3195" t="s">
        <v>2537</v>
      </c>
      <c r="J5" s="3196"/>
      <c r="K5" s="610"/>
      <c r="L5" s="1133"/>
      <c r="M5" s="1134"/>
      <c r="N5" s="1134"/>
      <c r="O5" s="1134"/>
      <c r="P5" s="3183"/>
      <c r="Q5" s="3184"/>
      <c r="R5" s="3189"/>
      <c r="S5" s="3190"/>
      <c r="T5" s="3189"/>
      <c r="U5" s="3190"/>
      <c r="V5" s="3174"/>
      <c r="W5" s="3174"/>
      <c r="X5" s="1816"/>
      <c r="Y5" s="3189"/>
      <c r="Z5" s="3190"/>
      <c r="AA5" s="3176"/>
      <c r="AB5" s="3176"/>
      <c r="AC5" s="3176"/>
    </row>
    <row r="6" spans="1:29" ht="15.75" thickBot="1">
      <c r="A6" s="406"/>
      <c r="B6" s="407"/>
      <c r="C6" s="3240" t="s">
        <v>2538</v>
      </c>
      <c r="D6" s="3194"/>
      <c r="E6" s="3256" t="s">
        <v>2538</v>
      </c>
      <c r="F6" s="3202"/>
      <c r="G6" s="3240" t="s">
        <v>2538</v>
      </c>
      <c r="H6" s="3194"/>
      <c r="I6" s="3240" t="s">
        <v>2538</v>
      </c>
      <c r="J6" s="3194"/>
      <c r="K6" s="610" t="s">
        <v>2539</v>
      </c>
      <c r="L6" s="1133"/>
      <c r="M6" s="1134"/>
      <c r="N6" s="1134"/>
      <c r="O6" s="1134"/>
      <c r="P6" s="3185"/>
      <c r="Q6" s="3186"/>
      <c r="R6" s="3189"/>
      <c r="S6" s="3190"/>
      <c r="T6" s="3191"/>
      <c r="U6" s="3192"/>
      <c r="V6" s="3174"/>
      <c r="W6" s="3174"/>
      <c r="X6" s="1816"/>
      <c r="Y6" s="3191"/>
      <c r="Z6" s="3192"/>
      <c r="AA6" s="3177"/>
      <c r="AB6" s="3177"/>
      <c r="AC6" s="3177"/>
    </row>
    <row r="7" spans="1:29" s="117" customFormat="1" ht="15.75" thickBot="1">
      <c r="A7" s="408" t="s">
        <v>2540</v>
      </c>
      <c r="B7" s="409"/>
      <c r="C7" s="410">
        <f>'数据-取费表'!B2</f>
        <v>43369</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7" t="s">
        <v>2541</v>
      </c>
      <c r="Q7" s="3199"/>
      <c r="R7" s="770" t="s">
        <v>17</v>
      </c>
      <c r="S7" s="771">
        <f t="shared" ref="S7:S14" si="0">F7</f>
        <v>0</v>
      </c>
      <c r="T7" s="770" t="s">
        <v>17</v>
      </c>
      <c r="U7" s="771">
        <f t="shared" ref="U7:U14" si="1">H7</f>
        <v>0</v>
      </c>
      <c r="V7" s="770" t="s">
        <v>17</v>
      </c>
      <c r="W7" s="771">
        <f t="shared" ref="W7:W14" si="2">J7</f>
        <v>0</v>
      </c>
      <c r="X7" s="772"/>
      <c r="Y7" s="3197" t="s">
        <v>2541</v>
      </c>
      <c r="Z7" s="3198"/>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2544</v>
      </c>
      <c r="Q8" s="3198"/>
      <c r="R8" s="770" t="s">
        <v>17</v>
      </c>
      <c r="S8" s="771">
        <f t="shared" si="0"/>
        <v>0</v>
      </c>
      <c r="T8" s="770" t="s">
        <v>17</v>
      </c>
      <c r="U8" s="771">
        <f t="shared" si="1"/>
        <v>0</v>
      </c>
      <c r="V8" s="770" t="s">
        <v>17</v>
      </c>
      <c r="W8" s="771">
        <f t="shared" si="2"/>
        <v>0</v>
      </c>
      <c r="X8" s="772"/>
      <c r="Y8" s="3197" t="s">
        <v>2544</v>
      </c>
      <c r="Z8" s="3198"/>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2547</v>
      </c>
      <c r="Q9" s="1798" t="str">
        <f t="shared" ref="Q9:Q14" si="6">B9</f>
        <v>用途</v>
      </c>
      <c r="R9" s="770" t="s">
        <v>17</v>
      </c>
      <c r="S9" s="771">
        <f t="shared" si="0"/>
        <v>100</v>
      </c>
      <c r="T9" s="770" t="s">
        <v>17</v>
      </c>
      <c r="U9" s="771">
        <f t="shared" si="1"/>
        <v>100</v>
      </c>
      <c r="V9" s="770" t="s">
        <v>17</v>
      </c>
      <c r="W9" s="771">
        <f t="shared" si="2"/>
        <v>100</v>
      </c>
      <c r="X9" s="772"/>
      <c r="Y9" s="3016"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28.25">
      <c r="A14" s="440" t="s">
        <v>2551</v>
      </c>
      <c r="B14" s="69" t="s">
        <v>2701</v>
      </c>
      <c r="C14" s="2689" t="str">
        <f>IF(B1="工业",估价对象房地状况!G4,估价对象房地状况!C6)</f>
        <v>估价对象周边路网密集程度一般、公共交通通达情况一般，有7路、11路、35路等公共交通，停车便捷程度一般，综合评价交通便捷度一般。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0" t="s">
        <v>2552</v>
      </c>
      <c r="Q14" s="1813" t="str">
        <f t="shared" si="6"/>
        <v>交通便捷度</v>
      </c>
      <c r="R14" s="774" t="s">
        <v>17</v>
      </c>
      <c r="S14" s="775">
        <f t="shared" si="0"/>
        <v>100</v>
      </c>
      <c r="T14" s="774" t="s">
        <v>17</v>
      </c>
      <c r="U14" s="775">
        <f t="shared" si="1"/>
        <v>100</v>
      </c>
      <c r="V14" s="774" t="s">
        <v>17</v>
      </c>
      <c r="W14" s="775">
        <f t="shared" si="2"/>
        <v>100</v>
      </c>
      <c r="X14" s="1816"/>
      <c r="Y14" s="3170"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1"/>
      <c r="Q15" s="1813"/>
      <c r="R15" s="774"/>
      <c r="S15" s="775"/>
      <c r="T15" s="774"/>
      <c r="U15" s="775"/>
      <c r="V15" s="774"/>
      <c r="W15" s="775"/>
      <c r="X15" s="1816"/>
      <c r="Y15" s="3171"/>
      <c r="Z15" s="1817"/>
      <c r="AA15" s="1814">
        <v>1</v>
      </c>
      <c r="AB15" s="1814">
        <v>1</v>
      </c>
      <c r="AC15" s="1814">
        <v>1</v>
      </c>
    </row>
    <row r="16" spans="1:29" ht="199.5">
      <c r="A16" s="428"/>
      <c r="B16" s="451" t="s">
        <v>2680</v>
      </c>
      <c r="C16" s="2604" t="str">
        <f>IF(B1="工业",估价对象房地状况!G5,估价对象房地状况!C7)</f>
        <v>估价对象所在区域2公里内有：银行（中国银行、泉州银行），购物（香港城购物中心、新天意购物广场），医院（丰泽常橙医院、华侨大学医院），学校（城东中学、鹤山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1"/>
      <c r="Q16" s="1813" t="str">
        <f>B16</f>
        <v>公共配套设施</v>
      </c>
      <c r="R16" s="774" t="s">
        <v>17</v>
      </c>
      <c r="S16" s="775">
        <f>F16</f>
        <v>100</v>
      </c>
      <c r="T16" s="774" t="s">
        <v>17</v>
      </c>
      <c r="U16" s="775">
        <f>H16</f>
        <v>100</v>
      </c>
      <c r="V16" s="774" t="s">
        <v>17</v>
      </c>
      <c r="W16" s="775">
        <f>J16</f>
        <v>100</v>
      </c>
      <c r="X16" s="1816"/>
      <c r="Y16" s="3171"/>
      <c r="Z16" s="1817" t="str">
        <f>Q16</f>
        <v>公共配套设施</v>
      </c>
      <c r="AA16" s="1814">
        <f t="shared" si="3"/>
        <v>1</v>
      </c>
      <c r="AB16" s="1814">
        <f t="shared" si="4"/>
        <v>1</v>
      </c>
      <c r="AC16" s="1814">
        <f t="shared" si="5"/>
        <v>1</v>
      </c>
    </row>
    <row r="17" spans="1:29" ht="15">
      <c r="A17" s="428"/>
      <c r="B17" s="456"/>
      <c r="C17" s="2605"/>
      <c r="D17" s="448"/>
      <c r="E17" s="447"/>
      <c r="F17" s="449"/>
      <c r="G17" s="447"/>
      <c r="H17" s="448"/>
      <c r="I17" s="447"/>
      <c r="J17" s="448"/>
      <c r="K17" s="615"/>
      <c r="L17" s="1143"/>
      <c r="M17" s="1134"/>
      <c r="N17" s="1134"/>
      <c r="O17" s="1142"/>
      <c r="P17" s="3171"/>
      <c r="Q17" s="1813"/>
      <c r="R17" s="774"/>
      <c r="S17" s="775"/>
      <c r="T17" s="774"/>
      <c r="U17" s="775"/>
      <c r="V17" s="774"/>
      <c r="W17" s="775"/>
      <c r="X17" s="1816"/>
      <c r="Y17" s="3171"/>
      <c r="Z17" s="1817"/>
      <c r="AA17" s="1814">
        <v>1</v>
      </c>
      <c r="AB17" s="1814">
        <v>1</v>
      </c>
      <c r="AC17" s="1814">
        <v>1</v>
      </c>
    </row>
    <row r="18" spans="1:29" ht="42.75">
      <c r="A18" s="428"/>
      <c r="B18" s="1387" t="s">
        <v>2681</v>
      </c>
      <c r="C18" s="2604" t="str">
        <f>IF(B1="工业",估价对象房地状况!G6,估价对象房地状况!C8)</f>
        <v>估价对象所在区域基础设施水平达到“五通”。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1"/>
      <c r="Q18" s="1813" t="str">
        <f>B18</f>
        <v>基础设施水平</v>
      </c>
      <c r="R18" s="774" t="s">
        <v>17</v>
      </c>
      <c r="S18" s="775">
        <f>F18</f>
        <v>100</v>
      </c>
      <c r="T18" s="774" t="s">
        <v>17</v>
      </c>
      <c r="U18" s="775">
        <f>H18</f>
        <v>100</v>
      </c>
      <c r="V18" s="774" t="s">
        <v>17</v>
      </c>
      <c r="W18" s="775">
        <f>J18</f>
        <v>100</v>
      </c>
      <c r="X18" s="1816"/>
      <c r="Y18" s="3171"/>
      <c r="Z18" s="1817" t="str">
        <f>Q18</f>
        <v>基础设施水平</v>
      </c>
      <c r="AA18" s="1814">
        <f t="shared" ref="AA18" si="8">D18/F18</f>
        <v>1</v>
      </c>
      <c r="AB18" s="1814">
        <f t="shared" ref="AB18" si="9">D18/H18</f>
        <v>1</v>
      </c>
      <c r="AC18" s="1814">
        <f t="shared" ref="AC18" si="10">D18/J18</f>
        <v>1</v>
      </c>
    </row>
    <row r="19" spans="1:29" ht="15">
      <c r="A19" s="428"/>
      <c r="B19" s="1387"/>
      <c r="C19" s="2605"/>
      <c r="D19" s="450"/>
      <c r="E19" s="2605"/>
      <c r="F19" s="453"/>
      <c r="G19" s="2605"/>
      <c r="H19" s="448"/>
      <c r="I19" s="447"/>
      <c r="J19" s="448"/>
      <c r="K19" s="1386"/>
      <c r="L19" s="1143"/>
      <c r="M19" s="1134"/>
      <c r="N19" s="1134"/>
      <c r="O19" s="1142"/>
      <c r="P19" s="3171"/>
      <c r="Q19" s="1813"/>
      <c r="R19" s="774"/>
      <c r="S19" s="775"/>
      <c r="T19" s="774"/>
      <c r="U19" s="775"/>
      <c r="V19" s="774"/>
      <c r="W19" s="775"/>
      <c r="X19" s="1816"/>
      <c r="Y19" s="3171"/>
      <c r="Z19" s="1817"/>
      <c r="AA19" s="1814">
        <v>1</v>
      </c>
      <c r="AB19" s="1814">
        <v>1</v>
      </c>
      <c r="AC19" s="1814">
        <v>1</v>
      </c>
    </row>
    <row r="20" spans="1:29" ht="114">
      <c r="A20" s="428"/>
      <c r="B20" s="451" t="s">
        <v>2702</v>
      </c>
      <c r="C20" s="2604" t="str">
        <f>IF(B1="工业",估价对象房地状况!G7,估价对象房地状况!C9)</f>
        <v>区域自然环境：绿化条件较好，2公里内无公园；人文环境：有华侨大学等人文景观；综合评价环境状况一般。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1"/>
      <c r="Q20" s="1813" t="str">
        <f>B20</f>
        <v>自然及人文环境</v>
      </c>
      <c r="R20" s="774" t="s">
        <v>17</v>
      </c>
      <c r="S20" s="775">
        <f>F20</f>
        <v>100</v>
      </c>
      <c r="T20" s="774" t="s">
        <v>17</v>
      </c>
      <c r="U20" s="775">
        <f>H20</f>
        <v>100</v>
      </c>
      <c r="V20" s="774" t="s">
        <v>17</v>
      </c>
      <c r="W20" s="775">
        <f>J20</f>
        <v>100</v>
      </c>
      <c r="X20" s="1816"/>
      <c r="Y20" s="317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1"/>
      <c r="Q21" s="1813"/>
      <c r="R21" s="774"/>
      <c r="S21" s="775"/>
      <c r="T21" s="774"/>
      <c r="U21" s="775"/>
      <c r="V21" s="774"/>
      <c r="W21" s="775"/>
      <c r="X21" s="1816"/>
      <c r="Y21" s="3171"/>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1"/>
      <c r="Q22" s="1813" t="str">
        <f>B22</f>
        <v>楼层</v>
      </c>
      <c r="R22" s="774" t="s">
        <v>17</v>
      </c>
      <c r="S22" s="775">
        <f>F22</f>
        <v>100</v>
      </c>
      <c r="T22" s="774" t="s">
        <v>17</v>
      </c>
      <c r="U22" s="775">
        <f>H22</f>
        <v>100</v>
      </c>
      <c r="V22" s="774" t="s">
        <v>17</v>
      </c>
      <c r="W22" s="775">
        <f>J22</f>
        <v>100</v>
      </c>
      <c r="X22" s="1816"/>
      <c r="Y22" s="3171"/>
      <c r="Z22" s="1817" t="str">
        <f>Q22</f>
        <v>楼层</v>
      </c>
      <c r="AA22" s="1814">
        <f t="shared" si="3"/>
        <v>1</v>
      </c>
      <c r="AB22" s="1814">
        <f t="shared" si="4"/>
        <v>1</v>
      </c>
      <c r="AC22" s="1814">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1"/>
      <c r="Q23" s="1813">
        <f>B23</f>
        <v>111</v>
      </c>
      <c r="R23" s="774" t="s">
        <v>17</v>
      </c>
      <c r="S23" s="775">
        <f>F23</f>
        <v>100</v>
      </c>
      <c r="T23" s="774" t="s">
        <v>17</v>
      </c>
      <c r="U23" s="775">
        <f>H23</f>
        <v>100</v>
      </c>
      <c r="V23" s="774" t="s">
        <v>17</v>
      </c>
      <c r="W23" s="775">
        <f>J23</f>
        <v>100</v>
      </c>
      <c r="X23" s="1816"/>
      <c r="Y23" s="3171"/>
      <c r="Z23" s="1817">
        <f>Q23</f>
        <v>111</v>
      </c>
      <c r="AA23" s="1814">
        <f t="shared" si="3"/>
        <v>1</v>
      </c>
      <c r="AB23" s="1814">
        <f t="shared" si="4"/>
        <v>1</v>
      </c>
      <c r="AC23" s="1814">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1"/>
      <c r="Q24" s="1813">
        <f t="shared" ref="Q24:Q34" si="11">B24</f>
        <v>111</v>
      </c>
      <c r="R24" s="774" t="s">
        <v>17</v>
      </c>
      <c r="S24" s="775">
        <f>F24</f>
        <v>100</v>
      </c>
      <c r="T24" s="774" t="s">
        <v>17</v>
      </c>
      <c r="U24" s="775">
        <f>H24</f>
        <v>100</v>
      </c>
      <c r="V24" s="774" t="s">
        <v>17</v>
      </c>
      <c r="W24" s="775">
        <f>J24</f>
        <v>100</v>
      </c>
      <c r="X24" s="1816"/>
      <c r="Y24" s="3171"/>
      <c r="Z24" s="1817">
        <f>Q24</f>
        <v>111</v>
      </c>
      <c r="AA24" s="1814">
        <f t="shared" si="3"/>
        <v>1</v>
      </c>
      <c r="AB24" s="1814">
        <f t="shared" si="4"/>
        <v>1</v>
      </c>
      <c r="AC24" s="1814">
        <f t="shared" si="5"/>
        <v>1</v>
      </c>
    </row>
    <row r="25" spans="1:29" s="117" customFormat="1" ht="15.75" thickBot="1">
      <c r="A25" s="431"/>
      <c r="B25" s="2597">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71"/>
      <c r="Q25" s="1798">
        <f t="shared" si="11"/>
        <v>111</v>
      </c>
      <c r="R25" s="770" t="s">
        <v>17</v>
      </c>
      <c r="S25" s="771">
        <f>F25</f>
        <v>100</v>
      </c>
      <c r="T25" s="770" t="s">
        <v>17</v>
      </c>
      <c r="U25" s="771">
        <f>H25</f>
        <v>100</v>
      </c>
      <c r="V25" s="770" t="s">
        <v>17</v>
      </c>
      <c r="W25" s="771">
        <f>J25</f>
        <v>100</v>
      </c>
      <c r="X25" s="772"/>
      <c r="Y25" s="3171"/>
      <c r="Z25" s="55">
        <f>Q25</f>
        <v>111</v>
      </c>
      <c r="AA25" s="1814">
        <f>D25/F25</f>
        <v>1</v>
      </c>
      <c r="AB25" s="1814">
        <f>D25/H25</f>
        <v>1</v>
      </c>
      <c r="AC25" s="1814">
        <f>D25/J25</f>
        <v>1</v>
      </c>
    </row>
    <row r="26" spans="1:29" ht="15">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72"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3"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3"/>
      <c r="Q28" s="1813" t="str">
        <f t="shared" si="11"/>
        <v>物业等级</v>
      </c>
      <c r="R28" s="774" t="s">
        <v>17</v>
      </c>
      <c r="S28" s="775">
        <f t="shared" si="12"/>
        <v>100</v>
      </c>
      <c r="T28" s="774" t="s">
        <v>17</v>
      </c>
      <c r="U28" s="775">
        <f t="shared" si="13"/>
        <v>100</v>
      </c>
      <c r="V28" s="774" t="s">
        <v>17</v>
      </c>
      <c r="W28" s="775">
        <f t="shared" si="14"/>
        <v>100</v>
      </c>
      <c r="X28" s="1816"/>
      <c r="Y28" s="3173"/>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3"/>
      <c r="Q29" s="1813" t="str">
        <f t="shared" si="11"/>
        <v>有无电梯</v>
      </c>
      <c r="R29" s="774" t="s">
        <v>17</v>
      </c>
      <c r="S29" s="775">
        <f t="shared" si="12"/>
        <v>100</v>
      </c>
      <c r="T29" s="774" t="s">
        <v>17</v>
      </c>
      <c r="U29" s="775">
        <f t="shared" si="13"/>
        <v>100</v>
      </c>
      <c r="V29" s="774" t="s">
        <v>17</v>
      </c>
      <c r="W29" s="775">
        <f t="shared" si="14"/>
        <v>100</v>
      </c>
      <c r="X29" s="1816"/>
      <c r="Y29" s="3173"/>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3"/>
      <c r="Q30" s="1813" t="str">
        <f t="shared" si="11"/>
        <v>建筑面积</v>
      </c>
      <c r="R30" s="774" t="s">
        <v>17</v>
      </c>
      <c r="S30" s="775" t="e">
        <f t="shared" si="12"/>
        <v>#N/A</v>
      </c>
      <c r="T30" s="774" t="s">
        <v>17</v>
      </c>
      <c r="U30" s="775" t="e">
        <f t="shared" si="13"/>
        <v>#N/A</v>
      </c>
      <c r="V30" s="774" t="s">
        <v>17</v>
      </c>
      <c r="W30" s="775" t="e">
        <f t="shared" si="14"/>
        <v>#N/A</v>
      </c>
      <c r="X30" s="1816"/>
      <c r="Y30" s="3173"/>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3"/>
      <c r="Q31" s="1798"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3" t="s">
        <v>2557</v>
      </c>
      <c r="Q32" s="1813">
        <f t="shared" si="11"/>
        <v>111</v>
      </c>
      <c r="R32" s="774" t="s">
        <v>17</v>
      </c>
      <c r="S32" s="775">
        <f t="shared" si="12"/>
        <v>100</v>
      </c>
      <c r="T32" s="774" t="s">
        <v>17</v>
      </c>
      <c r="U32" s="775">
        <f t="shared" si="13"/>
        <v>100</v>
      </c>
      <c r="V32" s="774" t="s">
        <v>17</v>
      </c>
      <c r="W32" s="775">
        <f t="shared" si="14"/>
        <v>100</v>
      </c>
      <c r="X32" s="1816"/>
      <c r="Y32" s="3173" t="s">
        <v>2557</v>
      </c>
      <c r="Z32" s="1817">
        <f t="shared" si="15"/>
        <v>111</v>
      </c>
      <c r="AA32" s="1814">
        <f t="shared" si="3"/>
        <v>1</v>
      </c>
      <c r="AB32" s="1814">
        <f t="shared" si="4"/>
        <v>1</v>
      </c>
      <c r="AC32" s="1814">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3"/>
      <c r="Q33" s="1813">
        <f t="shared" si="11"/>
        <v>111</v>
      </c>
      <c r="R33" s="774" t="s">
        <v>17</v>
      </c>
      <c r="S33" s="775">
        <f t="shared" si="12"/>
        <v>100</v>
      </c>
      <c r="T33" s="774" t="s">
        <v>17</v>
      </c>
      <c r="U33" s="775">
        <f t="shared" si="13"/>
        <v>100</v>
      </c>
      <c r="V33" s="774" t="s">
        <v>17</v>
      </c>
      <c r="W33" s="775">
        <f t="shared" si="14"/>
        <v>100</v>
      </c>
      <c r="X33" s="1816"/>
      <c r="Y33" s="3173"/>
      <c r="Z33" s="1817">
        <f t="shared" si="15"/>
        <v>111</v>
      </c>
      <c r="AA33" s="1814">
        <f t="shared" si="3"/>
        <v>1</v>
      </c>
      <c r="AB33" s="1814">
        <f t="shared" si="4"/>
        <v>1</v>
      </c>
      <c r="AC33" s="1814">
        <f t="shared" si="5"/>
        <v>1</v>
      </c>
    </row>
    <row r="34" spans="1:29" ht="15.75" thickBot="1">
      <c r="A34" s="478"/>
      <c r="B34" s="2599">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73"/>
      <c r="Q34" s="1813">
        <f t="shared" si="11"/>
        <v>111</v>
      </c>
      <c r="R34" s="774" t="s">
        <v>17</v>
      </c>
      <c r="S34" s="775">
        <f t="shared" si="12"/>
        <v>100</v>
      </c>
      <c r="T34" s="774" t="s">
        <v>17</v>
      </c>
      <c r="U34" s="775">
        <f t="shared" si="13"/>
        <v>100</v>
      </c>
      <c r="V34" s="774" t="s">
        <v>17</v>
      </c>
      <c r="W34" s="775">
        <f t="shared" si="14"/>
        <v>100</v>
      </c>
      <c r="X34" s="1816"/>
      <c r="Y34" s="3173"/>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68" t="str">
        <f>A35</f>
        <v>成交单价（元/平方米）</v>
      </c>
      <c r="Q35" s="3168"/>
      <c r="R35" s="3233">
        <f>E35</f>
        <v>0</v>
      </c>
      <c r="S35" s="3233"/>
      <c r="T35" s="3233">
        <f>G35</f>
        <v>0</v>
      </c>
      <c r="U35" s="3233"/>
      <c r="V35" s="3233">
        <f>I35</f>
        <v>0</v>
      </c>
      <c r="W35" s="3233"/>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62" t="str">
        <f>A37</f>
        <v>估价对象XX用房的比较价值（楼面单价，元/平方米）</v>
      </c>
      <c r="Q37" s="3163"/>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5" t="s">
        <v>2638</v>
      </c>
      <c r="D4" s="3178"/>
      <c r="E4" s="3179" t="s">
        <v>2639</v>
      </c>
      <c r="F4" s="3180"/>
      <c r="G4" s="3165" t="s">
        <v>2640</v>
      </c>
      <c r="H4" s="3178"/>
      <c r="I4" s="3165" t="s">
        <v>2641</v>
      </c>
      <c r="J4" s="3178"/>
      <c r="K4" s="610" t="s">
        <v>2642</v>
      </c>
      <c r="L4" s="1133"/>
      <c r="M4" s="1134"/>
      <c r="N4" s="1134"/>
      <c r="O4" s="1134"/>
      <c r="P4" s="3181" t="s">
        <v>2643</v>
      </c>
      <c r="Q4" s="3182"/>
      <c r="R4" s="3187" t="s">
        <v>2639</v>
      </c>
      <c r="S4" s="3188"/>
      <c r="T4" s="3187" t="s">
        <v>2640</v>
      </c>
      <c r="U4" s="3188"/>
      <c r="V4" s="3174" t="s">
        <v>2641</v>
      </c>
      <c r="W4" s="3174"/>
      <c r="X4" s="1816"/>
      <c r="Y4" s="3187" t="s">
        <v>2643</v>
      </c>
      <c r="Z4" s="3188"/>
      <c r="AA4" s="3175" t="s">
        <v>2639</v>
      </c>
      <c r="AB4" s="3176" t="s">
        <v>2640</v>
      </c>
      <c r="AC4" s="3175" t="s">
        <v>2641</v>
      </c>
    </row>
    <row r="5" spans="1:29" ht="15">
      <c r="A5" s="404"/>
      <c r="B5" s="405"/>
      <c r="C5" s="3195" t="s">
        <v>2534</v>
      </c>
      <c r="D5" s="3196"/>
      <c r="E5" s="3203" t="s">
        <v>2535</v>
      </c>
      <c r="F5" s="3204"/>
      <c r="G5" s="3195" t="s">
        <v>2536</v>
      </c>
      <c r="H5" s="3196"/>
      <c r="I5" s="3195" t="s">
        <v>2537</v>
      </c>
      <c r="J5" s="3196"/>
      <c r="K5" s="610"/>
      <c r="L5" s="1133"/>
      <c r="M5" s="1134"/>
      <c r="N5" s="1134"/>
      <c r="O5" s="1134"/>
      <c r="P5" s="3183"/>
      <c r="Q5" s="3184"/>
      <c r="R5" s="3189"/>
      <c r="S5" s="3190"/>
      <c r="T5" s="3189"/>
      <c r="U5" s="3190"/>
      <c r="V5" s="3174"/>
      <c r="W5" s="3174"/>
      <c r="X5" s="1816"/>
      <c r="Y5" s="3189"/>
      <c r="Z5" s="3190"/>
      <c r="AA5" s="3176"/>
      <c r="AB5" s="3176"/>
      <c r="AC5" s="3176"/>
    </row>
    <row r="6" spans="1:29" ht="15.75" thickBot="1">
      <c r="A6" s="406"/>
      <c r="B6" s="407"/>
      <c r="C6" s="3258" t="s">
        <v>2788</v>
      </c>
      <c r="D6" s="3259"/>
      <c r="E6" s="3260" t="s">
        <v>2788</v>
      </c>
      <c r="F6" s="3261"/>
      <c r="G6" s="3258" t="s">
        <v>2788</v>
      </c>
      <c r="H6" s="3259"/>
      <c r="I6" s="3258" t="s">
        <v>2788</v>
      </c>
      <c r="J6" s="3259"/>
      <c r="K6" s="610" t="s">
        <v>2539</v>
      </c>
      <c r="L6" s="1133"/>
      <c r="M6" s="1134"/>
      <c r="N6" s="1134"/>
      <c r="O6" s="1134"/>
      <c r="P6" s="3185"/>
      <c r="Q6" s="3186"/>
      <c r="R6" s="3189"/>
      <c r="S6" s="3190"/>
      <c r="T6" s="3191"/>
      <c r="U6" s="3192"/>
      <c r="V6" s="3174"/>
      <c r="W6" s="3174"/>
      <c r="X6" s="1816"/>
      <c r="Y6" s="3191"/>
      <c r="Z6" s="3192"/>
      <c r="AA6" s="3177"/>
      <c r="AB6" s="3177"/>
      <c r="AC6" s="3177"/>
    </row>
    <row r="7" spans="1:29" s="117" customFormat="1" ht="15.75" thickBot="1">
      <c r="A7" s="408" t="s">
        <v>2540</v>
      </c>
      <c r="B7" s="409"/>
      <c r="C7" s="410">
        <f>'数据-取费表'!B2</f>
        <v>43369</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7" t="s">
        <v>2541</v>
      </c>
      <c r="Q7" s="3199"/>
      <c r="R7" s="770" t="s">
        <v>17</v>
      </c>
      <c r="S7" s="771">
        <f t="shared" ref="S7:S15" si="0">F7</f>
        <v>0</v>
      </c>
      <c r="T7" s="770" t="s">
        <v>17</v>
      </c>
      <c r="U7" s="771">
        <f t="shared" ref="U7:U15" si="1">H7</f>
        <v>0</v>
      </c>
      <c r="V7" s="770" t="s">
        <v>17</v>
      </c>
      <c r="W7" s="771">
        <f t="shared" ref="W7:W15" si="2">J7</f>
        <v>0</v>
      </c>
      <c r="X7" s="772"/>
      <c r="Y7" s="3197" t="s">
        <v>2541</v>
      </c>
      <c r="Z7" s="3198"/>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2544</v>
      </c>
      <c r="Q8" s="3198"/>
      <c r="R8" s="770" t="s">
        <v>17</v>
      </c>
      <c r="S8" s="771">
        <f t="shared" si="0"/>
        <v>0</v>
      </c>
      <c r="T8" s="770" t="s">
        <v>17</v>
      </c>
      <c r="U8" s="771">
        <f t="shared" si="1"/>
        <v>0</v>
      </c>
      <c r="V8" s="770" t="s">
        <v>17</v>
      </c>
      <c r="W8" s="771">
        <f t="shared" si="2"/>
        <v>0</v>
      </c>
      <c r="X8" s="772"/>
      <c r="Y8" s="3197" t="s">
        <v>2544</v>
      </c>
      <c r="Z8" s="3198"/>
      <c r="AA8" s="773" t="e">
        <f t="shared" ref="AA8:AA40" si="3">D8/F8</f>
        <v>#DIV/0!</v>
      </c>
      <c r="AB8" s="773" t="e">
        <f t="shared" ref="AB8:AB40" si="4">D8/H8</f>
        <v>#DIV/0!</v>
      </c>
      <c r="AC8" s="773" t="e">
        <f t="shared" ref="AC8:AC40" si="5">D8/J8</f>
        <v>#DIV/0!</v>
      </c>
    </row>
    <row r="9" spans="1:29" s="117" customFormat="1">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8" t="s">
        <v>2547</v>
      </c>
      <c r="Q9" s="1798" t="str">
        <f t="shared" ref="Q9:Q15" si="6">B9</f>
        <v>用途</v>
      </c>
      <c r="R9" s="770" t="s">
        <v>17</v>
      </c>
      <c r="S9" s="771">
        <f t="shared" si="0"/>
        <v>100</v>
      </c>
      <c r="T9" s="770" t="s">
        <v>17</v>
      </c>
      <c r="U9" s="771">
        <f t="shared" si="1"/>
        <v>100</v>
      </c>
      <c r="V9" s="770" t="s">
        <v>17</v>
      </c>
      <c r="W9" s="771">
        <f t="shared" si="2"/>
        <v>100</v>
      </c>
      <c r="X9" s="772"/>
      <c r="Y9" s="3016"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68"/>
      <c r="Q10" s="1798"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2551</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0" t="s">
        <v>2552</v>
      </c>
      <c r="Q15" s="1813" t="str">
        <f t="shared" si="6"/>
        <v>产业集聚程度</v>
      </c>
      <c r="R15" s="774" t="s">
        <v>17</v>
      </c>
      <c r="S15" s="775">
        <f t="shared" si="0"/>
        <v>100</v>
      </c>
      <c r="T15" s="774" t="s">
        <v>17</v>
      </c>
      <c r="U15" s="775">
        <f t="shared" si="1"/>
        <v>100</v>
      </c>
      <c r="V15" s="774" t="s">
        <v>17</v>
      </c>
      <c r="W15" s="775">
        <f t="shared" si="2"/>
        <v>100</v>
      </c>
      <c r="X15" s="1816"/>
      <c r="Y15" s="3170" t="s">
        <v>2552</v>
      </c>
      <c r="Z15" s="1817" t="str">
        <f t="shared" si="7"/>
        <v>产业集聚程度</v>
      </c>
      <c r="AA15" s="1814">
        <f t="shared" si="3"/>
        <v>1</v>
      </c>
      <c r="AB15" s="1814">
        <f t="shared" si="4"/>
        <v>1</v>
      </c>
      <c r="AC15" s="1814">
        <f t="shared" si="5"/>
        <v>1</v>
      </c>
    </row>
    <row r="16" spans="1:29" ht="15">
      <c r="A16" s="428"/>
      <c r="B16" s="630"/>
      <c r="C16" s="447"/>
      <c r="D16" s="448"/>
      <c r="E16" s="2608"/>
      <c r="F16" s="448"/>
      <c r="G16" s="2608"/>
      <c r="H16" s="450"/>
      <c r="I16" s="2608"/>
      <c r="J16" s="448"/>
      <c r="K16" s="672"/>
      <c r="L16" s="1143"/>
      <c r="M16" s="1134"/>
      <c r="N16" s="1134"/>
      <c r="O16" s="1142"/>
      <c r="P16" s="3171"/>
      <c r="Q16" s="1813"/>
      <c r="R16" s="774"/>
      <c r="S16" s="775"/>
      <c r="T16" s="774"/>
      <c r="U16" s="775"/>
      <c r="V16" s="774"/>
      <c r="W16" s="775"/>
      <c r="X16" s="1816"/>
      <c r="Y16" s="3171"/>
      <c r="Z16" s="1817"/>
      <c r="AA16" s="1814">
        <v>1</v>
      </c>
      <c r="AB16" s="1814">
        <v>1</v>
      </c>
      <c r="AC16" s="1814">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1"/>
      <c r="Q17" s="1813" t="str">
        <f>B17</f>
        <v>交通便捷度</v>
      </c>
      <c r="R17" s="774" t="s">
        <v>17</v>
      </c>
      <c r="S17" s="775">
        <f>F17</f>
        <v>100</v>
      </c>
      <c r="T17" s="774" t="s">
        <v>17</v>
      </c>
      <c r="U17" s="775">
        <f>H17</f>
        <v>100</v>
      </c>
      <c r="V17" s="774" t="s">
        <v>17</v>
      </c>
      <c r="W17" s="775">
        <f>J17</f>
        <v>100</v>
      </c>
      <c r="X17" s="1816"/>
      <c r="Y17" s="3171"/>
      <c r="Z17" s="1817" t="str">
        <f>Q17</f>
        <v>交通便捷度</v>
      </c>
      <c r="AA17" s="1814">
        <f t="shared" si="3"/>
        <v>1</v>
      </c>
      <c r="AB17" s="1814">
        <f t="shared" si="4"/>
        <v>1</v>
      </c>
      <c r="AC17" s="1814">
        <f t="shared" si="5"/>
        <v>1</v>
      </c>
    </row>
    <row r="18" spans="1:29" ht="15">
      <c r="A18" s="428"/>
      <c r="B18" s="632"/>
      <c r="C18" s="447"/>
      <c r="D18" s="448"/>
      <c r="E18" s="2602"/>
      <c r="F18" s="448"/>
      <c r="G18" s="2602"/>
      <c r="H18" s="448"/>
      <c r="I18" s="2601"/>
      <c r="J18" s="448"/>
      <c r="K18" s="672"/>
      <c r="L18" s="1143"/>
      <c r="M18" s="1134"/>
      <c r="N18" s="1134"/>
      <c r="O18" s="1142"/>
      <c r="P18" s="3171"/>
      <c r="Q18" s="1813"/>
      <c r="R18" s="774"/>
      <c r="S18" s="775"/>
      <c r="T18" s="774"/>
      <c r="U18" s="775"/>
      <c r="V18" s="774"/>
      <c r="W18" s="775"/>
      <c r="X18" s="1816"/>
      <c r="Y18" s="3171"/>
      <c r="Z18" s="1817"/>
      <c r="AA18" s="1814">
        <v>1</v>
      </c>
      <c r="AB18" s="1814">
        <v>1</v>
      </c>
      <c r="AC18" s="1814">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1"/>
      <c r="Q19" s="1813" t="str">
        <f t="shared" ref="Q19:Q33" si="8">B19</f>
        <v>区域土地利用方向</v>
      </c>
      <c r="R19" s="774" t="s">
        <v>17</v>
      </c>
      <c r="S19" s="775">
        <f>F19</f>
        <v>100</v>
      </c>
      <c r="T19" s="774" t="s">
        <v>17</v>
      </c>
      <c r="U19" s="775">
        <f>H19</f>
        <v>100</v>
      </c>
      <c r="V19" s="774" t="s">
        <v>17</v>
      </c>
      <c r="W19" s="775">
        <f>J19</f>
        <v>100</v>
      </c>
      <c r="X19" s="1816"/>
      <c r="Y19" s="3171"/>
      <c r="Z19" s="1817" t="str">
        <f>Q19</f>
        <v>区域土地利用方向</v>
      </c>
      <c r="AA19" s="1814">
        <f t="shared" si="3"/>
        <v>1</v>
      </c>
      <c r="AB19" s="1814">
        <f t="shared" si="4"/>
        <v>1</v>
      </c>
      <c r="AC19" s="1814">
        <f t="shared" si="5"/>
        <v>1</v>
      </c>
    </row>
    <row r="20" spans="1:29" ht="15">
      <c r="A20" s="404"/>
      <c r="B20" s="632"/>
      <c r="C20" s="447"/>
      <c r="D20" s="448"/>
      <c r="E20" s="2602"/>
      <c r="F20" s="448"/>
      <c r="G20" s="2602"/>
      <c r="H20" s="448"/>
      <c r="I20" s="2602"/>
      <c r="J20" s="448"/>
      <c r="K20" s="812"/>
      <c r="L20" s="1143"/>
      <c r="M20" s="1134"/>
      <c r="N20" s="1134"/>
      <c r="O20" s="1142"/>
      <c r="P20" s="3171"/>
      <c r="Q20" s="1813"/>
      <c r="R20" s="774"/>
      <c r="S20" s="775"/>
      <c r="T20" s="774"/>
      <c r="U20" s="775"/>
      <c r="V20" s="774"/>
      <c r="W20" s="775"/>
      <c r="X20" s="1816"/>
      <c r="Y20" s="3171"/>
      <c r="Z20" s="1817"/>
      <c r="AA20" s="1814"/>
      <c r="AB20" s="1814"/>
      <c r="AC20" s="1814"/>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1"/>
      <c r="Q21" s="1813" t="str">
        <f t="shared" si="8"/>
        <v>环境状况</v>
      </c>
      <c r="R21" s="774" t="s">
        <v>17</v>
      </c>
      <c r="S21" s="775">
        <f>F21</f>
        <v>100</v>
      </c>
      <c r="T21" s="774" t="s">
        <v>17</v>
      </c>
      <c r="U21" s="775">
        <f>H21</f>
        <v>100</v>
      </c>
      <c r="V21" s="774" t="s">
        <v>17</v>
      </c>
      <c r="W21" s="775">
        <f>J21</f>
        <v>100</v>
      </c>
      <c r="X21" s="1816"/>
      <c r="Y21" s="3171"/>
      <c r="Z21" s="1817" t="str">
        <f>Q21</f>
        <v>环境状况</v>
      </c>
      <c r="AA21" s="1814">
        <f t="shared" si="3"/>
        <v>1</v>
      </c>
      <c r="AB21" s="1814">
        <f t="shared" si="4"/>
        <v>1</v>
      </c>
      <c r="AC21" s="1814">
        <f t="shared" si="5"/>
        <v>1</v>
      </c>
    </row>
    <row r="22" spans="1:29" ht="15">
      <c r="A22" s="404"/>
      <c r="B22" s="632"/>
      <c r="C22" s="447"/>
      <c r="D22" s="448"/>
      <c r="E22" s="2608"/>
      <c r="F22" s="448"/>
      <c r="G22" s="2608"/>
      <c r="H22" s="448"/>
      <c r="I22" s="447"/>
      <c r="J22" s="448"/>
      <c r="K22" s="672"/>
      <c r="L22" s="1143"/>
      <c r="M22" s="1134"/>
      <c r="N22" s="1134"/>
      <c r="O22" s="1142"/>
      <c r="P22" s="3171"/>
      <c r="Q22" s="1813"/>
      <c r="R22" s="774"/>
      <c r="S22" s="775"/>
      <c r="T22" s="774"/>
      <c r="U22" s="775"/>
      <c r="V22" s="774"/>
      <c r="W22" s="775"/>
      <c r="X22" s="1816"/>
      <c r="Y22" s="3171"/>
      <c r="Z22" s="1817"/>
      <c r="AA22" s="1814">
        <v>1</v>
      </c>
      <c r="AB22" s="1814">
        <v>1</v>
      </c>
      <c r="AC22" s="1814">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1"/>
      <c r="Q23" s="1798" t="str">
        <f t="shared" si="8"/>
        <v>公共配套设施</v>
      </c>
      <c r="R23" s="770" t="s">
        <v>17</v>
      </c>
      <c r="S23" s="771">
        <f>F23</f>
        <v>100</v>
      </c>
      <c r="T23" s="770" t="s">
        <v>17</v>
      </c>
      <c r="U23" s="771">
        <f>H23</f>
        <v>100</v>
      </c>
      <c r="V23" s="770" t="s">
        <v>17</v>
      </c>
      <c r="W23" s="771">
        <f>J23</f>
        <v>100</v>
      </c>
      <c r="X23" s="772"/>
      <c r="Y23" s="3171"/>
      <c r="Z23" s="55" t="str">
        <f>Q23</f>
        <v>公共配套设施</v>
      </c>
      <c r="AA23" s="1814">
        <f>D23/F23</f>
        <v>1</v>
      </c>
      <c r="AB23" s="1814">
        <f>D23/H23</f>
        <v>1</v>
      </c>
      <c r="AC23" s="1814">
        <f>D23/J23</f>
        <v>1</v>
      </c>
    </row>
    <row r="24" spans="1:29" s="117" customFormat="1" ht="15">
      <c r="A24" s="649"/>
      <c r="B24" s="632"/>
      <c r="C24" s="2696"/>
      <c r="D24" s="448"/>
      <c r="E24" s="2608"/>
      <c r="F24" s="448"/>
      <c r="G24" s="2608"/>
      <c r="H24" s="448"/>
      <c r="I24" s="447"/>
      <c r="J24" s="448"/>
      <c r="K24" s="672"/>
      <c r="L24" s="1135"/>
      <c r="M24" s="1136"/>
      <c r="N24" s="1136"/>
      <c r="O24" s="1137"/>
      <c r="P24" s="3171"/>
      <c r="Q24" s="1798"/>
      <c r="R24" s="770"/>
      <c r="S24" s="771"/>
      <c r="T24" s="770"/>
      <c r="U24" s="771"/>
      <c r="V24" s="770"/>
      <c r="W24" s="771"/>
      <c r="X24" s="772"/>
      <c r="Y24" s="3171"/>
      <c r="Z24" s="55"/>
      <c r="AA24" s="773">
        <v>1</v>
      </c>
      <c r="AB24" s="773">
        <v>1</v>
      </c>
      <c r="AC24" s="773">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1"/>
      <c r="Q25" s="1798"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4">
        <f>D25/F25</f>
        <v>1</v>
      </c>
      <c r="AB25" s="1814">
        <f>D25/H25</f>
        <v>1</v>
      </c>
      <c r="AC25" s="1814">
        <f>D25/J25</f>
        <v>1</v>
      </c>
    </row>
    <row r="26" spans="1:29" s="117" customFormat="1" ht="15">
      <c r="A26" s="649"/>
      <c r="B26" s="632"/>
      <c r="C26" s="2696"/>
      <c r="D26" s="448"/>
      <c r="E26" s="2697"/>
      <c r="F26" s="448"/>
      <c r="G26" s="2697"/>
      <c r="H26" s="448"/>
      <c r="I26" s="2697"/>
      <c r="J26" s="448"/>
      <c r="K26" s="672"/>
      <c r="L26" s="1135"/>
      <c r="M26" s="1136"/>
      <c r="N26" s="1136"/>
      <c r="O26" s="1137"/>
      <c r="P26" s="3171"/>
      <c r="Q26" s="1798"/>
      <c r="R26" s="770"/>
      <c r="S26" s="771"/>
      <c r="T26" s="770"/>
      <c r="U26" s="771"/>
      <c r="V26" s="770"/>
      <c r="W26" s="771"/>
      <c r="X26" s="772"/>
      <c r="Y26" s="317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1"/>
      <c r="Z27" s="1817" t="str">
        <f t="shared" ref="Z27:Z40" si="13">Q27</f>
        <v>临街状况</v>
      </c>
      <c r="AA27" s="1814">
        <f t="shared" si="3"/>
        <v>1</v>
      </c>
      <c r="AB27" s="1814">
        <f t="shared" si="4"/>
        <v>1</v>
      </c>
      <c r="AC27" s="1814">
        <f t="shared" si="5"/>
        <v>1</v>
      </c>
    </row>
    <row r="28" spans="1:29" ht="27">
      <c r="A28" s="428"/>
      <c r="B28" s="633" t="s">
        <v>2683</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1"/>
      <c r="Q28" s="1813" t="str">
        <f t="shared" si="8"/>
        <v>毗邻道路的类型与等级</v>
      </c>
      <c r="R28" s="774" t="s">
        <v>17</v>
      </c>
      <c r="S28" s="775">
        <f t="shared" si="10"/>
        <v>100</v>
      </c>
      <c r="T28" s="774" t="s">
        <v>17</v>
      </c>
      <c r="U28" s="775">
        <f t="shared" si="11"/>
        <v>100</v>
      </c>
      <c r="V28" s="774" t="s">
        <v>17</v>
      </c>
      <c r="W28" s="775">
        <f t="shared" si="12"/>
        <v>100</v>
      </c>
      <c r="X28" s="1816"/>
      <c r="Y28" s="3171"/>
      <c r="Z28" s="1817" t="str">
        <f t="shared" si="13"/>
        <v>毗邻道路的类型与等级</v>
      </c>
      <c r="AA28" s="1814">
        <f t="shared" si="3"/>
        <v>1</v>
      </c>
      <c r="AB28" s="1814">
        <f t="shared" si="4"/>
        <v>1</v>
      </c>
      <c r="AC28" s="1814">
        <f t="shared" si="5"/>
        <v>1</v>
      </c>
    </row>
    <row r="29" spans="1:29" ht="15">
      <c r="A29" s="428"/>
      <c r="B29" s="632"/>
      <c r="C29" s="447"/>
      <c r="D29" s="448"/>
      <c r="E29" s="2608"/>
      <c r="F29" s="448"/>
      <c r="G29" s="2608"/>
      <c r="H29" s="448"/>
      <c r="I29" s="2608"/>
      <c r="J29" s="448"/>
      <c r="K29" s="613"/>
      <c r="L29" s="1143"/>
      <c r="M29" s="1134"/>
      <c r="N29" s="1134"/>
      <c r="O29" s="1142"/>
      <c r="P29" s="3171"/>
      <c r="Q29" s="1813"/>
      <c r="R29" s="774"/>
      <c r="S29" s="775"/>
      <c r="T29" s="774"/>
      <c r="U29" s="775"/>
      <c r="V29" s="774"/>
      <c r="W29" s="775"/>
      <c r="X29" s="1816"/>
      <c r="Y29" s="3171"/>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1"/>
      <c r="Q30" s="1813" t="str">
        <f t="shared" si="8"/>
        <v>土地级别</v>
      </c>
      <c r="R30" s="774" t="s">
        <v>17</v>
      </c>
      <c r="S30" s="775">
        <f t="shared" si="10"/>
        <v>100</v>
      </c>
      <c r="T30" s="774" t="s">
        <v>17</v>
      </c>
      <c r="U30" s="775">
        <f t="shared" si="11"/>
        <v>100</v>
      </c>
      <c r="V30" s="774" t="s">
        <v>17</v>
      </c>
      <c r="W30" s="775">
        <f t="shared" si="12"/>
        <v>100</v>
      </c>
      <c r="X30" s="1816"/>
      <c r="Y30" s="3171"/>
      <c r="Z30" s="1817" t="str">
        <f t="shared" si="13"/>
        <v>土地级别</v>
      </c>
      <c r="AA30" s="1814">
        <f t="shared" si="3"/>
        <v>1</v>
      </c>
      <c r="AB30" s="1814">
        <f t="shared" si="4"/>
        <v>1</v>
      </c>
      <c r="AC30" s="1814">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1"/>
      <c r="Q31" s="1813">
        <f t="shared" si="8"/>
        <v>111</v>
      </c>
      <c r="R31" s="774" t="s">
        <v>17</v>
      </c>
      <c r="S31" s="775">
        <f t="shared" si="10"/>
        <v>100</v>
      </c>
      <c r="T31" s="774" t="s">
        <v>17</v>
      </c>
      <c r="U31" s="775">
        <f t="shared" si="11"/>
        <v>100</v>
      </c>
      <c r="V31" s="774" t="s">
        <v>17</v>
      </c>
      <c r="W31" s="775">
        <f t="shared" si="12"/>
        <v>100</v>
      </c>
      <c r="X31" s="1816"/>
      <c r="Y31" s="3171"/>
      <c r="Z31" s="1817">
        <f t="shared" si="13"/>
        <v>111</v>
      </c>
      <c r="AA31" s="1814">
        <f t="shared" si="3"/>
        <v>1</v>
      </c>
      <c r="AB31" s="1814">
        <f t="shared" si="4"/>
        <v>1</v>
      </c>
      <c r="AC31" s="1814">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2" t="s">
        <v>2557</v>
      </c>
      <c r="Q32" s="1813">
        <f t="shared" si="8"/>
        <v>111</v>
      </c>
      <c r="R32" s="774" t="s">
        <v>17</v>
      </c>
      <c r="S32" s="775">
        <f t="shared" si="10"/>
        <v>100</v>
      </c>
      <c r="T32" s="774" t="s">
        <v>17</v>
      </c>
      <c r="U32" s="775">
        <f t="shared" si="11"/>
        <v>100</v>
      </c>
      <c r="V32" s="774" t="s">
        <v>17</v>
      </c>
      <c r="W32" s="775">
        <f t="shared" si="12"/>
        <v>100</v>
      </c>
      <c r="X32" s="1816"/>
      <c r="Y32" s="3173" t="s">
        <v>2557</v>
      </c>
      <c r="Z32" s="1817">
        <f t="shared" si="13"/>
        <v>111</v>
      </c>
      <c r="AA32" s="1814">
        <f t="shared" si="3"/>
        <v>1</v>
      </c>
      <c r="AB32" s="1814">
        <f t="shared" si="4"/>
        <v>1</v>
      </c>
      <c r="AC32" s="1814">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3"/>
      <c r="Q33" s="1813">
        <f t="shared" si="8"/>
        <v>111</v>
      </c>
      <c r="R33" s="777" t="s">
        <v>17</v>
      </c>
      <c r="S33" s="778">
        <f t="shared" si="10"/>
        <v>100</v>
      </c>
      <c r="T33" s="777" t="s">
        <v>17</v>
      </c>
      <c r="U33" s="778">
        <f t="shared" si="11"/>
        <v>100</v>
      </c>
      <c r="V33" s="777" t="s">
        <v>17</v>
      </c>
      <c r="W33" s="778">
        <f t="shared" si="12"/>
        <v>100</v>
      </c>
      <c r="X33" s="779"/>
      <c r="Y33" s="3173"/>
      <c r="Z33" s="780">
        <f t="shared" si="13"/>
        <v>111</v>
      </c>
      <c r="AA33" s="1814">
        <f t="shared" si="3"/>
        <v>1</v>
      </c>
      <c r="AB33" s="1814">
        <f t="shared" si="4"/>
        <v>1</v>
      </c>
      <c r="AC33" s="1814">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3"/>
      <c r="Q34" s="1813" t="str">
        <f>B34</f>
        <v>宗地面积</v>
      </c>
      <c r="R34" s="774" t="s">
        <v>17</v>
      </c>
      <c r="S34" s="775" t="e">
        <f t="shared" si="10"/>
        <v>#N/A</v>
      </c>
      <c r="T34" s="774" t="s">
        <v>17</v>
      </c>
      <c r="U34" s="775" t="e">
        <f t="shared" si="11"/>
        <v>#N/A</v>
      </c>
      <c r="V34" s="774" t="s">
        <v>17</v>
      </c>
      <c r="W34" s="775" t="e">
        <f t="shared" si="12"/>
        <v>#N/A</v>
      </c>
      <c r="X34" s="1816"/>
      <c r="Y34" s="3173"/>
      <c r="Z34" s="1817" t="str">
        <f t="shared" si="13"/>
        <v>宗地面积</v>
      </c>
      <c r="AA34" s="1814" t="e">
        <f t="shared" si="3"/>
        <v>#N/A</v>
      </c>
      <c r="AB34" s="1814" t="e">
        <f t="shared" si="4"/>
        <v>#N/A</v>
      </c>
      <c r="AC34" s="1814"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173"/>
      <c r="Q35" s="1813" t="str">
        <f t="shared" ref="Q35:Q40" si="14">B35</f>
        <v>宗地形状</v>
      </c>
      <c r="R35" s="774" t="s">
        <v>17</v>
      </c>
      <c r="S35" s="775">
        <f t="shared" si="10"/>
        <v>100</v>
      </c>
      <c r="T35" s="774" t="s">
        <v>17</v>
      </c>
      <c r="U35" s="775">
        <f t="shared" si="11"/>
        <v>100</v>
      </c>
      <c r="V35" s="774" t="s">
        <v>17</v>
      </c>
      <c r="W35" s="775">
        <f t="shared" si="12"/>
        <v>100</v>
      </c>
      <c r="X35" s="1816"/>
      <c r="Y35" s="3173"/>
      <c r="Z35" s="1817" t="str">
        <f t="shared" si="13"/>
        <v>宗地形状</v>
      </c>
      <c r="AA35" s="1814">
        <f t="shared" si="3"/>
        <v>1</v>
      </c>
      <c r="AB35" s="1814">
        <f t="shared" si="4"/>
        <v>1</v>
      </c>
      <c r="AC35" s="1814">
        <f t="shared" si="5"/>
        <v>1</v>
      </c>
    </row>
    <row r="36" spans="1:29" s="117" customFormat="1" ht="15">
      <c r="A36" s="473"/>
      <c r="B36" s="422" t="s">
        <v>2745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73"/>
      <c r="Q36" s="1813"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173" t="s">
        <v>2557</v>
      </c>
      <c r="Q37" s="1813" t="str">
        <f t="shared" si="14"/>
        <v>工程地质条件</v>
      </c>
      <c r="R37" s="774" t="s">
        <v>17</v>
      </c>
      <c r="S37" s="775">
        <f t="shared" si="10"/>
        <v>100</v>
      </c>
      <c r="T37" s="774" t="s">
        <v>17</v>
      </c>
      <c r="U37" s="775">
        <f t="shared" si="11"/>
        <v>100</v>
      </c>
      <c r="V37" s="774" t="s">
        <v>17</v>
      </c>
      <c r="W37" s="775">
        <f t="shared" si="12"/>
        <v>100</v>
      </c>
      <c r="X37" s="1816"/>
      <c r="Y37" s="3173"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3"/>
      <c r="Q38" s="1813">
        <f t="shared" si="14"/>
        <v>111</v>
      </c>
      <c r="R38" s="774" t="s">
        <v>17</v>
      </c>
      <c r="S38" s="775">
        <f t="shared" si="10"/>
        <v>100</v>
      </c>
      <c r="T38" s="774" t="s">
        <v>17</v>
      </c>
      <c r="U38" s="775">
        <f t="shared" si="11"/>
        <v>100</v>
      </c>
      <c r="V38" s="774" t="s">
        <v>17</v>
      </c>
      <c r="W38" s="775">
        <f t="shared" si="12"/>
        <v>100</v>
      </c>
      <c r="X38" s="1816"/>
      <c r="Y38" s="31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3"/>
      <c r="Q39" s="1813">
        <f t="shared" si="14"/>
        <v>111</v>
      </c>
      <c r="R39" s="774" t="s">
        <v>17</v>
      </c>
      <c r="S39" s="775">
        <f t="shared" si="10"/>
        <v>100</v>
      </c>
      <c r="T39" s="774" t="s">
        <v>17</v>
      </c>
      <c r="U39" s="775">
        <f t="shared" si="11"/>
        <v>100</v>
      </c>
      <c r="V39" s="774" t="s">
        <v>17</v>
      </c>
      <c r="W39" s="775">
        <f t="shared" si="12"/>
        <v>100</v>
      </c>
      <c r="X39" s="1816"/>
      <c r="Y39" s="3173"/>
      <c r="Z39" s="1817">
        <f t="shared" si="13"/>
        <v>111</v>
      </c>
      <c r="AA39" s="1814">
        <f t="shared" si="3"/>
        <v>1</v>
      </c>
      <c r="AB39" s="1814">
        <f t="shared" si="4"/>
        <v>1</v>
      </c>
      <c r="AC39" s="1814">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3"/>
      <c r="Q40" s="1813">
        <f t="shared" si="14"/>
        <v>111</v>
      </c>
      <c r="R40" s="777" t="s">
        <v>17</v>
      </c>
      <c r="S40" s="778">
        <f t="shared" si="10"/>
        <v>100</v>
      </c>
      <c r="T40" s="777" t="s">
        <v>17</v>
      </c>
      <c r="U40" s="778">
        <f t="shared" si="11"/>
        <v>100</v>
      </c>
      <c r="V40" s="777" t="s">
        <v>17</v>
      </c>
      <c r="W40" s="778">
        <f t="shared" si="12"/>
        <v>100</v>
      </c>
      <c r="X40" s="779"/>
      <c r="Y40" s="3173"/>
      <c r="Z40" s="780">
        <f t="shared" si="13"/>
        <v>111</v>
      </c>
      <c r="AA40" s="1814">
        <f t="shared" si="3"/>
        <v>1</v>
      </c>
      <c r="AB40" s="1814">
        <f t="shared" si="4"/>
        <v>1</v>
      </c>
      <c r="AC40" s="1814">
        <f t="shared" si="5"/>
        <v>1</v>
      </c>
    </row>
    <row r="41" spans="1:29" ht="15">
      <c r="A41" s="479" t="s">
        <v>2712</v>
      </c>
      <c r="B41" s="2700" t="s">
        <v>2791</v>
      </c>
      <c r="C41" s="682" t="s">
        <v>1</v>
      </c>
      <c r="D41" s="481"/>
      <c r="E41" s="482"/>
      <c r="F41" s="483"/>
      <c r="G41" s="484"/>
      <c r="H41" s="485"/>
      <c r="I41" s="482"/>
      <c r="J41" s="485"/>
      <c r="K41" s="783"/>
      <c r="L41" s="1146"/>
      <c r="M41" s="1134"/>
      <c r="N41" s="1134"/>
      <c r="O41" s="1147"/>
      <c r="P41" s="3168" t="str">
        <f>A41</f>
        <v>成交单价</v>
      </c>
      <c r="Q41" s="3168"/>
      <c r="R41" s="3174">
        <f>E41</f>
        <v>0</v>
      </c>
      <c r="S41" s="3174"/>
      <c r="T41" s="3174">
        <f>G41</f>
        <v>0</v>
      </c>
      <c r="U41" s="3174"/>
      <c r="V41" s="3174">
        <f>I41</f>
        <v>0</v>
      </c>
      <c r="W41" s="3174"/>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161" t="e">
        <f>ROUND(PRODUCT(R41,AA7:AA40),0)</f>
        <v>#DIV/0!</v>
      </c>
      <c r="S42" s="3161"/>
      <c r="T42" s="3161" t="e">
        <f>ROUND(PRODUCT(T41,AB7:AB40),0)</f>
        <v>#DIV/0!</v>
      </c>
      <c r="U42" s="3161"/>
      <c r="V42" s="3161" t="e">
        <f>ROUND(PRODUCT(V41,AC7:AC40),0)</f>
        <v>#DIV/0!</v>
      </c>
      <c r="W42" s="3161"/>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62" t="str">
        <f>A43</f>
        <v>估价对象XX用房的比较价值（楼面单价，元/平方米）</v>
      </c>
      <c r="Q43" s="3163"/>
      <c r="R43" s="3164" t="e">
        <f>ROUND(AVERAGE(R42:V42),0)</f>
        <v>#DIV/0!</v>
      </c>
      <c r="S43" s="3164"/>
      <c r="T43" s="3164"/>
      <c r="U43" s="3164"/>
      <c r="V43" s="3164"/>
      <c r="W43" s="31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1" t="s">
        <v>2751</v>
      </c>
      <c r="D50" s="2702" t="s">
        <v>2752</v>
      </c>
      <c r="E50" s="686" t="s">
        <v>2753</v>
      </c>
      <c r="F50" s="687" t="s">
        <v>2754</v>
      </c>
      <c r="G50" s="3165" t="s">
        <v>2755</v>
      </c>
      <c r="H50" s="3166"/>
      <c r="I50" s="1817" t="s">
        <v>2792</v>
      </c>
      <c r="J50" s="1817" t="str">
        <f>项目基本情况!F35</f>
        <v>福建省泉州市</v>
      </c>
      <c r="K50" s="2704" t="s">
        <v>2757</v>
      </c>
      <c r="L50" s="1109"/>
      <c r="M50" s="1147"/>
      <c r="N50" s="1147"/>
      <c r="O50" s="1147"/>
    </row>
    <row r="51" spans="1:17" s="692" customFormat="1">
      <c r="A51" s="688" t="s">
        <v>2758</v>
      </c>
      <c r="B51" s="689" t="e">
        <f>C43</f>
        <v>#DIV/0!</v>
      </c>
      <c r="C51" s="690">
        <v>1</v>
      </c>
      <c r="D51" s="1166">
        <v>1</v>
      </c>
      <c r="E51" s="690">
        <f>'数据-汇总表'!E8+'数据-汇总表'!E9</f>
        <v>70845.22</v>
      </c>
      <c r="F51" s="691" t="e">
        <f t="shared" ref="F51:F60" si="15">ROUND(B51*E51/10000,0)</f>
        <v>#DIV/0!</v>
      </c>
      <c r="G51" s="3167"/>
      <c r="H51" s="316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169"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169"/>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169"/>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169"/>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05"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18858.009999999998</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05"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06"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16752.099999999999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7"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2"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73"/>
      <c r="L1" s="2714" t="s">
        <v>2797</v>
      </c>
      <c r="M1" s="1083">
        <f>SUMPRODUCT((区片价!B5:B9=I2)*(区片价!C3:F3=E2)*(区片价!C5:F9))</f>
        <v>0</v>
      </c>
      <c r="N1" s="1086">
        <f>SUMPRODUCT((因素修正幅度!B5:B9=I2)*(因素修正幅度!C3:F3=E2)*(因素修正幅度!C5:F9))</f>
        <v>0</v>
      </c>
      <c r="O1" s="2715"/>
      <c r="P1" s="2715"/>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73"/>
      <c r="L2" s="2722"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17" t="s">
        <v>2810</v>
      </c>
      <c r="D3" s="2718" t="s">
        <v>2811</v>
      </c>
      <c r="E3" s="2723"/>
      <c r="F3" s="2724" t="s">
        <v>2812</v>
      </c>
      <c r="G3" s="916">
        <f>IF(F3="宗地容积率",'数据-汇总表'!I4,IF(F3="估价对象容积率",'数据-汇总表'!I6,'数据-汇总表'!I7))</f>
        <v>4.26</v>
      </c>
      <c r="H3" s="198" t="s">
        <v>2813</v>
      </c>
      <c r="I3" s="947"/>
      <c r="J3" s="2721" t="s">
        <v>2814</v>
      </c>
      <c r="K3" s="1373"/>
      <c r="L3" s="2722"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22"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4" customFormat="1" ht="15.75" thickBot="1">
      <c r="A5" s="2725" t="s">
        <v>807</v>
      </c>
      <c r="B5" s="2726" t="s">
        <v>2817</v>
      </c>
      <c r="C5" s="917" t="e">
        <f>ROUND(IF(E2="商业",IF(F16="增加",C6*C7+C16,C6*C7-C16),IF(E2="住宅",IF(F16="增加",C6*C12+C16,C6*C12-C16),IF(F16="增加",C6+C16,C6-C16))),0)</f>
        <v>#DIV/0!</v>
      </c>
      <c r="D5" s="1790">
        <f>ROUND(IF(E2="商业",IF(F16="增加",C6+C16,C6-C16)),0)</f>
        <v>0</v>
      </c>
      <c r="E5" s="2727"/>
      <c r="F5" s="2727"/>
      <c r="G5" s="2728"/>
      <c r="H5" s="2728"/>
      <c r="I5" s="2728"/>
      <c r="J5" s="2729"/>
      <c r="K5" s="2730"/>
      <c r="L5" s="2722"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1"/>
      <c r="AD5" s="2732"/>
      <c r="AE5" s="2732"/>
      <c r="AF5" s="2732"/>
      <c r="AG5" s="2732"/>
      <c r="AH5" s="2732"/>
      <c r="AI5" s="2732"/>
      <c r="AJ5" s="2733"/>
    </row>
    <row r="6" spans="1:36" ht="15.75" thickBot="1">
      <c r="A6" s="2735" t="s">
        <v>2819</v>
      </c>
      <c r="B6" s="2736" t="s">
        <v>2820</v>
      </c>
      <c r="C6" s="918">
        <f>SUMIF(L1:L12,G2,M1:M12)</f>
        <v>0</v>
      </c>
      <c r="D6" s="2737" t="s">
        <v>2821</v>
      </c>
      <c r="E6" s="2738"/>
      <c r="F6" s="2738"/>
      <c r="G6" s="2739"/>
      <c r="H6" s="2739"/>
      <c r="I6" s="2739"/>
      <c r="J6" s="2740"/>
      <c r="K6" s="1845"/>
      <c r="L6" s="2722"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1"/>
      <c r="AD6" s="2732"/>
      <c r="AE6" s="2732"/>
      <c r="AF6" s="2732"/>
      <c r="AG6" s="2732"/>
      <c r="AH6" s="2732"/>
      <c r="AI6" s="2732"/>
      <c r="AJ6" s="2733"/>
    </row>
    <row r="7" spans="1:36" ht="24">
      <c r="A7" s="3269" t="str">
        <f>IF(E2="商业",IF(C8="不临58条商业街","",2),"")</f>
        <v/>
      </c>
      <c r="B7" s="2741" t="s">
        <v>2823</v>
      </c>
      <c r="C7" s="919" t="e">
        <f>IF(C8="不临58条商业街",1,ROUND(1+(1.6*E8+1.2*E9+0.8*E10+0.4*E11)*C9,4))</f>
        <v>#DIV/0!</v>
      </c>
      <c r="D7" s="2742" t="s">
        <v>2824</v>
      </c>
      <c r="E7" s="948"/>
      <c r="F7" s="2743"/>
      <c r="G7" s="2744"/>
      <c r="H7" s="2744"/>
      <c r="I7" s="2744"/>
      <c r="J7" s="2745"/>
      <c r="K7" s="1845"/>
      <c r="L7" s="2722"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2826</v>
      </c>
      <c r="X7" s="1607">
        <f>G2</f>
        <v>0</v>
      </c>
      <c r="Y7" s="1607" t="s">
        <v>2827</v>
      </c>
      <c r="Z7" s="1608">
        <f>G3</f>
        <v>4.26</v>
      </c>
      <c r="AA7" s="1609"/>
      <c r="AB7" s="1609"/>
      <c r="AC7" s="1610"/>
      <c r="AD7" s="1611"/>
      <c r="AE7" s="1611"/>
      <c r="AF7" s="1611"/>
      <c r="AG7" s="1611"/>
      <c r="AH7" s="1611"/>
      <c r="AI7" s="1611"/>
      <c r="AJ7" s="1612"/>
    </row>
    <row r="8" spans="1:36" ht="15">
      <c r="A8" s="3270"/>
      <c r="B8" s="198" t="s">
        <v>2828</v>
      </c>
      <c r="C8" s="2746"/>
      <c r="D8" s="920" t="s">
        <v>139</v>
      </c>
      <c r="E8" s="921" t="e">
        <f>ROUND(C11/E7,4)</f>
        <v>#DIV/0!</v>
      </c>
      <c r="F8" s="2747" t="s">
        <v>2829</v>
      </c>
      <c r="G8" s="2748"/>
      <c r="H8" s="2748"/>
      <c r="I8" s="2748"/>
      <c r="J8" s="2749"/>
      <c r="K8" s="1373"/>
      <c r="L8" s="2722"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2" t="s">
        <v>2831</v>
      </c>
      <c r="X8" s="3263"/>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70"/>
      <c r="B9" s="198" t="s">
        <v>2844</v>
      </c>
      <c r="C9" s="922">
        <f>SUMIF(修正!C59:C119,C8,修正!E59:E119)</f>
        <v>0</v>
      </c>
      <c r="D9" s="200" t="s">
        <v>140</v>
      </c>
      <c r="E9" s="200" t="e">
        <f>ROUND(C11/E7,4)</f>
        <v>#DIV/0!</v>
      </c>
      <c r="F9" s="2747" t="s">
        <v>2845</v>
      </c>
      <c r="G9" s="2748"/>
      <c r="H9" s="2748"/>
      <c r="I9" s="2748"/>
      <c r="J9" s="2749"/>
      <c r="K9" s="1373"/>
      <c r="L9" s="2722"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4"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2849</v>
      </c>
      <c r="C10" s="200">
        <f>SUMIF(修正!C59:C119,C8,修正!F59:F119)</f>
        <v>0</v>
      </c>
      <c r="D10" s="200" t="s">
        <v>141</v>
      </c>
      <c r="E10" s="200" t="e">
        <f>ROUND(C11/E7,4)</f>
        <v>#DIV/0!</v>
      </c>
      <c r="F10" s="2747" t="s">
        <v>2850</v>
      </c>
      <c r="G10" s="2748"/>
      <c r="H10" s="2748"/>
      <c r="I10" s="2748"/>
      <c r="J10" s="2749"/>
      <c r="K10" s="1373"/>
      <c r="L10" s="2722"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50" t="s">
        <v>2852</v>
      </c>
      <c r="C11" s="923">
        <f>C10/4</f>
        <v>0</v>
      </c>
      <c r="D11" s="923" t="s">
        <v>142</v>
      </c>
      <c r="E11" s="923" t="e">
        <f>ROUND(C11/E7,4)</f>
        <v>#DIV/0!</v>
      </c>
      <c r="F11" s="2751" t="s">
        <v>2853</v>
      </c>
      <c r="G11" s="2752"/>
      <c r="H11" s="2752"/>
      <c r="I11" s="2752"/>
      <c r="J11" s="2753"/>
      <c r="K11" s="1373"/>
      <c r="L11" s="2722"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4" t="s">
        <v>2855</v>
      </c>
      <c r="X11" s="1617" t="s">
        <v>2856</v>
      </c>
      <c r="Y11" s="1618">
        <f>$G$3</f>
        <v>4.26</v>
      </c>
      <c r="Z11" s="1618">
        <f t="shared" ref="Z11:AJ11" si="3">$G$3</f>
        <v>4.26</v>
      </c>
      <c r="AA11" s="1618">
        <f t="shared" si="3"/>
        <v>4.26</v>
      </c>
      <c r="AB11" s="1618">
        <f t="shared" si="3"/>
        <v>4.26</v>
      </c>
      <c r="AC11" s="1618">
        <f t="shared" si="3"/>
        <v>4.26</v>
      </c>
      <c r="AD11" s="1618">
        <f t="shared" si="3"/>
        <v>4.26</v>
      </c>
      <c r="AE11" s="1618">
        <f t="shared" si="3"/>
        <v>4.26</v>
      </c>
      <c r="AF11" s="1618">
        <f t="shared" si="3"/>
        <v>4.26</v>
      </c>
      <c r="AG11" s="1618">
        <f t="shared" si="3"/>
        <v>4.26</v>
      </c>
      <c r="AH11" s="1618">
        <f t="shared" si="3"/>
        <v>4.26</v>
      </c>
      <c r="AI11" s="1618">
        <f t="shared" si="3"/>
        <v>4.26</v>
      </c>
      <c r="AJ11" s="1618">
        <f t="shared" si="3"/>
        <v>4.26</v>
      </c>
    </row>
    <row r="12" spans="1:36" ht="25.5" thickBot="1">
      <c r="A12" s="3269" t="s">
        <v>2857</v>
      </c>
      <c r="B12" s="2754" t="s">
        <v>2858</v>
      </c>
      <c r="C12" s="919">
        <f>ROUND(C15*D15*E15*F15*G15*H15*I15*J15,4)</f>
        <v>1</v>
      </c>
      <c r="D12" s="2755" t="s">
        <v>2859</v>
      </c>
      <c r="E12" s="2756"/>
      <c r="F12" s="2756"/>
      <c r="G12" s="2757"/>
      <c r="H12" s="2757"/>
      <c r="I12" s="2757"/>
      <c r="J12" s="2758"/>
      <c r="K12" s="1373"/>
      <c r="L12" s="2759"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4"/>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1"/>
      <c r="B13" s="2760" t="s">
        <v>2862</v>
      </c>
      <c r="C13" s="2761" t="s">
        <v>2863</v>
      </c>
      <c r="D13" s="1811" t="s">
        <v>2864</v>
      </c>
      <c r="E13" s="1811" t="s">
        <v>2865</v>
      </c>
      <c r="F13" s="30" t="s">
        <v>2866</v>
      </c>
      <c r="G13" s="2762" t="s">
        <v>2867</v>
      </c>
      <c r="H13" s="2762" t="s">
        <v>2867</v>
      </c>
      <c r="I13" s="2762" t="s">
        <v>2867</v>
      </c>
      <c r="J13" s="2763" t="s">
        <v>2867</v>
      </c>
      <c r="K13" s="1373"/>
      <c r="L13" s="1373"/>
      <c r="M13" s="1373"/>
      <c r="N13" s="1373"/>
      <c r="O13" s="1373"/>
      <c r="P13" s="1373"/>
      <c r="Q13" s="1373"/>
      <c r="R13" s="1605">
        <v>12</v>
      </c>
      <c r="S13" s="1606"/>
      <c r="T13" s="1605" t="e">
        <f t="shared" si="0"/>
        <v>#DIV/0!</v>
      </c>
      <c r="U13" s="1606"/>
      <c r="V13" s="1605" t="e">
        <f t="shared" si="1"/>
        <v>#DIV/0!</v>
      </c>
      <c r="W13" s="3264"/>
      <c r="X13" s="1619"/>
      <c r="Y13" s="1616">
        <f>(-0.163*(Y12^2)-0.59*Y12+7617)*(10^(-4))/Y11</f>
        <v>0.17880281690140848</v>
      </c>
      <c r="Z13" s="1616">
        <f t="shared" ref="Z13:AJ13" si="5">(-0.163*(Z12^2)-0.59*Z12+7617)*(10^(-4))/Z11</f>
        <v>0.17880281690140848</v>
      </c>
      <c r="AA13" s="1616">
        <f t="shared" si="5"/>
        <v>0.17880281690140848</v>
      </c>
      <c r="AB13" s="1616">
        <f t="shared" si="5"/>
        <v>0.17880281690140848</v>
      </c>
      <c r="AC13" s="1616">
        <f t="shared" si="5"/>
        <v>0.17880281690140848</v>
      </c>
      <c r="AD13" s="1616">
        <f t="shared" si="5"/>
        <v>0.17880281690140848</v>
      </c>
      <c r="AE13" s="1616">
        <f t="shared" si="5"/>
        <v>0.17880281690140848</v>
      </c>
      <c r="AF13" s="1616">
        <f t="shared" si="5"/>
        <v>0.17880281690140848</v>
      </c>
      <c r="AG13" s="1616">
        <f t="shared" si="5"/>
        <v>0.17880281690140848</v>
      </c>
      <c r="AH13" s="1616">
        <f t="shared" si="5"/>
        <v>0.17880281690140848</v>
      </c>
      <c r="AI13" s="1616">
        <f t="shared" si="5"/>
        <v>0.17880281690140848</v>
      </c>
      <c r="AJ13" s="1616">
        <f t="shared" si="5"/>
        <v>0.17880281690140848</v>
      </c>
    </row>
    <row r="14" spans="1:36" ht="15">
      <c r="A14" s="3271"/>
      <c r="B14" s="2764"/>
      <c r="C14" s="2765"/>
      <c r="D14" s="2766"/>
      <c r="E14" s="2766"/>
      <c r="F14" s="2767"/>
      <c r="G14" s="2768" t="s">
        <v>2868</v>
      </c>
      <c r="H14" s="2769"/>
      <c r="I14" s="2770"/>
      <c r="J14" s="277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2"/>
      <c r="B15" s="2772" t="s">
        <v>2869</v>
      </c>
      <c r="C15" s="229">
        <f>IF(C14="有",1.1,1)</f>
        <v>1</v>
      </c>
      <c r="D15" s="229">
        <f>IF(D14="有",1.1,1)</f>
        <v>1</v>
      </c>
      <c r="E15" s="229">
        <f>IF(E14="有",1.1,1)</f>
        <v>1</v>
      </c>
      <c r="F15" s="229">
        <f>IF(F14="500米范围内",1.2,IF(F14="500-1000米",1.1,1))</f>
        <v>1</v>
      </c>
      <c r="G15" s="949">
        <v>1</v>
      </c>
      <c r="H15" s="949">
        <v>1</v>
      </c>
      <c r="I15" s="949">
        <v>1</v>
      </c>
      <c r="J15" s="950">
        <v>1</v>
      </c>
      <c r="K15" s="1373"/>
      <c r="L15" s="2773" t="s">
        <v>2805</v>
      </c>
      <c r="M15" s="920" t="s">
        <v>2870</v>
      </c>
      <c r="N15" s="920" t="s">
        <v>2871</v>
      </c>
      <c r="O15" s="920" t="s">
        <v>2872</v>
      </c>
      <c r="P15" s="2774"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2874</v>
      </c>
      <c r="B16" s="2741" t="s">
        <v>2875</v>
      </c>
      <c r="C16" s="1804" t="e">
        <f>ROUND(SUM(G17:J17)/C17,0)</f>
        <v>#DIV/0!</v>
      </c>
      <c r="D16" s="2775" t="s">
        <v>2876</v>
      </c>
      <c r="E16" s="2776"/>
      <c r="F16" s="2777"/>
      <c r="G16" s="2778"/>
      <c r="H16" s="2778"/>
      <c r="I16" s="2778"/>
      <c r="J16" s="2779"/>
      <c r="K16" s="1373"/>
      <c r="L16" s="2780"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81" t="s">
        <v>2878</v>
      </c>
      <c r="C17" s="924">
        <f>SUMPRODUCT((修正!A2:A5=E2)*(修正!B1:M1=G2)*(修正!B2:M5))</f>
        <v>0</v>
      </c>
      <c r="D17" s="2782"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2882</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2883</v>
      </c>
      <c r="C19" s="927" t="e">
        <f>ROUND(IF(H19="按公示增长率计算",SUMPRODUCT((地价!A3:A23=YEAR(G19)&amp;"-"&amp;ROUNDUP(MONTH(G19)/3,0))*(地价!X2:AB2=E2)*(地价!X3:AB23)),IF(H19="地价指数",M20/M19,(1+I19)^O19)),4)</f>
        <v>#DIV/0!</v>
      </c>
      <c r="D19" s="2793" t="s">
        <v>2884</v>
      </c>
      <c r="E19" s="928">
        <v>41640</v>
      </c>
      <c r="F19" s="2793" t="s">
        <v>2885</v>
      </c>
      <c r="G19" s="929">
        <f>'数据-取费表'!B2</f>
        <v>43369</v>
      </c>
      <c r="H19" s="2794" t="s">
        <v>2886</v>
      </c>
      <c r="I19" s="930" t="str">
        <f>IF(H19="季度增幅（自定义）",SUMIF(N21:N24,E2,O21:O24),"")</f>
        <v/>
      </c>
      <c r="J19" s="2791"/>
      <c r="K19" s="1380"/>
      <c r="L19" s="2795" t="s">
        <v>2887</v>
      </c>
      <c r="M19" s="1737">
        <f>ROUND(SUMIF(地价!B2:F2,E2,地价!B23:F23),0)</f>
        <v>0</v>
      </c>
      <c r="N19" s="2796"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2889</v>
      </c>
      <c r="C20" s="932" t="e">
        <f>ROUND(POWER(1+G20,J20-I20)*(POWER(1+G20,I20)-1)/(POWER(1+G20,J20)-1),4)</f>
        <v>#DIV/0!</v>
      </c>
      <c r="D20" s="2802" t="s">
        <v>2890</v>
      </c>
      <c r="E20" s="1771">
        <f ca="1">存贷款利率!D4/100</f>
        <v>4.3499999999999997E-2</v>
      </c>
      <c r="F20" s="2802" t="s">
        <v>2881</v>
      </c>
      <c r="G20" s="937">
        <f>SUMIF(M15:P15,E2,M17:P17)</f>
        <v>0</v>
      </c>
      <c r="H20" s="2802" t="s">
        <v>2891</v>
      </c>
      <c r="I20" s="938" t="e">
        <f>SUMIF('数据-取费表'!C6:C15,E2,'数据-取费表'!F6:F15)/COUNTIF('数据-取费表'!C6:C15,E2)</f>
        <v>#DIV/0!</v>
      </c>
      <c r="J20" s="939">
        <f>IF(E2="住宅",70,IF(E2="商业",40,50))</f>
        <v>50</v>
      </c>
      <c r="K20" s="1380"/>
      <c r="L20" s="2803" t="s">
        <v>2892</v>
      </c>
      <c r="M20" s="1738">
        <f>ROUND(SUMPRODUCT((地价!A4:A23=YEAR(G19)&amp;"-"&amp;ROUNDUP(MONTH(G19)/3,0))*(地价!B2:F2=E2)*(地价!B4:F23)),0)</f>
        <v>0</v>
      </c>
      <c r="N20" s="2804" t="s">
        <v>2893</v>
      </c>
      <c r="O20" s="2805" t="s">
        <v>2894</v>
      </c>
      <c r="P20" s="2806" t="s">
        <v>2895</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2896</v>
      </c>
      <c r="C21" s="940">
        <f>IF(B21="容积率修正",IF(G3&lt;=10,D22,J22),C23)</f>
        <v>0</v>
      </c>
      <c r="D21" s="2809"/>
      <c r="E21" s="2809"/>
      <c r="F21" s="2809"/>
      <c r="G21" s="2809"/>
      <c r="H21" s="2809"/>
      <c r="I21" s="2809"/>
      <c r="J21" s="2810"/>
      <c r="K21" s="1380"/>
      <c r="N21" s="2811"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2898</v>
      </c>
      <c r="B22" s="2812" t="s">
        <v>2899</v>
      </c>
      <c r="C22" s="1813" t="s">
        <v>2900</v>
      </c>
      <c r="D22" s="1813">
        <f>IF(E22=G22,F22,IF(G3&lt;=10,ROUND(F22+(H22-F22)*(G3-E22)/(G22-E22),4),"——"))</f>
        <v>0</v>
      </c>
      <c r="E22" s="916">
        <f>ROUNDDOWN(G3,1)</f>
        <v>4.2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1"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2902</v>
      </c>
      <c r="B23" s="2813" t="s">
        <v>2903</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2905</v>
      </c>
      <c r="C24" s="927">
        <f>SUMIF(A45:A88,E2,B45:B88)</f>
        <v>0</v>
      </c>
      <c r="D24" s="2789"/>
      <c r="E24" s="2819"/>
      <c r="F24" s="2819"/>
      <c r="G24" s="2819"/>
      <c r="H24" s="2819"/>
      <c r="I24" s="2819"/>
      <c r="J24" s="2820"/>
      <c r="K24" s="1380"/>
      <c r="N24" s="2821"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2907</v>
      </c>
      <c r="C25" s="933"/>
      <c r="D25" s="2744"/>
      <c r="E25" s="2744"/>
      <c r="F25" s="2823"/>
      <c r="G25" s="2744"/>
      <c r="H25" s="2744"/>
      <c r="I25" s="2744"/>
      <c r="J25" s="2745"/>
      <c r="K25" s="1373"/>
      <c r="N25" s="2824"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2909</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2910</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2911</v>
      </c>
      <c r="C28" s="2836" t="s">
        <v>2912</v>
      </c>
      <c r="D28" s="2836" t="s">
        <v>2913</v>
      </c>
      <c r="E28" s="2837" t="s">
        <v>2914</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2915</v>
      </c>
      <c r="C29" s="206" t="e">
        <f>ROUND(C5*C18*C19*C20*C21*C24,0)</f>
        <v>#DIV/0!</v>
      </c>
      <c r="D29" s="2841"/>
      <c r="E29" s="945" t="e">
        <f>ROUND(C29*D29/10000,0)</f>
        <v>#DIV/0!</v>
      </c>
      <c r="F29" s="2842" t="s">
        <v>2916</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2917</v>
      </c>
      <c r="C30" s="229" t="e">
        <f>ROUND(IF(E2="工业",C29*M39,C29*M38),0)</f>
        <v>#DIV/0!</v>
      </c>
      <c r="D30" s="2847"/>
      <c r="E30" s="945" t="e">
        <f>ROUND(C30*D30/10000,0)</f>
        <v>#DIV/0!</v>
      </c>
      <c r="F30" s="2848" t="s">
        <v>2918</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79" t="s">
        <v>2923</v>
      </c>
      <c r="B33" s="2857" t="s">
        <v>2924</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61" t="s">
        <v>2925</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61" t="s">
        <v>2926</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81"/>
      <c r="B36" s="2761" t="s">
        <v>2927</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2928</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2929</v>
      </c>
      <c r="M37" s="2861"/>
      <c r="N37" s="1373"/>
      <c r="O37" s="1373"/>
      <c r="P37" s="1373"/>
      <c r="Q37" s="1373"/>
      <c r="R37" s="1373"/>
      <c r="S37" s="1373"/>
      <c r="T37" s="1373"/>
      <c r="U37" s="1373"/>
      <c r="V37" s="1373"/>
      <c r="W37" s="1373"/>
      <c r="X37" s="1373"/>
      <c r="Y37" s="1373"/>
      <c r="Z37" s="1374"/>
    </row>
    <row r="38" spans="1:37">
      <c r="A38" s="2859"/>
      <c r="B38" s="2761" t="s">
        <v>2930</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90" t="s">
        <v>2931</v>
      </c>
      <c r="M38" s="2862">
        <v>0.25</v>
      </c>
      <c r="N38" s="1373"/>
      <c r="O38" s="1373"/>
      <c r="P38" s="1373"/>
      <c r="Q38" s="1373"/>
      <c r="R38" s="1373"/>
      <c r="S38" s="1373"/>
      <c r="T38" s="1373"/>
      <c r="U38" s="1373"/>
      <c r="V38" s="1373"/>
      <c r="W38" s="1373"/>
      <c r="X38" s="1373"/>
      <c r="Y38" s="1373"/>
      <c r="Z38" s="1374"/>
    </row>
    <row r="39" spans="1:37" ht="13.5" thickBot="1">
      <c r="A39" s="2845"/>
      <c r="B39" s="2863" t="s">
        <v>2932</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2933</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2934</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2935</v>
      </c>
      <c r="B47" s="1812" t="s">
        <v>2936</v>
      </c>
      <c r="C47" s="1812" t="s">
        <v>2937</v>
      </c>
      <c r="D47" s="1812" t="s">
        <v>2938</v>
      </c>
      <c r="E47" s="819" t="s">
        <v>2939</v>
      </c>
      <c r="F47" s="2875" t="s">
        <v>2940</v>
      </c>
      <c r="G47" s="1812" t="s">
        <v>754</v>
      </c>
      <c r="H47" s="2876" t="s">
        <v>2941</v>
      </c>
      <c r="I47" s="1812" t="s">
        <v>2942</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1">
      <c r="A48" s="2874" t="s">
        <v>2943</v>
      </c>
      <c r="B48" s="2877" t="str">
        <f>估价对象房地状况!C4</f>
        <v>估价对象位于丰泽区城东组团华大片区，周边商业氛围成熟度一般，人流量一般，商业繁华度一般。</v>
      </c>
      <c r="C48" s="2766"/>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4" t="s">
        <v>2944</v>
      </c>
      <c r="B49" s="2878" t="str">
        <f>估价对象房地状况!C18</f>
        <v>估价对象周边路网密集程度一般、公共交通通达情况一般，有7路、11路、35路等公共交通，停车便捷程度一般，综合评价交通便捷度一般。</v>
      </c>
      <c r="C49" s="2766"/>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4" t="s">
        <v>2945</v>
      </c>
      <c r="B50" s="2878" t="str">
        <f>估价对象房地状况!C19</f>
        <v>周边多为住宅用地，区域土地利用方向较一致。</v>
      </c>
      <c r="C50" s="2766"/>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2946</v>
      </c>
      <c r="B51" s="2879" t="s">
        <v>2947</v>
      </c>
      <c r="C51" s="2766"/>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2948</v>
      </c>
      <c r="B52" s="2878" t="str">
        <f>估价对象房地状况!C24</f>
        <v>城市主干道——城华南路</v>
      </c>
      <c r="C52" s="2766"/>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2949</v>
      </c>
      <c r="B53" s="2880" t="s">
        <v>2950</v>
      </c>
      <c r="C53" s="2766"/>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1" t="s">
        <v>2951</v>
      </c>
      <c r="B54" s="1728" t="str">
        <f>估价对象房地状况!C21</f>
        <v>估价对象所在区域2公里内有：银行（中国银行、泉州银行），购物（香港城购物中心、新天意购物广场），医院（丰泽常橙医院、华侨大学医院），学校（城东中学、鹤山小学）等，公共配套设施齐备情况较好。</v>
      </c>
      <c r="C54" s="2766"/>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2952</v>
      </c>
      <c r="B55" s="2878" t="str">
        <f>估价对象房地状况!C22</f>
        <v>估价对象所在区域基础设施水平达到“五通”。</v>
      </c>
      <c r="C55" s="2766"/>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2" t="s">
        <v>2953</v>
      </c>
      <c r="B56" s="2883" t="str">
        <f>估价对象房地状况!C20</f>
        <v>区域自然环境：绿化条件较好，2公里内无公园；人文环境：有华侨大学等人文景观；综合评价环境状况一般。</v>
      </c>
      <c r="C56" s="2766"/>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2954</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2935</v>
      </c>
      <c r="B58" s="1812"/>
      <c r="C58" s="1812" t="s">
        <v>2937</v>
      </c>
      <c r="D58" s="1812" t="s">
        <v>2938</v>
      </c>
      <c r="E58" s="819" t="s">
        <v>2939</v>
      </c>
      <c r="F58" s="2875" t="s">
        <v>2955</v>
      </c>
      <c r="G58" s="1812" t="s">
        <v>754</v>
      </c>
      <c r="H58" s="2876" t="s">
        <v>2941</v>
      </c>
      <c r="I58" s="1812" t="s">
        <v>2942</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76.5">
      <c r="A59" s="2874" t="s">
        <v>2956</v>
      </c>
      <c r="B59" s="2877" t="str">
        <f>估价对象房地状况!C17</f>
        <v>估价对象位于丰泽区城东组团华大片区，周边办公楼项目较多，入驻率较高，有兴业大厦、博亚大厦等，办公集聚程度较好。</v>
      </c>
      <c r="C59" s="2766"/>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4" t="s">
        <v>2944</v>
      </c>
      <c r="B60" s="2878" t="str">
        <f>估价对象房地状况!C18</f>
        <v>估价对象周边路网密集程度一般、公共交通通达情况一般，有7路、11路、35路等公共交通，停车便捷程度一般，综合评价交通便捷度一般。</v>
      </c>
      <c r="C60" s="2766"/>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4" t="s">
        <v>2945</v>
      </c>
      <c r="B61" s="2878" t="str">
        <f>估价对象房地状况!C19</f>
        <v>周边多为住宅用地，区域土地利用方向较一致。</v>
      </c>
      <c r="C61" s="2766"/>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2946</v>
      </c>
      <c r="B62" s="2879" t="s">
        <v>2947</v>
      </c>
      <c r="C62" s="2766"/>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2948</v>
      </c>
      <c r="B63" s="2878" t="str">
        <f>估价对象房地状况!C24</f>
        <v>城市主干道——城华南路</v>
      </c>
      <c r="C63" s="2766"/>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2949</v>
      </c>
      <c r="B64" s="2880" t="s">
        <v>2950</v>
      </c>
      <c r="C64" s="2766"/>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4" t="s">
        <v>2951</v>
      </c>
      <c r="B65" s="1728" t="str">
        <f>估价对象房地状况!C21</f>
        <v>估价对象所在区域2公里内有：银行（中国银行、泉州银行），购物（香港城购物中心、新天意购物广场），医院（丰泽常橙医院、华侨大学医院），学校（城东中学、鹤山小学）等，公共配套设施齐备情况较好。</v>
      </c>
      <c r="C65" s="2766"/>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2952</v>
      </c>
      <c r="B66" s="1728" t="str">
        <f>估价对象房地状况!C22</f>
        <v>估价对象所在区域基础设施水平达到“五通”。</v>
      </c>
      <c r="C66" s="2766"/>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2" t="s">
        <v>2953</v>
      </c>
      <c r="B67" s="2884" t="str">
        <f>估价对象房地状况!C20</f>
        <v>区域自然环境：绿化条件较好，2公里内无公园；人文环境：有华侨大学等人文景观；综合评价环境状况一般。</v>
      </c>
      <c r="C67" s="2766"/>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2957</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2935</v>
      </c>
      <c r="B69" s="1812"/>
      <c r="C69" s="1812" t="s">
        <v>2937</v>
      </c>
      <c r="D69" s="1812" t="s">
        <v>2938</v>
      </c>
      <c r="E69" s="819" t="s">
        <v>2939</v>
      </c>
      <c r="F69" s="2875" t="s">
        <v>2955</v>
      </c>
      <c r="G69" s="1812" t="s">
        <v>754</v>
      </c>
      <c r="H69" s="2876" t="s">
        <v>2941</v>
      </c>
      <c r="I69" s="1812" t="s">
        <v>2942</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63.75">
      <c r="A70" s="2874" t="s">
        <v>2958</v>
      </c>
      <c r="B70" s="2877" t="str">
        <f>估价对象房地状况!C15</f>
        <v>估价对象周边居住用地比例较大、居住小区规模较大和社区发展完善程度较好，综合评价居住社区成熟度较好。</v>
      </c>
      <c r="C70" s="2766"/>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4" t="s">
        <v>2944</v>
      </c>
      <c r="B71" s="2878" t="str">
        <f>估价对象房地状况!C18</f>
        <v>估价对象周边路网密集程度一般、公共交通通达情况一般，有7路、11路、35路等公共交通，停车便捷程度一般，综合评价交通便捷度一般。</v>
      </c>
      <c r="C71" s="2766"/>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4" t="s">
        <v>2945</v>
      </c>
      <c r="B72" s="2878" t="str">
        <f>估价对象房地状况!C19</f>
        <v>周边多为住宅用地，区域土地利用方向较一致。</v>
      </c>
      <c r="C72" s="2766"/>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2959</v>
      </c>
      <c r="B73" s="2878" t="str">
        <f>估价对象房地状况!C24</f>
        <v>城市主干道——城华南路</v>
      </c>
      <c r="C73" s="2766"/>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4" t="s">
        <v>2951</v>
      </c>
      <c r="B74" s="1728" t="str">
        <f>估价对象房地状况!C21</f>
        <v>估价对象所在区域2公里内有：银行（中国银行、泉州银行），购物（香港城购物中心、新天意购物广场），医院（丰泽常橙医院、华侨大学医院），学校（城东中学、鹤山小学）等，公共配套设施齐备情况较好。</v>
      </c>
      <c r="C74" s="2766"/>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2952</v>
      </c>
      <c r="B75" s="1728" t="str">
        <f>估价对象房地状况!C22</f>
        <v>估价对象所在区域基础设施水平达到“五通”。</v>
      </c>
      <c r="C75" s="2766"/>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2949</v>
      </c>
      <c r="B76" s="2880" t="s">
        <v>2950</v>
      </c>
      <c r="C76" s="2766"/>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63.75">
      <c r="A77" s="2874" t="s">
        <v>2953</v>
      </c>
      <c r="B77" s="2877" t="str">
        <f>估价对象房地状况!C20</f>
        <v>区域自然环境：绿化条件较好，2公里内无公园；人文环境：有华侨大学等人文景观；综合评价环境状况一般。</v>
      </c>
      <c r="C77" s="2766"/>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2960</v>
      </c>
      <c r="B78" s="2886"/>
      <c r="C78" s="2766"/>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2961</v>
      </c>
      <c r="B79" s="2871">
        <f>1+E81</f>
        <v>1</v>
      </c>
      <c r="C79" s="814"/>
      <c r="D79" s="814"/>
      <c r="E79" s="815"/>
      <c r="F79" s="2873"/>
      <c r="G79" s="6"/>
      <c r="H79" s="6"/>
      <c r="I79" s="6"/>
      <c r="J79" s="7"/>
      <c r="K79" s="7"/>
      <c r="L79" s="7"/>
      <c r="M79" s="7"/>
      <c r="N79" s="7"/>
      <c r="Z79" s="2716"/>
      <c r="AA79" s="2792"/>
      <c r="AG79" s="1375"/>
      <c r="AK79" s="2792"/>
    </row>
    <row r="80" spans="1:37" ht="24.75">
      <c r="A80" s="2874" t="s">
        <v>2935</v>
      </c>
      <c r="B80" s="1812"/>
      <c r="C80" s="1812" t="s">
        <v>2937</v>
      </c>
      <c r="D80" s="1812" t="s">
        <v>2938</v>
      </c>
      <c r="E80" s="819" t="s">
        <v>2939</v>
      </c>
      <c r="F80" s="2875" t="s">
        <v>2955</v>
      </c>
      <c r="G80" s="1812" t="s">
        <v>754</v>
      </c>
      <c r="H80" s="2876" t="s">
        <v>2941</v>
      </c>
      <c r="I80" s="1812" t="s">
        <v>2942</v>
      </c>
      <c r="J80" s="603" t="s">
        <v>2589</v>
      </c>
      <c r="K80" s="603" t="s">
        <v>2590</v>
      </c>
      <c r="L80" s="603" t="s">
        <v>2591</v>
      </c>
      <c r="M80" s="603" t="s">
        <v>2592</v>
      </c>
      <c r="N80" s="603" t="s">
        <v>2593</v>
      </c>
      <c r="Z80" s="2716"/>
      <c r="AA80" s="2792"/>
      <c r="AG80" s="1375"/>
      <c r="AK80" s="2792"/>
    </row>
    <row r="81" spans="1:37" ht="38.25">
      <c r="A81" s="2874" t="s">
        <v>2962</v>
      </c>
      <c r="B81" s="2878" t="str">
        <f>估价对象房地状况!G15</f>
        <v>估价对象位于XX开发区，园区建设成熟度XX，产业集聚程度XX</v>
      </c>
      <c r="C81" s="2766"/>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2944</v>
      </c>
      <c r="B82" s="2878" t="str">
        <f>估价对象房地状况!G16</f>
        <v>估价对象周边道路状况、公共交通通达情况、停车便捷程度，综合评价交通便捷度较好</v>
      </c>
      <c r="C82" s="2766"/>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2945</v>
      </c>
      <c r="B83" s="2878">
        <f>估价对象房地状况!G17</f>
        <v>0</v>
      </c>
      <c r="C83" s="2766"/>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2959</v>
      </c>
      <c r="B84" s="2878">
        <f>估价对象房地状况!G22</f>
        <v>0</v>
      </c>
      <c r="C84" s="2766"/>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2951</v>
      </c>
      <c r="B85" s="1728" t="str">
        <f>估价对象房地状况!G19</f>
        <v>估价对象所在区域公共配套设施齐备情况</v>
      </c>
      <c r="C85" s="2766"/>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2952</v>
      </c>
      <c r="B86" s="1728" t="str">
        <f>估价对象房地状况!G20</f>
        <v>估价对象所在区域基础设施水平</v>
      </c>
      <c r="C86" s="2766"/>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2949</v>
      </c>
      <c r="B87" s="2880" t="s">
        <v>2963</v>
      </c>
      <c r="C87" s="2766"/>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2964</v>
      </c>
      <c r="B88" s="2887" t="str">
        <f>估价对象房地状况!G18</f>
        <v>该园区内是否有污染型企业，绿化情况，卫生条件，整体环境状况判断</v>
      </c>
      <c r="C88" s="2766"/>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73" t="s">
        <v>2965</v>
      </c>
      <c r="B90" s="3273"/>
      <c r="C90" s="3273"/>
      <c r="D90" s="3273"/>
      <c r="E90" s="3273"/>
      <c r="F90" s="3273"/>
      <c r="G90" s="3273"/>
      <c r="H90" s="3273"/>
      <c r="I90" s="3273"/>
      <c r="J90" s="3273"/>
      <c r="K90" s="2888"/>
      <c r="L90" s="2888"/>
      <c r="M90" s="2888"/>
      <c r="N90" s="2888"/>
    </row>
    <row r="91" spans="1:37">
      <c r="A91" s="3275" t="s">
        <v>2966</v>
      </c>
      <c r="B91" s="3275" t="s">
        <v>2967</v>
      </c>
      <c r="C91" s="2842" t="s">
        <v>2968</v>
      </c>
      <c r="D91" s="2843"/>
      <c r="E91" s="2843"/>
      <c r="F91" s="2843"/>
      <c r="G91" s="2843"/>
      <c r="H91" s="2843"/>
      <c r="I91" s="2843"/>
      <c r="J91" s="2889"/>
      <c r="K91" s="2890"/>
      <c r="L91" s="2890"/>
      <c r="M91" s="2890"/>
      <c r="N91" s="2890"/>
    </row>
    <row r="92" spans="1:37">
      <c r="A92" s="3275"/>
      <c r="B92" s="3275"/>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6"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2970</v>
      </c>
      <c r="B101" s="2895" t="s">
        <v>2971</v>
      </c>
      <c r="C101" s="2896">
        <f>$G$3</f>
        <v>4.26</v>
      </c>
      <c r="D101" s="2896">
        <f t="shared" ref="D101:N101" si="31">$G$3</f>
        <v>4.26</v>
      </c>
      <c r="E101" s="2896">
        <f t="shared" si="31"/>
        <v>4.26</v>
      </c>
      <c r="F101" s="2896">
        <f t="shared" si="31"/>
        <v>4.26</v>
      </c>
      <c r="G101" s="2896">
        <f t="shared" si="31"/>
        <v>4.26</v>
      </c>
      <c r="H101" s="2896">
        <f t="shared" si="31"/>
        <v>4.26</v>
      </c>
      <c r="I101" s="2896">
        <f t="shared" si="31"/>
        <v>4.26</v>
      </c>
      <c r="J101" s="2896">
        <f t="shared" si="31"/>
        <v>4.26</v>
      </c>
      <c r="K101" s="2896">
        <f t="shared" si="31"/>
        <v>4.26</v>
      </c>
      <c r="L101" s="2896">
        <f t="shared" si="31"/>
        <v>4.26</v>
      </c>
      <c r="M101" s="2896">
        <f t="shared" si="31"/>
        <v>4.26</v>
      </c>
      <c r="N101" s="2896">
        <f t="shared" si="31"/>
        <v>4.26</v>
      </c>
    </row>
    <row r="102" spans="1:14">
      <c r="A102" s="3277"/>
      <c r="B102" s="2891">
        <v>1</v>
      </c>
      <c r="C102" s="2892">
        <f>1.9362/C101</f>
        <v>0.45450704225352112</v>
      </c>
      <c r="D102" s="2892">
        <f>1.9362/D101</f>
        <v>0.45450704225352112</v>
      </c>
      <c r="E102" s="2892">
        <f>1.8629/E101</f>
        <v>0.4373004694835681</v>
      </c>
      <c r="F102" s="2892">
        <f>1.8629/F101</f>
        <v>0.4373004694835681</v>
      </c>
      <c r="G102" s="2892">
        <f>1.8629/G101</f>
        <v>0.4373004694835681</v>
      </c>
      <c r="H102" s="2892">
        <f>1.8629/H101</f>
        <v>0.4373004694835681</v>
      </c>
      <c r="I102" s="2892">
        <f>1.8629/I101</f>
        <v>0.4373004694835681</v>
      </c>
      <c r="J102" s="2892">
        <f>1.942/J101</f>
        <v>0.45586854460093895</v>
      </c>
      <c r="K102" s="2892">
        <f>1.942/K101</f>
        <v>0.45586854460093895</v>
      </c>
      <c r="L102" s="2892">
        <f>1.942/L101</f>
        <v>0.45586854460093895</v>
      </c>
      <c r="M102" s="2892">
        <f>1.942/M101</f>
        <v>0.45586854460093895</v>
      </c>
      <c r="N102" s="2892">
        <f>1.942/N101</f>
        <v>0.45586854460093895</v>
      </c>
    </row>
    <row r="103" spans="1:14">
      <c r="A103" s="3277"/>
      <c r="B103" s="2891">
        <v>2</v>
      </c>
      <c r="C103" s="2892">
        <f>1.4198/C101</f>
        <v>0.33328638497652585</v>
      </c>
      <c r="D103" s="2892">
        <f>1.4198/D101</f>
        <v>0.33328638497652585</v>
      </c>
      <c r="E103" s="2892">
        <f>1.3372/E101</f>
        <v>0.31389671361502347</v>
      </c>
      <c r="F103" s="2892">
        <f>1.3372/F101</f>
        <v>0.31389671361502347</v>
      </c>
      <c r="G103" s="2892">
        <f>1.3372/G101</f>
        <v>0.31389671361502347</v>
      </c>
      <c r="H103" s="2892">
        <f>1.3372/H101</f>
        <v>0.31389671361502347</v>
      </c>
      <c r="I103" s="2892">
        <f>1.3372/I101</f>
        <v>0.31389671361502347</v>
      </c>
      <c r="J103" s="2892">
        <f>1.2799/J101</f>
        <v>0.30044600938967136</v>
      </c>
      <c r="K103" s="2892">
        <f>1.2799/K101</f>
        <v>0.30044600938967136</v>
      </c>
      <c r="L103" s="2892">
        <f>1.2799/L101</f>
        <v>0.30044600938967136</v>
      </c>
      <c r="M103" s="2892">
        <f>1.2799/M101</f>
        <v>0.30044600938967136</v>
      </c>
      <c r="N103" s="2892">
        <f>1.2799/N101</f>
        <v>0.30044600938967136</v>
      </c>
    </row>
    <row r="104" spans="1:14">
      <c r="A104" s="3277"/>
      <c r="B104" s="2891">
        <v>3</v>
      </c>
      <c r="C104" s="2892">
        <f>1.1594/C101</f>
        <v>0.27215962441314556</v>
      </c>
      <c r="D104" s="2892">
        <f>1.1594/D101</f>
        <v>0.27215962441314556</v>
      </c>
      <c r="E104" s="2892">
        <f>1.0788/E101</f>
        <v>0.25323943661971832</v>
      </c>
      <c r="F104" s="2892">
        <f>1.0788/F101</f>
        <v>0.25323943661971832</v>
      </c>
      <c r="G104" s="2892">
        <f>1.0788/G101</f>
        <v>0.25323943661971832</v>
      </c>
      <c r="H104" s="2892">
        <f>1.0788/H101</f>
        <v>0.25323943661971832</v>
      </c>
      <c r="I104" s="2892">
        <f>1.0788/I101</f>
        <v>0.25323943661971832</v>
      </c>
      <c r="J104" s="2892">
        <f>1.0072/J101</f>
        <v>0.23643192488262915</v>
      </c>
      <c r="K104" s="2892">
        <f>1.0072/K101</f>
        <v>0.23643192488262915</v>
      </c>
      <c r="L104" s="2892">
        <f>1.0072/L101</f>
        <v>0.23643192488262915</v>
      </c>
      <c r="M104" s="2892">
        <f>1.0072/M101</f>
        <v>0.23643192488262915</v>
      </c>
      <c r="N104" s="2892">
        <f>1.0072/N101</f>
        <v>0.23643192488262915</v>
      </c>
    </row>
    <row r="105" spans="1:14">
      <c r="A105" s="3277"/>
      <c r="B105" s="2891">
        <v>4</v>
      </c>
      <c r="C105" s="2892">
        <f>0.9622/C101</f>
        <v>0.225868544600939</v>
      </c>
      <c r="D105" s="2892">
        <f>0.9622/D101</f>
        <v>0.225868544600939</v>
      </c>
      <c r="E105" s="2892">
        <f>0.8656/E101</f>
        <v>0.20319248826291081</v>
      </c>
      <c r="F105" s="2892">
        <f>0.8656/F101</f>
        <v>0.20319248826291081</v>
      </c>
      <c r="G105" s="2892">
        <f>0.8656/G101</f>
        <v>0.20319248826291081</v>
      </c>
      <c r="H105" s="2892">
        <f>0.8656/H101</f>
        <v>0.20319248826291081</v>
      </c>
      <c r="I105" s="2892">
        <f>0.8656/I101</f>
        <v>0.20319248826291081</v>
      </c>
      <c r="J105" s="2892">
        <f>0.7525/J101</f>
        <v>0.17664319248826291</v>
      </c>
      <c r="K105" s="2892">
        <f>0.7525/K101</f>
        <v>0.17664319248826291</v>
      </c>
      <c r="L105" s="2892">
        <f>0.7525/L101</f>
        <v>0.17664319248826291</v>
      </c>
      <c r="M105" s="2892">
        <f>0.7525/M101</f>
        <v>0.17664319248826291</v>
      </c>
      <c r="N105" s="2892">
        <f>0.7525/N101</f>
        <v>0.17664319248826291</v>
      </c>
    </row>
    <row r="106" spans="1:14">
      <c r="A106" s="3277"/>
      <c r="B106" s="2891">
        <v>5</v>
      </c>
      <c r="C106" s="2892">
        <f>0.8417/C101</f>
        <v>0.19758215962441317</v>
      </c>
      <c r="D106" s="2892">
        <f>0.8417/D101</f>
        <v>0.19758215962441317</v>
      </c>
      <c r="E106" s="2892">
        <f>0.7371/E101</f>
        <v>0.17302816901408452</v>
      </c>
      <c r="F106" s="2892">
        <f>0.7371/F101</f>
        <v>0.17302816901408452</v>
      </c>
      <c r="G106" s="2892">
        <f>0.7371/G101</f>
        <v>0.17302816901408452</v>
      </c>
      <c r="H106" s="2892">
        <f>0.7371/H101</f>
        <v>0.17302816901408452</v>
      </c>
      <c r="I106" s="2892">
        <f>0.7371/I101</f>
        <v>0.17302816901408452</v>
      </c>
      <c r="J106" s="2892">
        <f>0.5659/J101</f>
        <v>0.13284037558685446</v>
      </c>
      <c r="K106" s="2892">
        <f>0.5659/K101</f>
        <v>0.13284037558685446</v>
      </c>
      <c r="L106" s="2892">
        <f>0.5659/L101</f>
        <v>0.13284037558685446</v>
      </c>
      <c r="M106" s="2892">
        <f>0.5659/M101</f>
        <v>0.13284037558685446</v>
      </c>
      <c r="N106" s="2892">
        <f>0.5659/N101</f>
        <v>0.13284037558685446</v>
      </c>
    </row>
    <row r="107" spans="1:14">
      <c r="A107" s="3277"/>
      <c r="B107" s="2891">
        <v>6</v>
      </c>
      <c r="C107" s="2892">
        <f>0.7608/C101</f>
        <v>0.17859154929577467</v>
      </c>
      <c r="D107" s="2892">
        <f>0.7608/D101</f>
        <v>0.17859154929577467</v>
      </c>
      <c r="E107" s="2892">
        <f>0.6482/E101</f>
        <v>0.15215962441314554</v>
      </c>
      <c r="F107" s="2892">
        <f>0.6482/F101</f>
        <v>0.15215962441314554</v>
      </c>
      <c r="G107" s="2892">
        <f>0.6482/G101</f>
        <v>0.15215962441314554</v>
      </c>
      <c r="H107" s="2892">
        <f>0.6482/H101</f>
        <v>0.15215962441314554</v>
      </c>
      <c r="I107" s="2892">
        <f>0.6482/I101</f>
        <v>0.15215962441314554</v>
      </c>
      <c r="J107" s="2892">
        <f>0.4525/J101</f>
        <v>0.10622065727699531</v>
      </c>
      <c r="K107" s="2892">
        <f>0.4525/K101</f>
        <v>0.10622065727699531</v>
      </c>
      <c r="L107" s="2892">
        <f>0.4525/L101</f>
        <v>0.10622065727699531</v>
      </c>
      <c r="M107" s="2892">
        <f>0.4525/M101</f>
        <v>0.10622065727699531</v>
      </c>
      <c r="N107" s="2892">
        <f>0.4525/N101</f>
        <v>0.10622065727699531</v>
      </c>
    </row>
    <row r="108" spans="1:14">
      <c r="A108" s="3277"/>
      <c r="B108" s="3131"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132"/>
      <c r="C109" s="2894">
        <f>(-0.163*(C108^2)-0.59*C108+7617)*(10^(-4))/C101</f>
        <v>0.17880281690140848</v>
      </c>
      <c r="D109" s="2894">
        <f>(-0.163*(D108^2)-0.59*D108+7617)*(10^(-4))/D101</f>
        <v>0.17880281690140848</v>
      </c>
      <c r="E109" s="2894">
        <f>(-0.161*(E108^2)-7.509*E108+6533)*(10^(-4))/E101</f>
        <v>0.15335680751173711</v>
      </c>
      <c r="F109" s="2894">
        <f>(-0.161*(F108^2)-7.509*F108+6533)*(10^(-4))/F101</f>
        <v>0.15335680751173711</v>
      </c>
      <c r="G109" s="2894">
        <f>(-0.161*(G108^2)-7.509*G108+6533)*(10^(-4))/G101</f>
        <v>0.15335680751173711</v>
      </c>
      <c r="H109" s="2894">
        <f>(-0.161*(H108^2)-7.509*H108+6533)*(10^(-4))/H101</f>
        <v>0.15335680751173711</v>
      </c>
      <c r="I109" s="2894">
        <f>(-0.161*(I108^2)-7.509*I108+6533)*(10^(-4))/I101</f>
        <v>0.15335680751173711</v>
      </c>
      <c r="J109" s="2894">
        <f>(-0.214*(J108^2)-21.991*J108+4665)*(10^(-4))/J101</f>
        <v>0.10950704225352113</v>
      </c>
      <c r="K109" s="2894">
        <f>(-0.214*(K108^2)-21.991*K108+4665)*(10^(-4))/K101</f>
        <v>0.10950704225352113</v>
      </c>
      <c r="L109" s="2894">
        <f>(-0.214*(L108^2)-21.991*L108+4665)*(10^(-4))/L101</f>
        <v>0.10950704225352113</v>
      </c>
      <c r="M109" s="2894">
        <f>(-0.214*(M108^2)-21.991*M108+4665)*(10^(-4))/M101</f>
        <v>0.10950704225352113</v>
      </c>
      <c r="N109" s="2894">
        <f>(-0.214*(N108^2)-21.991*N108+4665)*(10^(-4))/N101</f>
        <v>0.10950704225352113</v>
      </c>
    </row>
    <row r="110" spans="1:14">
      <c r="A110" s="3274" t="s">
        <v>2973</v>
      </c>
      <c r="B110" s="3274"/>
      <c r="C110" s="3274"/>
      <c r="D110" s="3274"/>
      <c r="E110" s="3274"/>
      <c r="F110" s="3274"/>
      <c r="G110" s="3274"/>
      <c r="H110" s="3274"/>
      <c r="I110" s="3274"/>
      <c r="J110" s="3274"/>
      <c r="K110" s="2897"/>
      <c r="L110" s="2897"/>
      <c r="M110" s="2897"/>
      <c r="N110" s="2897"/>
    </row>
    <row r="112" spans="1:14" ht="13.5" thickBot="1"/>
    <row r="113" spans="1:13" ht="25.5" thickBot="1">
      <c r="A113" s="903" t="s">
        <v>2974</v>
      </c>
      <c r="B113" s="1290">
        <f>G3</f>
        <v>4.26</v>
      </c>
      <c r="C113" s="904" t="s">
        <v>2975</v>
      </c>
      <c r="D113" s="905">
        <f>SUMPRODUCT((A115:A118=F113)*(B114:M114=H113)*B115:M118)</f>
        <v>0</v>
      </c>
      <c r="E113" s="2720" t="s">
        <v>2805</v>
      </c>
      <c r="F113" s="2899">
        <f>E2</f>
        <v>0</v>
      </c>
      <c r="G113" s="2720" t="s">
        <v>2806</v>
      </c>
      <c r="H113" s="2899">
        <f>G2</f>
        <v>0</v>
      </c>
      <c r="I113" s="2720"/>
      <c r="J113" s="2900"/>
      <c r="K113" s="2900"/>
      <c r="L113" s="2900"/>
      <c r="M113" s="2900"/>
    </row>
    <row r="114" spans="1:13">
      <c r="A114" s="908"/>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9" t="s">
        <v>2870</v>
      </c>
      <c r="B115" s="910">
        <f>ROUND(0.9335-0.0094*B113,4)</f>
        <v>0.89349999999999996</v>
      </c>
      <c r="C115" s="910">
        <f>B115</f>
        <v>0.89349999999999996</v>
      </c>
      <c r="D115" s="910">
        <f>ROUND(0.8331-0.0109*B113,4)</f>
        <v>0.78669999999999995</v>
      </c>
      <c r="E115" s="910">
        <f>D115</f>
        <v>0.78669999999999995</v>
      </c>
      <c r="F115" s="910">
        <f>E115</f>
        <v>0.78669999999999995</v>
      </c>
      <c r="G115" s="910">
        <f>F115</f>
        <v>0.78669999999999995</v>
      </c>
      <c r="H115" s="910">
        <f>G115</f>
        <v>0.78669999999999995</v>
      </c>
      <c r="I115" s="910">
        <f>ROUND(0.689-0.0155*B113,4)</f>
        <v>0.623</v>
      </c>
      <c r="J115" s="910">
        <f t="shared" ref="J115:M118" si="33">I115</f>
        <v>0.623</v>
      </c>
      <c r="K115" s="910">
        <f t="shared" si="33"/>
        <v>0.623</v>
      </c>
      <c r="L115" s="910">
        <f t="shared" si="33"/>
        <v>0.623</v>
      </c>
      <c r="M115" s="911">
        <f t="shared" si="33"/>
        <v>0.623</v>
      </c>
    </row>
    <row r="116" spans="1:13">
      <c r="A116" s="909" t="s">
        <v>2871</v>
      </c>
      <c r="B116" s="910">
        <f>ROUND(0.949-0.012*B113,4)</f>
        <v>0.89790000000000003</v>
      </c>
      <c r="C116" s="910">
        <f>B116</f>
        <v>0.89790000000000003</v>
      </c>
      <c r="D116" s="910">
        <f>ROUND(0.8567-0.013*B113,4)</f>
        <v>0.80130000000000001</v>
      </c>
      <c r="E116" s="910">
        <f t="shared" ref="E116:H117" si="34">D116</f>
        <v>0.80130000000000001</v>
      </c>
      <c r="F116" s="910">
        <f t="shared" si="34"/>
        <v>0.80130000000000001</v>
      </c>
      <c r="G116" s="910">
        <f t="shared" si="34"/>
        <v>0.80130000000000001</v>
      </c>
      <c r="H116" s="910">
        <f t="shared" si="34"/>
        <v>0.80130000000000001</v>
      </c>
      <c r="I116" s="910">
        <f>ROUND(0.7694-0.014*B113,4)</f>
        <v>0.70979999999999999</v>
      </c>
      <c r="J116" s="910">
        <f t="shared" si="33"/>
        <v>0.70979999999999999</v>
      </c>
      <c r="K116" s="910">
        <f t="shared" si="33"/>
        <v>0.70979999999999999</v>
      </c>
      <c r="L116" s="910">
        <f t="shared" si="33"/>
        <v>0.70979999999999999</v>
      </c>
      <c r="M116" s="911">
        <f t="shared" si="33"/>
        <v>0.70979999999999999</v>
      </c>
    </row>
    <row r="117" spans="1:13">
      <c r="A117" s="909" t="s">
        <v>2872</v>
      </c>
      <c r="B117" s="910">
        <f>ROUND(0.8808-0.006*B113,4)</f>
        <v>0.85519999999999996</v>
      </c>
      <c r="C117" s="910">
        <f>B117</f>
        <v>0.85519999999999996</v>
      </c>
      <c r="D117" s="910">
        <f>ROUND(0.8748-0.008*B113,4)</f>
        <v>0.8407</v>
      </c>
      <c r="E117" s="910">
        <f t="shared" si="34"/>
        <v>0.8407</v>
      </c>
      <c r="F117" s="910">
        <f t="shared" si="34"/>
        <v>0.8407</v>
      </c>
      <c r="G117" s="910">
        <f t="shared" si="34"/>
        <v>0.8407</v>
      </c>
      <c r="H117" s="910">
        <f t="shared" si="34"/>
        <v>0.8407</v>
      </c>
      <c r="I117" s="910">
        <f>ROUND(0.7412-0.0095*B113,4)</f>
        <v>0.70069999999999999</v>
      </c>
      <c r="J117" s="910">
        <f t="shared" si="33"/>
        <v>0.70069999999999999</v>
      </c>
      <c r="K117" s="910">
        <f t="shared" si="33"/>
        <v>0.70069999999999999</v>
      </c>
      <c r="L117" s="910">
        <f t="shared" si="33"/>
        <v>0.70069999999999999</v>
      </c>
      <c r="M117" s="911">
        <f t="shared" si="33"/>
        <v>0.70069999999999999</v>
      </c>
    </row>
    <row r="118" spans="1:13" ht="13.5" thickBot="1">
      <c r="A118" s="714" t="s">
        <v>2873</v>
      </c>
      <c r="B118" s="912">
        <f>ROUND(0.7275-0.01*B113,4)</f>
        <v>0.68489999999999995</v>
      </c>
      <c r="C118" s="912">
        <f>B118</f>
        <v>0.68489999999999995</v>
      </c>
      <c r="D118" s="912">
        <f>ROUND(0.7043-0.012*B113,4)</f>
        <v>0.6532</v>
      </c>
      <c r="E118" s="912">
        <f>D118</f>
        <v>0.6532</v>
      </c>
      <c r="F118" s="912">
        <f>E118</f>
        <v>0.6532</v>
      </c>
      <c r="G118" s="912">
        <f>ROUND(0.6299-0.0122*B113,4)</f>
        <v>0.57789999999999997</v>
      </c>
      <c r="H118" s="912">
        <f>G118</f>
        <v>0.57789999999999997</v>
      </c>
      <c r="I118" s="912">
        <f>ROUND(0.5667-0.0136*B113,4)</f>
        <v>0.50880000000000003</v>
      </c>
      <c r="J118" s="912">
        <f t="shared" si="33"/>
        <v>0.50880000000000003</v>
      </c>
      <c r="K118" s="912">
        <f t="shared" si="33"/>
        <v>0.50880000000000003</v>
      </c>
      <c r="L118" s="912">
        <f t="shared" si="33"/>
        <v>0.50880000000000003</v>
      </c>
      <c r="M118" s="913">
        <f t="shared" si="33"/>
        <v>0.50880000000000003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59"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3">
        <f ca="1">SUMIF(INDIRECT("'"&amp;A6&amp;"'"&amp;"!C:C"),"建筑面积",INDIRECT("'"&amp;A6&amp;"'"&amp;"!D:D"))</f>
        <v>0</v>
      </c>
    </row>
    <row r="7" spans="1:5" ht="15.75">
      <c r="A7" s="2911"/>
      <c r="B7" s="2907" t="e">
        <f ca="1">SUMIF(INDIRECT("'"&amp;A7&amp;"'"&amp;"!A:A"),"总价",INDIRECT("'"&amp;A7&amp;"'"&amp;"!B:B"))</f>
        <v>#REF!</v>
      </c>
      <c r="C7" s="2906" t="s">
        <v>2989</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3" t="e">
        <f t="shared" ca="1" si="0"/>
        <v>#REF!</v>
      </c>
    </row>
    <row r="9" spans="1:5" ht="15.75">
      <c r="A9" s="2911"/>
      <c r="B9" s="2907" t="e">
        <f t="shared" ca="1" si="1"/>
        <v>#REF!</v>
      </c>
      <c r="C9" s="2906" t="s">
        <v>2989</v>
      </c>
      <c r="D9" s="2908"/>
      <c r="E9" s="2573" t="e">
        <f t="shared" ca="1" si="0"/>
        <v>#REF!</v>
      </c>
    </row>
    <row r="10" spans="1:5" ht="15.75">
      <c r="A10" s="2911"/>
      <c r="B10" s="2907" t="e">
        <f t="shared" ca="1" si="1"/>
        <v>#REF!</v>
      </c>
      <c r="C10" s="2906" t="s">
        <v>2989</v>
      </c>
      <c r="D10" s="2908"/>
      <c r="E10" s="2573" t="e">
        <f t="shared" ca="1" si="0"/>
        <v>#REF!</v>
      </c>
    </row>
    <row r="11" spans="1:5" ht="15.75">
      <c r="A11" s="2911"/>
      <c r="B11" s="2907" t="e">
        <f t="shared" ca="1" si="1"/>
        <v>#REF!</v>
      </c>
      <c r="C11" s="2906" t="s">
        <v>2989</v>
      </c>
      <c r="D11" s="2908"/>
      <c r="E11" s="2573" t="e">
        <f t="shared" ca="1" si="0"/>
        <v>#REF!</v>
      </c>
    </row>
    <row r="12" spans="1:5" ht="15.75">
      <c r="A12" s="2911"/>
      <c r="B12" s="2907" t="e">
        <f t="shared" ca="1" si="1"/>
        <v>#REF!</v>
      </c>
      <c r="C12" s="2906" t="s">
        <v>2989</v>
      </c>
      <c r="D12" s="2908"/>
      <c r="E12" s="2573" t="e">
        <f t="shared" ca="1" si="0"/>
        <v>#REF!</v>
      </c>
    </row>
    <row r="13" spans="1:5" ht="15.75">
      <c r="A13" s="2911"/>
      <c r="B13" s="2907" t="e">
        <f t="shared" ca="1" si="1"/>
        <v>#REF!</v>
      </c>
      <c r="C13" s="2906" t="s">
        <v>2989</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3031</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7">
        <v>2018</v>
      </c>
      <c r="H5" s="1733">
        <v>3</v>
      </c>
      <c r="I5" s="2920">
        <v>0</v>
      </c>
      <c r="J5" s="2920">
        <v>0</v>
      </c>
      <c r="K5" s="2920">
        <v>0</v>
      </c>
      <c r="L5" s="2920">
        <v>0</v>
      </c>
      <c r="N5" s="1470">
        <f>I5/100</f>
        <v>0</v>
      </c>
      <c r="O5" s="1470">
        <f t="shared" ref="O5" si="7">J5/100</f>
        <v>0</v>
      </c>
      <c r="P5" s="1470">
        <f t="shared" ref="P5" si="8">K5/100</f>
        <v>0</v>
      </c>
      <c r="Q5" s="1470">
        <f t="shared" ref="Q5" si="9">L5/100</f>
        <v>0</v>
      </c>
      <c r="R5" s="1735"/>
      <c r="S5" s="1736"/>
      <c r="T5" s="1735"/>
      <c r="U5" s="1735"/>
      <c r="V5" s="1735"/>
      <c r="W5" s="2924"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3027</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1630</v>
      </c>
      <c r="C4" s="2976"/>
      <c r="D4" s="2976"/>
      <c r="E4" s="1964"/>
    </row>
    <row r="5" spans="1:5" ht="16.5" thickTop="1">
      <c r="A5" s="1962"/>
      <c r="B5" s="2974" t="s">
        <v>1622</v>
      </c>
      <c r="C5" s="1965" t="s">
        <v>1623</v>
      </c>
      <c r="D5" s="1043">
        <f ca="1">结果表!H101</f>
        <v>63069</v>
      </c>
      <c r="E5" s="1962"/>
    </row>
    <row r="6" spans="1:5" ht="15.75">
      <c r="A6" s="1962"/>
      <c r="B6" s="2974"/>
      <c r="C6" s="1965" t="s">
        <v>1624</v>
      </c>
      <c r="D6" s="1043" t="str">
        <f ca="1">NUMBERSTRING(INT(D5*10000),2)&amp;"元整"</f>
        <v>陆亿叁仟零陆拾玖万元整</v>
      </c>
      <c r="E6" s="1962"/>
    </row>
    <row r="7" spans="1:5" ht="15.75">
      <c r="A7" s="1962"/>
      <c r="B7" s="2979"/>
      <c r="C7" s="1966" t="s">
        <v>1625</v>
      </c>
      <c r="D7" s="1044">
        <f ca="1">结果表!H102</f>
        <v>6686</v>
      </c>
      <c r="E7" s="1962"/>
    </row>
    <row r="8" spans="1:5" ht="15.75">
      <c r="A8" s="1962"/>
      <c r="B8" s="2980" t="str">
        <f>结果表!E103</f>
        <v>2.估价师知悉的法定优先受偿款</v>
      </c>
      <c r="C8" s="1967" t="s">
        <v>1626</v>
      </c>
      <c r="D8" s="1044">
        <f>结果表!H103</f>
        <v>0</v>
      </c>
      <c r="E8" s="1962"/>
    </row>
    <row r="9" spans="1:5" ht="15.75">
      <c r="A9" s="1962"/>
      <c r="B9" s="298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3" t="str">
        <f>结果表!E107</f>
        <v>3.房地产抵押价值</v>
      </c>
      <c r="C13" s="1970" t="s">
        <v>1623</v>
      </c>
      <c r="D13" s="1046">
        <f ca="1">结果表!H107</f>
        <v>63069</v>
      </c>
      <c r="E13" s="1962"/>
    </row>
    <row r="14" spans="1:5" ht="15.75">
      <c r="A14" s="1962"/>
      <c r="B14" s="2974"/>
      <c r="C14" s="1965" t="s">
        <v>1624</v>
      </c>
      <c r="D14" s="1043" t="str">
        <f ca="1">NUMBERSTRING(INT(D13*10000),2)&amp;"元整"</f>
        <v>陆亿叁仟零陆拾玖万元整</v>
      </c>
      <c r="E14" s="1962"/>
    </row>
    <row r="15" spans="1:5" ht="15">
      <c r="A15" s="1962"/>
      <c r="B15" s="2979"/>
      <c r="C15" s="1966" t="s">
        <v>1634</v>
      </c>
      <c r="D15" s="1055">
        <f ca="1">结果表!H108</f>
        <v>6686</v>
      </c>
      <c r="E15" s="1962"/>
    </row>
    <row r="16" spans="1:5" ht="15">
      <c r="A16" s="1962"/>
      <c r="B16" s="2980" t="str">
        <f>结果表!E109</f>
        <v>——</v>
      </c>
      <c r="C16" s="1970" t="s">
        <v>1635</v>
      </c>
      <c r="D16" s="1971" t="str">
        <f>结果表!H109</f>
        <v>——</v>
      </c>
      <c r="E16" s="1962"/>
    </row>
    <row r="17" spans="1:5" ht="15.75">
      <c r="A17" s="1962"/>
      <c r="B17" s="2981"/>
      <c r="C17" s="1965" t="s">
        <v>1636</v>
      </c>
      <c r="D17" s="1043" t="e">
        <f>NUMBERSTRING(INT(D16*10000),2)&amp;"元整"</f>
        <v>#VALUE!</v>
      </c>
      <c r="E17" s="1962"/>
    </row>
    <row r="18" spans="1:5" ht="15">
      <c r="A18" s="1962"/>
      <c r="B18" s="2982"/>
      <c r="C18" s="1966" t="s">
        <v>1625</v>
      </c>
      <c r="D18" s="1055" t="str">
        <f>结果表!H110</f>
        <v>——</v>
      </c>
      <c r="E18" s="1962"/>
    </row>
    <row r="19" spans="1:5" ht="15.75">
      <c r="A19" s="1962"/>
      <c r="B19" s="2973" t="str">
        <f>结果表!E111</f>
        <v>——</v>
      </c>
      <c r="C19" s="1970" t="s">
        <v>1623</v>
      </c>
      <c r="D19" s="1044" t="str">
        <f>结果表!H111</f>
        <v>——</v>
      </c>
      <c r="E19" s="1962"/>
    </row>
    <row r="20" spans="1:5" ht="15.75">
      <c r="A20" s="1962"/>
      <c r="B20" s="2974"/>
      <c r="C20" s="1965" t="s">
        <v>1636</v>
      </c>
      <c r="D20" s="1043" t="e">
        <f>NUMBERSTRING(INT(D19*10000),2)&amp;"元整"</f>
        <v>#VALUE!</v>
      </c>
      <c r="E20" s="1962"/>
    </row>
    <row r="21" spans="1:5" ht="15.75" thickBot="1">
      <c r="A21" s="1962"/>
      <c r="B21" s="297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4" t="s">
        <v>2999</v>
      </c>
      <c r="D1" s="3295"/>
      <c r="E1" s="3295"/>
      <c r="F1" s="3295"/>
      <c r="G1" s="3295"/>
      <c r="H1" s="3295"/>
      <c r="I1" s="3295"/>
      <c r="J1" s="3295"/>
      <c r="K1" s="3295"/>
      <c r="L1" s="3295"/>
      <c r="M1" s="3295"/>
      <c r="N1" s="3295"/>
      <c r="O1" s="3295"/>
      <c r="P1" s="3295"/>
      <c r="Q1" s="3295"/>
      <c r="R1" s="3295"/>
      <c r="S1" s="3296"/>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15" t="s">
        <v>3012</v>
      </c>
      <c r="E20" s="1796"/>
      <c r="F20" s="1207" t="e">
        <f ca="1">SUMIF(INDIRECT("'"&amp;H20&amp;"'"&amp;"!A:A"),"承租人权益价值",INDIRECT("'"&amp;H20&amp;"'"&amp;"!c:c"))</f>
        <v>#REF!</v>
      </c>
      <c r="G20" s="1207" t="s">
        <v>3013</v>
      </c>
      <c r="H20" s="291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50086</v>
      </c>
      <c r="C2" s="2" t="s">
        <v>133</v>
      </c>
      <c r="D2" s="243"/>
      <c r="E2" s="243"/>
      <c r="F2" s="243"/>
      <c r="G2" s="243"/>
    </row>
    <row r="3" spans="1:7" s="244" customFormat="1" ht="18" customHeight="1" thickBot="1">
      <c r="A3" s="247" t="s">
        <v>85</v>
      </c>
      <c r="B3" s="248">
        <f ca="1">ROUND(B2*10000/'数据-汇总表'!E3,0)</f>
        <v>5309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755</v>
      </c>
      <c r="D10" s="1035">
        <f>'数据-汇总表'!E6</f>
        <v>94334.89</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1887</v>
      </c>
      <c r="D19" s="1039">
        <f>'数据-汇总表'!E3</f>
        <v>94334.89</v>
      </c>
      <c r="E19" s="255">
        <f>'数据-取费表'!B31</f>
        <v>200</v>
      </c>
      <c r="F19" s="275"/>
      <c r="G19" s="1" t="s">
        <v>1074</v>
      </c>
    </row>
    <row r="20" spans="1:7" s="258" customFormat="1" ht="13.5" customHeight="1">
      <c r="A20" s="951" t="s">
        <v>1057</v>
      </c>
      <c r="B20" s="254" t="s">
        <v>104</v>
      </c>
      <c r="C20" s="276">
        <f>ROUND((C5+C19)*F20,0)</f>
        <v>450</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1638</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136</v>
      </c>
      <c r="D24" s="282"/>
      <c r="E24" s="282"/>
      <c r="F24" s="283"/>
      <c r="G24" s="284" t="s">
        <v>109</v>
      </c>
    </row>
    <row r="25" spans="1:7" s="258" customFormat="1" ht="24">
      <c r="A25" s="954" t="s">
        <v>793</v>
      </c>
      <c r="B25" s="259" t="s">
        <v>1058</v>
      </c>
      <c r="C25" s="1358">
        <f ca="1">ROUND(IF('数据-取费表'!B22&lt;=1,C20*F22*'数据-取费表'!B23/2,C20*(POWER((1+F22),'数据-取费表'!B23/2)-1)),0)</f>
        <v>16</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1492</v>
      </c>
      <c r="D27" s="279">
        <f>C29</f>
        <v>2E-3</v>
      </c>
      <c r="E27" s="280" t="s">
        <v>126</v>
      </c>
      <c r="F27" s="290">
        <f>'数据-取费表'!Q16</f>
        <v>0.13</v>
      </c>
      <c r="G27" s="291" t="s">
        <v>1069</v>
      </c>
    </row>
    <row r="28" spans="1:7" s="258" customFormat="1" ht="13.5" customHeight="1">
      <c r="A28" s="954" t="s">
        <v>794</v>
      </c>
      <c r="B28" s="292" t="s">
        <v>1062</v>
      </c>
      <c r="C28" s="293">
        <f>ROUND((C5+C19+C20)*F27*'数据-取费表'!B21/'数据-取费表'!B20,0)</f>
        <v>1492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16521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15101</v>
      </c>
      <c r="D34" s="261"/>
      <c r="E34" s="264"/>
      <c r="F34" s="301">
        <f>IF('数据-取费表'!B24=0,1,'数据-取费表'!N16)</f>
        <v>0.39200000000000002</v>
      </c>
      <c r="G34" s="263" t="s">
        <v>116</v>
      </c>
    </row>
    <row r="35" spans="1:7" ht="13.5" customHeight="1">
      <c r="A35" s="954" t="s">
        <v>796</v>
      </c>
      <c r="B35" s="259" t="s">
        <v>60</v>
      </c>
      <c r="C35" s="264">
        <f>ROUND(C34*F35,0)</f>
        <v>453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740</v>
      </c>
      <c r="D37" s="261">
        <f>'数据-汇总表'!E3</f>
        <v>94334.89</v>
      </c>
      <c r="E37" s="293">
        <f>'数据-取费表'!B35</f>
        <v>200</v>
      </c>
      <c r="F37" s="303"/>
      <c r="G37" s="305" t="s">
        <v>119</v>
      </c>
    </row>
    <row r="38" spans="1:7" ht="13.5" customHeight="1">
      <c r="A38" s="954" t="s">
        <v>799</v>
      </c>
      <c r="B38" s="259" t="s">
        <v>63</v>
      </c>
      <c r="C38" s="264">
        <f>ROUND(C34*F38,0)</f>
        <v>227</v>
      </c>
      <c r="D38" s="264"/>
      <c r="E38" s="264"/>
      <c r="F38" s="303">
        <f>'数据-取费表'!B36</f>
        <v>1.4999999999999999E-2</v>
      </c>
      <c r="G38" s="263" t="s">
        <v>117</v>
      </c>
    </row>
    <row r="39" spans="1:7" s="258" customFormat="1" ht="13.5" customHeight="1">
      <c r="A39" s="951" t="s">
        <v>783</v>
      </c>
      <c r="B39" s="254" t="s">
        <v>104</v>
      </c>
      <c r="C39" s="276">
        <f>ROUND(C33*F20,0)</f>
        <v>330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597</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585</v>
      </c>
      <c r="D42" s="282"/>
      <c r="E42" s="282"/>
      <c r="F42" s="283"/>
      <c r="G42" s="3158" t="s">
        <v>121</v>
      </c>
    </row>
    <row r="43" spans="1:7" ht="13.5" customHeight="1">
      <c r="A43" s="954" t="s">
        <v>792</v>
      </c>
      <c r="B43" s="259" t="s">
        <v>1064</v>
      </c>
      <c r="C43" s="282">
        <f ca="1">ROUND(IF('数据-取费表'!B22&lt;=1,C39*F22*'数据-取费表'!B21/2,C39*(POWER((1+F22),'数据-取费表'!B21/2)-1)),0)</f>
        <v>12</v>
      </c>
      <c r="D43" s="282"/>
      <c r="E43" s="282"/>
      <c r="F43" s="283"/>
      <c r="G43" s="3159"/>
    </row>
    <row r="44" spans="1:7" ht="13.5" customHeight="1">
      <c r="A44" s="954" t="s">
        <v>793</v>
      </c>
      <c r="B44" s="259" t="s">
        <v>1066</v>
      </c>
      <c r="C44" s="282">
        <f ca="1">ROUND(IF('数据-取费表'!B22&lt;=1,C40*F22*'数据-取费表'!B21/2,C40*(POWER((1+F22),'数据-取费表'!B21/2)-1)),4)</f>
        <v>1.1000000000000001E-3</v>
      </c>
      <c r="D44" s="282"/>
      <c r="E44" s="282"/>
      <c r="F44" s="283"/>
      <c r="G44" s="3160"/>
    </row>
    <row r="45" spans="1:7" s="258" customFormat="1" ht="13.5" customHeight="1">
      <c r="A45" s="951" t="s">
        <v>786</v>
      </c>
      <c r="B45" s="288" t="s">
        <v>112</v>
      </c>
      <c r="C45" s="289">
        <f>C46</f>
        <v>2191</v>
      </c>
      <c r="D45" s="279">
        <f>C47</f>
        <v>3.8999999999999998E-3</v>
      </c>
      <c r="E45" s="280" t="s">
        <v>129</v>
      </c>
      <c r="F45" s="290"/>
      <c r="G45" s="291" t="s">
        <v>1072</v>
      </c>
    </row>
    <row r="46" spans="1:7" s="258" customFormat="1" ht="13.5" customHeight="1">
      <c r="A46" s="954" t="s">
        <v>794</v>
      </c>
      <c r="B46" s="292" t="s">
        <v>1065</v>
      </c>
      <c r="C46" s="293">
        <f>ROUND((C33+C39)*F27,0)</f>
        <v>2191</v>
      </c>
      <c r="D46" s="307"/>
      <c r="E46" s="280"/>
      <c r="F46" s="290"/>
      <c r="G46" s="291"/>
    </row>
    <row r="47" spans="1:7" s="258" customFormat="1" ht="13.5" customHeight="1">
      <c r="A47" s="954" t="s">
        <v>792</v>
      </c>
      <c r="B47" s="292" t="s">
        <v>1067</v>
      </c>
      <c r="C47" s="282">
        <f>ROUND(C40*F27,4)</f>
        <v>3.8999999999999998E-3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21542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21542</v>
      </c>
      <c r="D51" s="276"/>
      <c r="E51" s="276"/>
      <c r="F51" s="308"/>
      <c r="G51" s="278" t="s">
        <v>64</v>
      </c>
    </row>
    <row r="52" spans="1:7" s="252" customFormat="1" ht="16.5" thickBot="1">
      <c r="A52" s="309" t="s">
        <v>65</v>
      </c>
      <c r="B52" s="310"/>
      <c r="C52" s="311">
        <f ca="1">C31+C51</f>
        <v>50086</v>
      </c>
      <c r="D52" s="310"/>
      <c r="E52" s="310"/>
      <c r="F52" s="310"/>
      <c r="G52" s="312"/>
    </row>
    <row r="55" spans="1:7" ht="15">
      <c r="B55" s="314" t="s">
        <v>66</v>
      </c>
      <c r="C55" s="315"/>
    </row>
    <row r="56" spans="1:7">
      <c r="B56" s="317" t="s">
        <v>67</v>
      </c>
      <c r="C56" s="318">
        <f ca="1">ROUND(C51/C52,3)</f>
        <v>0.43</v>
      </c>
    </row>
    <row r="57" spans="1:7">
      <c r="B57" s="317" t="s">
        <v>68</v>
      </c>
      <c r="C57" s="319">
        <f ca="1">1-C56</f>
        <v>0.57000000000000006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项目基本情况!B3</f>
        <v>43369</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M95" sqref="M95"/>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13" workbookViewId="0">
      <selection activeCell="P42" sqref="P42"/>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6"/>
  <sheetViews>
    <sheetView workbookViewId="0">
      <selection activeCell="Y12" sqref="Y12"/>
    </sheetView>
  </sheetViews>
  <sheetFormatPr defaultRowHeight="13.5"/>
  <sheetData>
    <row r="1" spans="1:13">
      <c r="A1" s="2947" t="s">
        <v>3080</v>
      </c>
      <c r="M1" s="2947" t="s">
        <v>3229</v>
      </c>
    </row>
    <row r="36" spans="1:1">
      <c r="A36" s="2947" t="s">
        <v>3206</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1"/>
  <sheetViews>
    <sheetView workbookViewId="0">
      <selection activeCell="D2" sqref="D2"/>
    </sheetView>
  </sheetViews>
  <sheetFormatPr defaultRowHeight="13.5"/>
  <cols>
    <col min="4" max="4" width="11.625" customWidth="1"/>
  </cols>
  <sheetData>
    <row r="2" spans="2:4">
      <c r="B2" s="2947" t="s">
        <v>3198</v>
      </c>
      <c r="C2">
        <v>1</v>
      </c>
      <c r="D2">
        <f>'比较法-商业'!C49</f>
        <v>32789</v>
      </c>
    </row>
    <row r="3" spans="2:4">
      <c r="B3" s="2947" t="s">
        <v>3199</v>
      </c>
      <c r="C3">
        <v>0.5</v>
      </c>
      <c r="D3">
        <f>ROUND(D2*C3,0)</f>
        <v>16395</v>
      </c>
    </row>
    <row r="4" spans="2:4">
      <c r="B4" s="2947"/>
      <c r="D4">
        <f>ROUND(AVERAGE(D2:D3),0)</f>
        <v>24592</v>
      </c>
    </row>
    <row r="5" spans="2:4">
      <c r="B5" s="2947"/>
    </row>
    <row r="6" spans="2:4">
      <c r="B6" s="2947"/>
      <c r="C6" s="2947" t="s">
        <v>3268</v>
      </c>
      <c r="D6" s="2947" t="s">
        <v>3269</v>
      </c>
    </row>
    <row r="7" spans="2:4">
      <c r="B7" s="2947" t="s">
        <v>3265</v>
      </c>
      <c r="C7">
        <f>'数据-基础表'!A3</f>
        <v>16752.099999999999</v>
      </c>
      <c r="D7">
        <f>'数据-基础表'!B3</f>
        <v>94334.89</v>
      </c>
    </row>
    <row r="8" spans="2:4">
      <c r="B8" s="2947" t="s">
        <v>3266</v>
      </c>
      <c r="C8">
        <f>'[1]数据-基础表'!$A$3</f>
        <v>22911.8</v>
      </c>
      <c r="D8">
        <f>'[1]数据-基础表'!$B$3</f>
        <v>146597.31000000003</v>
      </c>
    </row>
    <row r="9" spans="2:4">
      <c r="B9" s="2947" t="s">
        <v>3267</v>
      </c>
      <c r="C9">
        <f>'[2]数据-基础表'!$A$3</f>
        <v>14367.1</v>
      </c>
      <c r="D9">
        <f>'[2]数据-基础表'!$B$3</f>
        <v>85000</v>
      </c>
    </row>
    <row r="10" spans="2:4">
      <c r="C10">
        <f>SUM(C7:C9)</f>
        <v>54030.999999999993</v>
      </c>
      <c r="D10">
        <f>SUM(D7:D9)</f>
        <v>325932.2</v>
      </c>
    </row>
    <row r="11" spans="2:4">
      <c r="B11" s="2947"/>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7" t="s">
        <v>1638</v>
      </c>
      <c r="E3" s="1047" t="s">
        <v>1644</v>
      </c>
      <c r="F3" s="1047" t="s">
        <v>1638</v>
      </c>
      <c r="G3" s="1047" t="s">
        <v>1639</v>
      </c>
      <c r="H3" s="1047" t="s">
        <v>1638</v>
      </c>
      <c r="I3" s="1047" t="s">
        <v>1639</v>
      </c>
    </row>
    <row r="4" spans="1:9" ht="90">
      <c r="A4" s="1976" t="str">
        <f>项目基本情况!S2</f>
        <v>福建省泉州市丰泽区城东组团华大片区，东至铁路，西至324国道，南邻通源街，北至城东街2012-16号地块一期出让国有建设用地使用权及在建建筑物房地产</v>
      </c>
      <c r="B4" s="1047">
        <f>项目基本情况!C17</f>
        <v>94334.89</v>
      </c>
      <c r="C4" s="1047">
        <f>项目基本情况!C18</f>
        <v>16752.099999999999</v>
      </c>
      <c r="D4" s="1047">
        <f ca="1">结果表!D118</f>
        <v>36202</v>
      </c>
      <c r="E4" s="1047">
        <f ca="1">结果表!E118</f>
        <v>3838</v>
      </c>
      <c r="F4" s="1047">
        <f ca="1">结果表!F118</f>
        <v>26867</v>
      </c>
      <c r="G4" s="1047">
        <f ca="1">结果表!G118</f>
        <v>2848</v>
      </c>
      <c r="H4" s="1047">
        <f ca="1">结果表!H118</f>
        <v>63069</v>
      </c>
      <c r="I4" s="1047">
        <f ca="1">结果表!I118</f>
        <v>6686</v>
      </c>
    </row>
    <row r="5" spans="1:9" ht="30" customHeight="1">
      <c r="A5" s="2987" t="s">
        <v>1640</v>
      </c>
      <c r="B5" s="2987"/>
      <c r="C5" s="2987"/>
      <c r="D5" s="2988" t="str">
        <f ca="1">结果表!D119</f>
        <v>叁亿陆仟贰佰零贰万元整</v>
      </c>
      <c r="E5" s="2988"/>
      <c r="F5" s="2988" t="str">
        <f ca="1">结果表!F119</f>
        <v>贰亿陆仟捌佰陆拾柒万元整</v>
      </c>
      <c r="G5" s="2988"/>
      <c r="H5" s="2988" t="str">
        <f ca="1">结果表!H119</f>
        <v>陆亿叁仟零陆拾玖万元整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63069</v>
      </c>
      <c r="E8" s="2986"/>
      <c r="F8" s="2986"/>
      <c r="G8" s="2986"/>
      <c r="H8" s="2986"/>
      <c r="I8" s="2986"/>
    </row>
    <row r="9" spans="1:9" ht="15">
      <c r="A9" s="2987" t="s">
        <v>1640</v>
      </c>
      <c r="B9" s="2987"/>
      <c r="C9" s="2987"/>
      <c r="D9" s="2988" t="str">
        <f ca="1">结果表!D123</f>
        <v>陆亿叁仟零陆拾玖万元整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国有土地使用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1658</v>
      </c>
      <c r="B22" s="2998"/>
      <c r="C22" s="2998"/>
      <c r="D22" s="299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8" t="s">
        <v>1669</v>
      </c>
      <c r="B15" s="3003" t="s">
        <v>136</v>
      </c>
      <c r="C15" s="3004"/>
    </row>
    <row r="16" spans="1:7" ht="13.5">
      <c r="A16" s="3009"/>
      <c r="B16" s="3003" t="s">
        <v>69</v>
      </c>
      <c r="C16" s="3004"/>
    </row>
    <row r="17" spans="1:3" ht="13.5">
      <c r="A17" s="3009"/>
      <c r="B17" s="3006" t="s">
        <v>1670</v>
      </c>
      <c r="C17" s="2003" t="s">
        <v>1669</v>
      </c>
    </row>
    <row r="18" spans="1:3" ht="13.5">
      <c r="A18" s="3009"/>
      <c r="B18" s="3006"/>
      <c r="C18" s="2003" t="s">
        <v>1671</v>
      </c>
    </row>
    <row r="19" spans="1:3" ht="13.5">
      <c r="A19" s="3009"/>
      <c r="B19" s="3006"/>
      <c r="C19" s="2003" t="s">
        <v>1672</v>
      </c>
    </row>
    <row r="20" spans="1:3" ht="13.5">
      <c r="A20" s="3010"/>
      <c r="B20" s="3005" t="s">
        <v>1673</v>
      </c>
      <c r="C20" s="3004"/>
    </row>
    <row r="21" spans="1:3" ht="13.5">
      <c r="A21" s="2004" t="s">
        <v>1674</v>
      </c>
      <c r="B21" s="2005"/>
      <c r="C21" s="2006"/>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3" t="s">
        <v>1680</v>
      </c>
    </row>
    <row r="26" spans="1:3" ht="13.5">
      <c r="A26" s="3007"/>
      <c r="B26" s="3006"/>
      <c r="C26" s="2003" t="s">
        <v>1681</v>
      </c>
    </row>
    <row r="27" spans="1:3" ht="13.5">
      <c r="A27" s="3007"/>
      <c r="B27" s="3006"/>
      <c r="C27" s="2003" t="s">
        <v>1682</v>
      </c>
    </row>
    <row r="28" spans="1:3" ht="13.5">
      <c r="A28" s="3007"/>
      <c r="B28" s="3006"/>
      <c r="C28" s="2003" t="s">
        <v>1683</v>
      </c>
    </row>
    <row r="29" spans="1:3" ht="13.5">
      <c r="A29" s="3007"/>
      <c r="B29" s="3006"/>
      <c r="C29" s="2003" t="s">
        <v>1684</v>
      </c>
    </row>
    <row r="30" spans="1:3" ht="13.5">
      <c r="A30" s="3007"/>
      <c r="B30" s="3006"/>
      <c r="C30" s="2003" t="s">
        <v>1685</v>
      </c>
    </row>
    <row r="31" spans="1:3" ht="13.5">
      <c r="A31" s="3007"/>
      <c r="B31" s="3006"/>
      <c r="C31" s="2003" t="s">
        <v>1686</v>
      </c>
    </row>
    <row r="32" spans="1:3" ht="13.5">
      <c r="A32" s="3007"/>
      <c r="B32" s="3006"/>
      <c r="C32" s="2003" t="s">
        <v>1687</v>
      </c>
    </row>
    <row r="33" spans="1:3" ht="13.5">
      <c r="A33" s="3007"/>
      <c r="B33" s="300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43384</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3037</v>
      </c>
      <c r="B12" s="1025">
        <v>1120110054</v>
      </c>
      <c r="C12" s="2936">
        <v>43937</v>
      </c>
      <c r="D12" s="1705" t="s">
        <v>3037</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936">
        <v>44339</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土地案例及位置</vt:lpstr>
      <vt:lpstr>取费依据</vt:lpstr>
      <vt:lpstr>案例位置</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2018-10-11T08:24:27Z</dcterms:modified>
</cp:coreProperties>
</file>