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72" yWindow="228" windowWidth="11376" windowHeight="10908"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r:id="rId30"/>
    <sheet name="基准地价（汇总）" sheetId="67" state="hidden" r:id="rId31"/>
    <sheet name="收益还原法" sheetId="44" state="hidden" r:id="rId32"/>
    <sheet name="不动产收益法" sheetId="15" r:id="rId33"/>
    <sheet name="不动产收益法-商业" sheetId="73" r:id="rId34"/>
    <sheet name="不动产收益法-车库" sheetId="74"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21" hidden="1">'比较法-工业'!$A$1:$L$45</definedName>
    <definedName name="_xlnm._FilterDatabase" localSheetId="17"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2">不动产收益法!$A$1:$F$43,不动产收益法!$H$3:$M$29,不动产收益法!$A$46:$F$70,不动产收益法!$I$46:$M$60</definedName>
    <definedName name="_xlnm.Print_Area" localSheetId="34">'不动产收益法-车库'!$A$1:$F$43,'不动产收益法-车库'!$H$3:$M$29,'不动产收益法-车库'!$A$46:$F$70,'不动产收益法-车库'!$I$46:$M$60</definedName>
    <definedName name="_xlnm.Print_Area" localSheetId="33">'不动产收益法-商业'!$A$1:$F$43,'不动产收益法-商业'!$H$3:$M$29,'不动产收益法-商业'!$A$46:$F$70,'不动产收益法-商业'!$I$46:$M$60</definedName>
    <definedName name="_xlnm.Print_Area" localSheetId="36">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4" i="66" l="1"/>
  <c r="B14" i="66"/>
  <c r="W27" i="1" l="1"/>
  <c r="W28" i="1"/>
  <c r="Z27" i="1"/>
  <c r="Z21" i="1"/>
  <c r="Z22" i="1"/>
  <c r="Z23" i="1"/>
  <c r="Z24" i="1"/>
  <c r="Z25" i="1"/>
  <c r="Z26" i="1"/>
  <c r="Z20" i="1"/>
  <c r="Y21" i="1"/>
  <c r="Y22" i="1"/>
  <c r="Y23" i="1"/>
  <c r="Y24" i="1"/>
  <c r="Y25" i="1"/>
  <c r="Y26" i="1"/>
  <c r="Y20" i="1"/>
  <c r="V27" i="1"/>
  <c r="W25" i="1"/>
  <c r="W24" i="1"/>
  <c r="V22" i="1"/>
  <c r="V23" i="1" s="1"/>
  <c r="V24" i="1" s="1"/>
  <c r="V21" i="1"/>
  <c r="V20" i="1"/>
  <c r="E59" i="39"/>
  <c r="V25" i="1" l="1"/>
  <c r="I40" i="39"/>
  <c r="G40" i="39"/>
  <c r="E40" i="39"/>
  <c r="C40" i="39"/>
  <c r="Q73" i="74"/>
  <c r="Q60" i="74"/>
  <c r="D60" i="74"/>
  <c r="Q59" i="74"/>
  <c r="K59" i="74"/>
  <c r="P75" i="74" s="1"/>
  <c r="F58" i="74"/>
  <c r="Q52" i="74"/>
  <c r="J50" i="74"/>
  <c r="M47" i="74"/>
  <c r="F34" i="74"/>
  <c r="F33" i="74"/>
  <c r="F60" i="74" s="1"/>
  <c r="F32" i="74"/>
  <c r="F59" i="74" s="1"/>
  <c r="F31" i="74"/>
  <c r="F28" i="74"/>
  <c r="F23" i="74"/>
  <c r="D24" i="74" s="1"/>
  <c r="D23" i="74"/>
  <c r="F21" i="74"/>
  <c r="M20" i="74"/>
  <c r="F20" i="74"/>
  <c r="M19" i="74"/>
  <c r="M18" i="74"/>
  <c r="F18" i="74"/>
  <c r="M17" i="74"/>
  <c r="F17" i="74"/>
  <c r="F15" i="74"/>
  <c r="G1" i="74"/>
  <c r="Q73" i="73"/>
  <c r="Q60" i="73"/>
  <c r="D60" i="73"/>
  <c r="Q59" i="73"/>
  <c r="K59" i="73"/>
  <c r="P75" i="73" s="1"/>
  <c r="F58" i="73"/>
  <c r="Q52" i="73"/>
  <c r="J50" i="73"/>
  <c r="M47" i="73"/>
  <c r="F34" i="73"/>
  <c r="F33" i="73"/>
  <c r="F60" i="73" s="1"/>
  <c r="F32" i="73"/>
  <c r="F59" i="73" s="1"/>
  <c r="F31" i="73"/>
  <c r="F28" i="73"/>
  <c r="F23" i="73"/>
  <c r="D24" i="73" s="1"/>
  <c r="F21" i="73"/>
  <c r="M20" i="73"/>
  <c r="F20" i="73"/>
  <c r="M19" i="73"/>
  <c r="M18" i="73"/>
  <c r="F18" i="73"/>
  <c r="M17" i="73"/>
  <c r="F17" i="73"/>
  <c r="F15" i="73"/>
  <c r="G1" i="73"/>
  <c r="V26" i="1"/>
  <c r="W26" i="1"/>
  <c r="W23" i="1"/>
  <c r="W22" i="1"/>
  <c r="W21" i="1"/>
  <c r="M21" i="74"/>
  <c r="F38" i="74"/>
  <c r="J36" i="74"/>
  <c r="F26" i="74"/>
  <c r="M28" i="74"/>
  <c r="F40" i="74"/>
  <c r="M9" i="74"/>
  <c r="L47" i="74"/>
  <c r="F6" i="74"/>
  <c r="C14" i="74"/>
  <c r="F35" i="74"/>
  <c r="M23" i="74"/>
  <c r="F42" i="74"/>
  <c r="F36" i="74"/>
  <c r="F8" i="74"/>
  <c r="F43" i="74"/>
  <c r="J15" i="74"/>
  <c r="F9" i="74"/>
  <c r="F43" i="73"/>
  <c r="F7" i="74"/>
  <c r="M22" i="74"/>
  <c r="D22" i="74" l="1"/>
  <c r="F70" i="74"/>
  <c r="F49" i="74"/>
  <c r="M7" i="74"/>
  <c r="C6" i="74"/>
  <c r="J20" i="74"/>
  <c r="F63" i="74"/>
  <c r="C15" i="74"/>
  <c r="C18" i="74"/>
  <c r="F62" i="74"/>
  <c r="Q72" i="74"/>
  <c r="F65" i="74"/>
  <c r="F67" i="74"/>
  <c r="F50" i="74"/>
  <c r="C27" i="74"/>
  <c r="C34" i="74"/>
  <c r="P62" i="74"/>
  <c r="L46" i="74"/>
  <c r="F61" i="74"/>
  <c r="F70" i="73"/>
  <c r="P62" i="73"/>
  <c r="D22" i="73"/>
  <c r="D23" i="73"/>
  <c r="L46" i="73"/>
  <c r="F61" i="73"/>
  <c r="C17" i="73"/>
  <c r="F16" i="74"/>
  <c r="M29" i="73"/>
  <c r="M22" i="73"/>
  <c r="F7" i="73"/>
  <c r="J15" i="73"/>
  <c r="F13" i="73"/>
  <c r="F40" i="73"/>
  <c r="M8" i="74"/>
  <c r="F36" i="73"/>
  <c r="F37" i="73"/>
  <c r="M6" i="74"/>
  <c r="M23" i="73"/>
  <c r="M9" i="73"/>
  <c r="F35" i="73"/>
  <c r="F37" i="74"/>
  <c r="J36" i="73"/>
  <c r="F26" i="73"/>
  <c r="F6" i="73"/>
  <c r="M8" i="73"/>
  <c r="M29" i="74"/>
  <c r="L47" i="73"/>
  <c r="F13" i="74"/>
  <c r="C14" i="73"/>
  <c r="M26" i="74"/>
  <c r="C17" i="74"/>
  <c r="M24" i="74"/>
  <c r="M21" i="73"/>
  <c r="F42" i="73"/>
  <c r="F16" i="73"/>
  <c r="M6" i="73"/>
  <c r="M24" i="73"/>
  <c r="F8" i="73"/>
  <c r="M26" i="73"/>
  <c r="F38" i="73"/>
  <c r="F9" i="73"/>
  <c r="M28" i="73"/>
  <c r="F64" i="74" l="1"/>
  <c r="F48" i="74"/>
  <c r="C48" i="74" s="1"/>
  <c r="J6" i="74"/>
  <c r="C61" i="74"/>
  <c r="F64" i="73"/>
  <c r="F65" i="73"/>
  <c r="C15" i="73"/>
  <c r="C18" i="73"/>
  <c r="F63" i="73"/>
  <c r="F50" i="73"/>
  <c r="Q72" i="73"/>
  <c r="F49" i="73"/>
  <c r="M7" i="73"/>
  <c r="J6" i="73" s="1"/>
  <c r="F62" i="73"/>
  <c r="C61" i="73" s="1"/>
  <c r="C34" i="73"/>
  <c r="C27" i="73"/>
  <c r="C6" i="73"/>
  <c r="F48" i="73"/>
  <c r="J20" i="73"/>
  <c r="F67" i="73"/>
  <c r="C16" i="74"/>
  <c r="C16" i="73"/>
  <c r="C19" i="74" l="1"/>
  <c r="C48" i="73"/>
  <c r="C19" i="73"/>
  <c r="C20" i="74" l="1"/>
  <c r="C20" i="73"/>
  <c r="C26" i="74" l="1"/>
  <c r="C26" i="73"/>
  <c r="G21" i="6" l="1"/>
  <c r="G20" i="6"/>
  <c r="F20" i="6"/>
  <c r="F19" i="6"/>
  <c r="I9" i="39"/>
  <c r="G9" i="39"/>
  <c r="E9" i="39"/>
  <c r="I7" i="39"/>
  <c r="G7" i="39"/>
  <c r="E7" i="39"/>
  <c r="Z26" i="70" l="1"/>
  <c r="AA26" i="70"/>
  <c r="AB26" i="70"/>
  <c r="Z27" i="70"/>
  <c r="AA27" i="70"/>
  <c r="AB27" i="70"/>
  <c r="AD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I28" i="70"/>
  <c r="AD28" i="70" s="1"/>
  <c r="I6" i="70"/>
  <c r="I7" i="70"/>
  <c r="I8" i="70"/>
  <c r="P27"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F7" i="1" s="1"/>
  <c r="L48" i="73"/>
  <c r="L58" i="73" l="1"/>
  <c r="S7" i="70"/>
  <c r="S6" i="70"/>
  <c r="S8" i="70"/>
  <c r="U8" i="70"/>
  <c r="U6" i="70"/>
  <c r="U7" i="70"/>
  <c r="P15" i="70"/>
  <c r="S26" i="70"/>
  <c r="S28" i="70"/>
  <c r="S27" i="70"/>
  <c r="U28" i="70"/>
  <c r="U27" i="70"/>
  <c r="U26" i="70"/>
  <c r="K3" i="70"/>
  <c r="R5" i="70"/>
  <c r="P5" i="70"/>
  <c r="T5" i="70"/>
  <c r="W5" i="70" s="1"/>
  <c r="O3" i="70"/>
  <c r="V5" i="70"/>
  <c r="R8" i="70"/>
  <c r="R7" i="70"/>
  <c r="R6" i="70"/>
  <c r="P9" i="70"/>
  <c r="T8" i="70"/>
  <c r="W8" i="70" s="1"/>
  <c r="T6" i="70"/>
  <c r="W6" i="70" s="1"/>
  <c r="T7" i="70"/>
  <c r="W7" i="70" s="1"/>
  <c r="V8" i="70"/>
  <c r="V7" i="70"/>
  <c r="V6" i="70"/>
  <c r="P29" i="70"/>
  <c r="T28" i="70"/>
  <c r="W28" i="70" s="1"/>
  <c r="T27" i="70"/>
  <c r="W27" i="70" s="1"/>
  <c r="T26" i="70"/>
  <c r="W26"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Q61" i="73" l="1"/>
  <c r="Q74" i="73"/>
  <c r="E25" i="69"/>
  <c r="E24" i="69"/>
  <c r="F23" i="69"/>
  <c r="F24" i="69" s="1"/>
  <c r="F25" i="69" s="1"/>
  <c r="E23" i="69"/>
  <c r="G23" i="69" s="1"/>
  <c r="E22" i="69"/>
  <c r="G22" i="69" s="1"/>
  <c r="F12" i="69"/>
  <c r="C15" i="69" s="1"/>
  <c r="F11" i="69"/>
  <c r="D7" i="69"/>
  <c r="D6" i="69"/>
  <c r="D5" i="69"/>
  <c r="C18" i="69" l="1"/>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L76" i="9" s="1"/>
  <c r="B22" i="31"/>
  <c r="E15" i="66"/>
  <c r="F15" i="66"/>
  <c r="E16" i="66"/>
  <c r="F16" i="66"/>
  <c r="E17" i="66"/>
  <c r="F17" i="66"/>
  <c r="E18" i="66"/>
  <c r="F18" i="66"/>
  <c r="E19" i="66"/>
  <c r="F19" i="66"/>
  <c r="E20" i="66"/>
  <c r="F20" i="66"/>
  <c r="E21" i="66"/>
  <c r="F21" i="66"/>
  <c r="E22" i="66"/>
  <c r="F22" i="66"/>
  <c r="E23" i="66"/>
  <c r="F23" i="66"/>
  <c r="B3" i="66"/>
  <c r="B25" i="59"/>
  <c r="B24" i="59" s="1"/>
  <c r="B23"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P29" i="59"/>
  <c r="O29" i="59"/>
  <c r="C29" i="59" s="1"/>
  <c r="C28" i="59" s="1"/>
  <c r="N29" i="59"/>
  <c r="D90" i="59"/>
  <c r="F89" i="59"/>
  <c r="F88" i="59" s="1"/>
  <c r="F87" i="59" s="1"/>
  <c r="E89" i="59"/>
  <c r="E88" i="59"/>
  <c r="E87" i="59" s="1"/>
  <c r="C89" i="59"/>
  <c r="D89" i="59" s="1"/>
  <c r="B89" i="59"/>
  <c r="B88" i="59" s="1"/>
  <c r="B87" i="59"/>
  <c r="D86" i="59"/>
  <c r="F85" i="59"/>
  <c r="F84" i="59" s="1"/>
  <c r="F83" i="59" s="1"/>
  <c r="E85" i="59"/>
  <c r="E84" i="59"/>
  <c r="E83" i="59" s="1"/>
  <c r="C85" i="59"/>
  <c r="B85" i="59"/>
  <c r="B84" i="59" s="1"/>
  <c r="B83" i="59"/>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O50" i="59"/>
  <c r="C51" i="59"/>
  <c r="D51" i="59" s="1"/>
  <c r="N50" i="59"/>
  <c r="B51" i="59"/>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s="1"/>
  <c r="D42" i="59"/>
  <c r="Q41" i="59"/>
  <c r="P41" i="59"/>
  <c r="O41" i="59"/>
  <c r="N41" i="59"/>
  <c r="Q40" i="59"/>
  <c r="P40" i="59"/>
  <c r="O40" i="59"/>
  <c r="Y40" i="59"/>
  <c r="Z40" i="59" s="1"/>
  <c r="N40" i="59"/>
  <c r="Q39" i="59"/>
  <c r="P39" i="59"/>
  <c r="O39" i="59"/>
  <c r="Y39" i="59" s="1"/>
  <c r="Z39" i="59" s="1"/>
  <c r="N39" i="59"/>
  <c r="Q38" i="59"/>
  <c r="P38" i="59"/>
  <c r="O38" i="59"/>
  <c r="Y38" i="59" s="1"/>
  <c r="Z38" i="59" s="1"/>
  <c r="C39" i="59"/>
  <c r="C40" i="59" s="1"/>
  <c r="N38" i="59"/>
  <c r="B39" i="59"/>
  <c r="B40" i="59" s="1"/>
  <c r="B41" i="59" s="1"/>
  <c r="S41" i="59" s="1"/>
  <c r="D38" i="59"/>
  <c r="Q37" i="59"/>
  <c r="P37" i="59"/>
  <c r="AA37" i="59" s="1"/>
  <c r="O37" i="59"/>
  <c r="N37" i="59"/>
  <c r="X37" i="59" s="1"/>
  <c r="Q36" i="59"/>
  <c r="P36" i="59"/>
  <c r="AA36" i="59" s="1"/>
  <c r="O36" i="59"/>
  <c r="Y36" i="59" s="1"/>
  <c r="Z36" i="59" s="1"/>
  <c r="N36" i="59"/>
  <c r="X36" i="59" s="1"/>
  <c r="Q35" i="59"/>
  <c r="P35" i="59"/>
  <c r="AA35" i="59" s="1"/>
  <c r="O35" i="59"/>
  <c r="N35" i="59"/>
  <c r="X35" i="59" s="1"/>
  <c r="Q34" i="59"/>
  <c r="F35" i="59"/>
  <c r="P34" i="59"/>
  <c r="E35" i="59"/>
  <c r="E36" i="59" s="1"/>
  <c r="E37" i="59" s="1"/>
  <c r="U37" i="59" s="1"/>
  <c r="O34" i="59"/>
  <c r="N34" i="59"/>
  <c r="D34" i="59"/>
  <c r="Q33" i="59"/>
  <c r="P33" i="59"/>
  <c r="O33" i="59"/>
  <c r="N33" i="59"/>
  <c r="X33" i="59" s="1"/>
  <c r="Q32" i="59"/>
  <c r="AB32" i="59" s="1"/>
  <c r="P32" i="59"/>
  <c r="AA32" i="59" s="1"/>
  <c r="O32" i="59"/>
  <c r="N32" i="59"/>
  <c r="Q31" i="59"/>
  <c r="AB31" i="59" s="1"/>
  <c r="P31" i="59"/>
  <c r="O31" i="59"/>
  <c r="N31" i="59"/>
  <c r="X31" i="59" s="1"/>
  <c r="Q30" i="59"/>
  <c r="P30" i="59"/>
  <c r="AA30" i="59" s="1"/>
  <c r="O30" i="59"/>
  <c r="C31" i="59"/>
  <c r="C32" i="59" s="1"/>
  <c r="N30" i="59"/>
  <c r="B31" i="59"/>
  <c r="B32" i="59" s="1"/>
  <c r="D30" i="59"/>
  <c r="X3" i="59"/>
  <c r="X29" i="59"/>
  <c r="AA28" i="59"/>
  <c r="Y27" i="59"/>
  <c r="Z27" i="59" s="1"/>
  <c r="Y29" i="59"/>
  <c r="Z29" i="59" s="1"/>
  <c r="AB29" i="59"/>
  <c r="AB26" i="59"/>
  <c r="AB28" i="59"/>
  <c r="B33" i="59"/>
  <c r="S33" i="59" s="1"/>
  <c r="B52" i="59"/>
  <c r="B53" i="59" s="1"/>
  <c r="S53" i="59"/>
  <c r="E53" i="59"/>
  <c r="U53" i="59" s="1"/>
  <c r="S69" i="59"/>
  <c r="AA40" i="59"/>
  <c r="F36" i="59"/>
  <c r="F37" i="59" s="1"/>
  <c r="V37" i="59"/>
  <c r="F44" i="59"/>
  <c r="F45" i="59" s="1"/>
  <c r="V45" i="59" s="1"/>
  <c r="F49" i="59"/>
  <c r="V49" i="59" s="1"/>
  <c r="F56" i="59"/>
  <c r="F57" i="59" s="1"/>
  <c r="V57" i="59"/>
  <c r="F61" i="59"/>
  <c r="V61" i="59" s="1"/>
  <c r="F64" i="59"/>
  <c r="F65" i="59" s="1"/>
  <c r="V65" i="59" s="1"/>
  <c r="D31" i="59"/>
  <c r="D39" i="59"/>
  <c r="D43" i="59"/>
  <c r="C52" i="59"/>
  <c r="C53" i="59" s="1"/>
  <c r="C56" i="59"/>
  <c r="C60" i="59"/>
  <c r="D60" i="59" s="1"/>
  <c r="C64" i="59"/>
  <c r="C65" i="59" s="1"/>
  <c r="E67" i="59"/>
  <c r="P66" i="59" s="1"/>
  <c r="B67" i="59"/>
  <c r="N66" i="59" s="1"/>
  <c r="Q68" i="59"/>
  <c r="T69" i="59"/>
  <c r="D69" i="59"/>
  <c r="P69" i="59"/>
  <c r="U69" i="59"/>
  <c r="Q69" i="59"/>
  <c r="E72" i="59"/>
  <c r="E71" i="59" s="1"/>
  <c r="D73" i="59"/>
  <c r="C76" i="59"/>
  <c r="E76" i="59"/>
  <c r="E75" i="59" s="1"/>
  <c r="D77" i="59"/>
  <c r="E80" i="59"/>
  <c r="E79" i="59" s="1"/>
  <c r="D81" i="59"/>
  <c r="C88" i="59"/>
  <c r="D88" i="59" s="1"/>
  <c r="U16" i="4"/>
  <c r="S16" i="4"/>
  <c r="Q16" i="4"/>
  <c r="O16" i="4"/>
  <c r="M16" i="4"/>
  <c r="K16" i="4"/>
  <c r="P67" i="59"/>
  <c r="C87" i="59"/>
  <c r="D87" i="59" s="1"/>
  <c r="D76" i="59"/>
  <c r="C75" i="59"/>
  <c r="D75" i="59"/>
  <c r="N67" i="59"/>
  <c r="D64" i="59"/>
  <c r="C61" i="59"/>
  <c r="T61" i="59" s="1"/>
  <c r="C57" i="59"/>
  <c r="D56" i="59"/>
  <c r="D52" i="59"/>
  <c r="C45" i="59"/>
  <c r="D44" i="59"/>
  <c r="C41" i="59"/>
  <c r="D40" i="59"/>
  <c r="C33" i="59"/>
  <c r="D32" i="59"/>
  <c r="D61" i="59"/>
  <c r="T33" i="59"/>
  <c r="D33" i="59"/>
  <c r="T41" i="59"/>
  <c r="D41" i="59"/>
  <c r="T45" i="59"/>
  <c r="D45" i="59"/>
  <c r="T57" i="59"/>
  <c r="D57" i="59"/>
  <c r="T65" i="59"/>
  <c r="D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Q27" i="40"/>
  <c r="Z27" i="40" s="1"/>
  <c r="D95" i="40"/>
  <c r="E95" i="40"/>
  <c r="F27" i="40"/>
  <c r="AA27" i="40" s="1"/>
  <c r="Q31" i="39"/>
  <c r="Z31" i="39" s="1"/>
  <c r="D104" i="39"/>
  <c r="E104" i="39" s="1"/>
  <c r="F104" i="39" s="1"/>
  <c r="F31" i="39"/>
  <c r="AA31" i="39" s="1"/>
  <c r="G20" i="20"/>
  <c r="B88" i="46"/>
  <c r="C22" i="20"/>
  <c r="B100" i="46" s="1"/>
  <c r="B68" i="46"/>
  <c r="S18" i="36"/>
  <c r="S18" i="35"/>
  <c r="S21" i="37"/>
  <c r="S21" i="34"/>
  <c r="S21" i="21"/>
  <c r="S31" i="39"/>
  <c r="C27" i="40"/>
  <c r="C31" i="39"/>
  <c r="B57" i="46"/>
  <c r="B77" i="46"/>
  <c r="E66" i="36"/>
  <c r="H18" i="35"/>
  <c r="J18" i="35"/>
  <c r="H21" i="37"/>
  <c r="J21" i="37"/>
  <c r="E84" i="34"/>
  <c r="F84" i="34" s="1"/>
  <c r="G84" i="34" s="1"/>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11" i="55" s="1"/>
  <c r="B62"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D68" i="36"/>
  <c r="E68" i="36" s="1"/>
  <c r="D64" i="36"/>
  <c r="E64" i="36" s="1"/>
  <c r="F64" i="36" s="1"/>
  <c r="G64" i="36" s="1"/>
  <c r="J16" i="36"/>
  <c r="D62" i="36"/>
  <c r="E62" i="36"/>
  <c r="B59" i="36"/>
  <c r="B57" i="36"/>
  <c r="B55" i="36"/>
  <c r="J11"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E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B99" i="35"/>
  <c r="B97" i="35"/>
  <c r="B77" i="35"/>
  <c r="B75" i="35"/>
  <c r="J24" i="35"/>
  <c r="AC24" i="35" s="1"/>
  <c r="B73" i="35"/>
  <c r="J23" i="35" s="1"/>
  <c r="W23" i="35" s="1"/>
  <c r="B57" i="35"/>
  <c r="B61" i="35"/>
  <c r="B59" i="35"/>
  <c r="H12" i="35"/>
  <c r="B131" i="34"/>
  <c r="B129" i="34"/>
  <c r="B127" i="34"/>
  <c r="B99" i="34"/>
  <c r="B97" i="34"/>
  <c r="B95" i="34"/>
  <c r="B93" i="34"/>
  <c r="B75" i="34"/>
  <c r="B73" i="34"/>
  <c r="B71" i="34"/>
  <c r="B130" i="33"/>
  <c r="B128" i="33"/>
  <c r="H45" i="33" s="1"/>
  <c r="U45" i="33" s="1"/>
  <c r="B126" i="33"/>
  <c r="B98" i="33"/>
  <c r="B96" i="33"/>
  <c r="B94" i="33"/>
  <c r="J29" i="33" s="1"/>
  <c r="B74" i="33"/>
  <c r="B72" i="33"/>
  <c r="F13" i="33" s="1"/>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s="1"/>
  <c r="G120" i="34"/>
  <c r="H120" i="34" s="1"/>
  <c r="I120" i="34" s="1"/>
  <c r="J120" i="34" s="1"/>
  <c r="K120" i="34" s="1"/>
  <c r="L120" i="34" s="1"/>
  <c r="M120" i="34" s="1"/>
  <c r="D90" i="34"/>
  <c r="C15" i="34"/>
  <c r="H10" i="34"/>
  <c r="AB10" i="34" s="1"/>
  <c r="D126" i="34"/>
  <c r="E126" i="34" s="1"/>
  <c r="F126" i="34"/>
  <c r="G126" i="34" s="1"/>
  <c r="D124" i="34"/>
  <c r="E124" i="34" s="1"/>
  <c r="F124" i="34"/>
  <c r="G124" i="34" s="1"/>
  <c r="H124" i="34" s="1"/>
  <c r="I124" i="34" s="1"/>
  <c r="J124" i="34" s="1"/>
  <c r="K124" i="34" s="1"/>
  <c r="L124" i="34" s="1"/>
  <c r="M124" i="34" s="1"/>
  <c r="J43" i="34"/>
  <c r="AC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F9" i="33"/>
  <c r="AA9" i="33" s="1"/>
  <c r="J8" i="33"/>
  <c r="W8" i="33" s="1"/>
  <c r="H8" i="33"/>
  <c r="F8" i="33"/>
  <c r="M102" i="21"/>
  <c r="D102" i="21"/>
  <c r="E102" i="21"/>
  <c r="F102" i="21"/>
  <c r="G102" i="21"/>
  <c r="H102" i="21"/>
  <c r="I102" i="21"/>
  <c r="J102" i="21"/>
  <c r="K102" i="21"/>
  <c r="L102" i="21"/>
  <c r="C102" i="21"/>
  <c r="C63" i="21"/>
  <c r="F9" i="21"/>
  <c r="G18" i="20"/>
  <c r="B90" i="46" s="1"/>
  <c r="C25" i="40"/>
  <c r="G16" i="20"/>
  <c r="G15" i="20"/>
  <c r="B83" i="46" s="1"/>
  <c r="C24" i="20"/>
  <c r="B75" i="46" s="1"/>
  <c r="C21" i="20"/>
  <c r="C20" i="20"/>
  <c r="C18" i="20"/>
  <c r="B73" i="46"/>
  <c r="C17" i="20"/>
  <c r="B61" i="46"/>
  <c r="C16" i="20"/>
  <c r="B50" i="46"/>
  <c r="C15" i="20"/>
  <c r="B72" i="46"/>
  <c r="E54" i="21"/>
  <c r="F54" i="21"/>
  <c r="I54" i="21"/>
  <c r="J54" i="21"/>
  <c r="G54" i="21"/>
  <c r="H54" i="21"/>
  <c r="D125" i="21"/>
  <c r="E125" i="2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J28" i="21" s="1"/>
  <c r="B90" i="21"/>
  <c r="B74" i="21"/>
  <c r="J14" i="21" s="1"/>
  <c r="W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c r="J34" i="21"/>
  <c r="W34" i="21"/>
  <c r="H36" i="21"/>
  <c r="U36" i="21"/>
  <c r="F35" i="21"/>
  <c r="AA35" i="21"/>
  <c r="J33" i="21"/>
  <c r="W33" i="21"/>
  <c r="H33" i="21"/>
  <c r="U33" i="21"/>
  <c r="F33" i="21"/>
  <c r="J10" i="21"/>
  <c r="AC10" i="21" s="1"/>
  <c r="H26" i="21"/>
  <c r="U26" i="21" s="1"/>
  <c r="F19" i="21"/>
  <c r="AA19" i="21"/>
  <c r="H19" i="21"/>
  <c r="AB19" i="21"/>
  <c r="J19" i="21"/>
  <c r="W19" i="21"/>
  <c r="H12" i="21"/>
  <c r="J26" i="21"/>
  <c r="W26" i="21" s="1"/>
  <c r="F26" i="21"/>
  <c r="AA26" i="21" s="1"/>
  <c r="AB41" i="21"/>
  <c r="S41" i="21"/>
  <c r="AA41" i="21"/>
  <c r="W41" i="21"/>
  <c r="S10" i="39"/>
  <c r="U30" i="37"/>
  <c r="E103" i="37"/>
  <c r="F103" i="37" s="1"/>
  <c r="G103" i="37" s="1"/>
  <c r="F39" i="37"/>
  <c r="W39" i="37"/>
  <c r="F29" i="36"/>
  <c r="AA29" i="36"/>
  <c r="F16" i="36"/>
  <c r="AA16" i="36"/>
  <c r="W22" i="36"/>
  <c r="U26" i="36"/>
  <c r="AC31" i="36"/>
  <c r="J33" i="36"/>
  <c r="AC27" i="35"/>
  <c r="U31" i="35"/>
  <c r="S34" i="35"/>
  <c r="W24" i="35"/>
  <c r="S31" i="35"/>
  <c r="W31" i="35"/>
  <c r="F36" i="34"/>
  <c r="S36" i="34" s="1"/>
  <c r="S34" i="34"/>
  <c r="W39" i="34"/>
  <c r="H39" i="33"/>
  <c r="AB39" i="33"/>
  <c r="U33" i="33"/>
  <c r="S40" i="33"/>
  <c r="W33" i="33"/>
  <c r="S8" i="21"/>
  <c r="W8" i="21"/>
  <c r="H39" i="37"/>
  <c r="AB39" i="37" s="1"/>
  <c r="AB27" i="35"/>
  <c r="W10" i="40"/>
  <c r="U11" i="40"/>
  <c r="U36" i="40"/>
  <c r="S40" i="39"/>
  <c r="F11" i="21"/>
  <c r="S11" i="21"/>
  <c r="AC40" i="21"/>
  <c r="AA38" i="21"/>
  <c r="AB36" i="21"/>
  <c r="AC35" i="21"/>
  <c r="C23" i="39"/>
  <c r="U36" i="39"/>
  <c r="H32" i="33"/>
  <c r="AB32" i="33" s="1"/>
  <c r="H11" i="21"/>
  <c r="U11" i="21" s="1"/>
  <c r="J11" i="21"/>
  <c r="W11" i="21" s="1"/>
  <c r="F85" i="40"/>
  <c r="G85" i="40" s="1"/>
  <c r="U9" i="21"/>
  <c r="J27" i="36"/>
  <c r="W27" i="36"/>
  <c r="J34" i="36"/>
  <c r="W34" i="36"/>
  <c r="J30" i="35"/>
  <c r="W30" i="35"/>
  <c r="F22" i="35"/>
  <c r="AA22" i="35"/>
  <c r="H10" i="35"/>
  <c r="U10" i="35" s="1"/>
  <c r="AC24" i="36"/>
  <c r="U29" i="36"/>
  <c r="U24" i="36"/>
  <c r="F85" i="36"/>
  <c r="G85" i="36" s="1"/>
  <c r="H85" i="36" s="1"/>
  <c r="I85" i="36" s="1"/>
  <c r="J85" i="36" s="1"/>
  <c r="K85" i="36" s="1"/>
  <c r="L85" i="36" s="1"/>
  <c r="M85" i="36" s="1"/>
  <c r="J29" i="36"/>
  <c r="AC29" i="36" s="1"/>
  <c r="F12" i="36"/>
  <c r="S12" i="36" s="1"/>
  <c r="F24" i="36"/>
  <c r="AA24" i="36" s="1"/>
  <c r="F34" i="36"/>
  <c r="S34" i="36" s="1"/>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W8" i="34"/>
  <c r="E113" i="33"/>
  <c r="F113" i="33" s="1"/>
  <c r="F36" i="33"/>
  <c r="S36" i="33"/>
  <c r="F19" i="33"/>
  <c r="S19" i="33"/>
  <c r="J19" i="33"/>
  <c r="S10" i="21"/>
  <c r="F125" i="21"/>
  <c r="G125" i="21" s="1"/>
  <c r="AB30" i="36"/>
  <c r="AC34" i="36"/>
  <c r="S22" i="35"/>
  <c r="H29" i="35"/>
  <c r="U34" i="37"/>
  <c r="S34" i="37"/>
  <c r="AA34" i="37"/>
  <c r="AB42" i="34"/>
  <c r="AB40" i="34"/>
  <c r="W36" i="34"/>
  <c r="J19" i="34"/>
  <c r="AC19" i="34"/>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F14" i="21"/>
  <c r="AA14" i="21" s="1"/>
  <c r="H14" i="21"/>
  <c r="U14" i="21" s="1"/>
  <c r="H28" i="21"/>
  <c r="AB28" i="21" s="1"/>
  <c r="F28" i="21"/>
  <c r="AA28" i="21" s="1"/>
  <c r="AC28" i="21"/>
  <c r="J44" i="21"/>
  <c r="AC44" i="21" s="1"/>
  <c r="H44" i="21"/>
  <c r="F44" i="21"/>
  <c r="AA44" i="21" s="1"/>
  <c r="H46" i="21"/>
  <c r="AB46" i="21" s="1"/>
  <c r="J46" i="21"/>
  <c r="W46" i="21" s="1"/>
  <c r="F46" i="21"/>
  <c r="H26" i="33"/>
  <c r="U26" i="33" s="1"/>
  <c r="H28" i="33"/>
  <c r="U28" i="33" s="1"/>
  <c r="F33" i="35"/>
  <c r="S33" i="35"/>
  <c r="J33" i="35"/>
  <c r="W33" i="35"/>
  <c r="F30" i="35"/>
  <c r="AA30" i="35"/>
  <c r="F89" i="35"/>
  <c r="G89" i="35" s="1"/>
  <c r="H89" i="35"/>
  <c r="I89" i="35" s="1"/>
  <c r="J89" i="35" s="1"/>
  <c r="K89" i="35" s="1"/>
  <c r="L89" i="35" s="1"/>
  <c r="M89" i="35" s="1"/>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S13" i="33"/>
  <c r="W29" i="33"/>
  <c r="J45" i="33"/>
  <c r="F45" i="33"/>
  <c r="F11" i="35"/>
  <c r="S11" i="35" s="1"/>
  <c r="H28" i="36"/>
  <c r="U28" i="36" s="1"/>
  <c r="H32" i="36"/>
  <c r="AB32" i="36" s="1"/>
  <c r="J32" i="36"/>
  <c r="W32" i="36" s="1"/>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AB40" i="37"/>
  <c r="J36" i="37"/>
  <c r="AC36" i="37"/>
  <c r="AB28" i="36"/>
  <c r="AB31" i="21"/>
  <c r="AB13" i="21"/>
  <c r="U46" i="21"/>
  <c r="S28" i="21"/>
  <c r="AB14" i="21"/>
  <c r="AC14" i="21"/>
  <c r="W42" i="21"/>
  <c r="W31" i="34"/>
  <c r="S46" i="33"/>
  <c r="U36" i="37"/>
  <c r="AC13" i="36"/>
  <c r="AB45" i="33"/>
  <c r="AA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AZ551" i="3" s="1"/>
  <c r="BA545" i="3"/>
  <c r="AZ545" i="3" s="1"/>
  <c r="BA543" i="3"/>
  <c r="BA541" i="3"/>
  <c r="AZ541" i="3" s="1"/>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F125" i="33"/>
  <c r="G125" i="33" s="1"/>
  <c r="H43" i="33"/>
  <c r="H17" i="37"/>
  <c r="F23" i="37"/>
  <c r="S23" i="37" s="1"/>
  <c r="F79" i="37"/>
  <c r="AB27" i="37"/>
  <c r="F39" i="33"/>
  <c r="E123" i="33"/>
  <c r="F42" i="33"/>
  <c r="AA42" i="33"/>
  <c r="F22" i="36"/>
  <c r="S22" i="36"/>
  <c r="H35" i="34"/>
  <c r="U35" i="34"/>
  <c r="F41" i="34"/>
  <c r="S41" i="34"/>
  <c r="H41" i="34"/>
  <c r="U41" i="34"/>
  <c r="J41" i="34"/>
  <c r="W41" i="34"/>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D3" i="21"/>
  <c r="AC12" i="35"/>
  <c r="AC23" i="37"/>
  <c r="S27" i="37"/>
  <c r="U39" i="37"/>
  <c r="AC8" i="37"/>
  <c r="S25" i="37"/>
  <c r="AC36" i="34"/>
  <c r="AB8" i="34"/>
  <c r="AC37" i="33"/>
  <c r="AA13" i="33"/>
  <c r="U19" i="21"/>
  <c r="AC33" i="21"/>
  <c r="AA36" i="21"/>
  <c r="F43" i="33"/>
  <c r="AA43" i="33" s="1"/>
  <c r="AA23" i="37"/>
  <c r="AB44" i="33"/>
  <c r="G107" i="37"/>
  <c r="H107" i="37" s="1"/>
  <c r="I107" i="37" s="1"/>
  <c r="J107" i="37" s="1"/>
  <c r="K107" i="37" s="1"/>
  <c r="L107" i="37" s="1"/>
  <c r="M107" i="37" s="1"/>
  <c r="F37" i="21"/>
  <c r="S37" i="21" s="1"/>
  <c r="J37" i="21"/>
  <c r="W37" i="21" s="1"/>
  <c r="H19" i="34"/>
  <c r="AB19" i="34" s="1"/>
  <c r="J10" i="37"/>
  <c r="AC10" i="37" s="1"/>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J15" i="37"/>
  <c r="W15" i="37" s="1"/>
  <c r="U12" i="37"/>
  <c r="J11" i="37"/>
  <c r="W11" i="37"/>
  <c r="E89" i="40"/>
  <c r="F89" i="40" s="1"/>
  <c r="G89" i="40" s="1"/>
  <c r="F21" i="40"/>
  <c r="S21" i="40"/>
  <c r="J21" i="40"/>
  <c r="AC21" i="40" s="1"/>
  <c r="S27" i="31"/>
  <c r="AZ54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AZ115" i="3" s="1"/>
  <c r="G116" i="3"/>
  <c r="BA118" i="3"/>
  <c r="BL119" i="3"/>
  <c r="AZ119" i="3"/>
  <c r="G120" i="3"/>
  <c r="BA122" i="3"/>
  <c r="BL123" i="3"/>
  <c r="AZ123" i="3" s="1"/>
  <c r="G124" i="3"/>
  <c r="BA126" i="3"/>
  <c r="BL127" i="3"/>
  <c r="G128" i="3"/>
  <c r="BA130" i="3"/>
  <c r="AZ130" i="3"/>
  <c r="BL131" i="3"/>
  <c r="AZ131" i="3"/>
  <c r="G132" i="3"/>
  <c r="BA134" i="3"/>
  <c r="BL135" i="3"/>
  <c r="AZ135" i="3" s="1"/>
  <c r="G136" i="3"/>
  <c r="BA138" i="3"/>
  <c r="BL139" i="3"/>
  <c r="AZ139" i="3"/>
  <c r="G140" i="3"/>
  <c r="BA142" i="3"/>
  <c r="BL143" i="3"/>
  <c r="G144" i="3"/>
  <c r="BA146" i="3"/>
  <c r="AZ146" i="3" s="1"/>
  <c r="BL147" i="3"/>
  <c r="AZ147" i="3" s="1"/>
  <c r="G148" i="3"/>
  <c r="BA150" i="3"/>
  <c r="BL151" i="3"/>
  <c r="AZ151" i="3" s="1"/>
  <c r="BA153" i="3"/>
  <c r="BL154" i="3"/>
  <c r="G155" i="3"/>
  <c r="BA157" i="3"/>
  <c r="AZ157" i="3" s="1"/>
  <c r="BL158" i="3"/>
  <c r="AZ158" i="3" s="1"/>
  <c r="G159" i="3"/>
  <c r="BA161" i="3"/>
  <c r="BL162" i="3"/>
  <c r="G163" i="3"/>
  <c r="BA165" i="3"/>
  <c r="BL166" i="3"/>
  <c r="AZ166" i="3" s="1"/>
  <c r="G167" i="3"/>
  <c r="BA169" i="3"/>
  <c r="AZ169" i="3" s="1"/>
  <c r="BL170" i="3"/>
  <c r="G171" i="3"/>
  <c r="BA173" i="3"/>
  <c r="BL174" i="3"/>
  <c r="AZ174" i="3" s="1"/>
  <c r="G175" i="3"/>
  <c r="BA178" i="3"/>
  <c r="AZ178" i="3" s="1"/>
  <c r="BL179" i="3"/>
  <c r="G180" i="3"/>
  <c r="AZ31" i="3"/>
  <c r="AZ35" i="3"/>
  <c r="AZ47" i="3"/>
  <c r="AZ51" i="3"/>
  <c r="AZ59" i="3"/>
  <c r="G537" i="3"/>
  <c r="BL181" i="3"/>
  <c r="G182" i="3"/>
  <c r="BA184" i="3"/>
  <c r="AZ184" i="3"/>
  <c r="BL185" i="3"/>
  <c r="G186" i="3"/>
  <c r="BA188" i="3"/>
  <c r="AZ188" i="3"/>
  <c r="BL189" i="3"/>
  <c r="G190" i="3"/>
  <c r="BA192" i="3"/>
  <c r="AZ192" i="3" s="1"/>
  <c r="BL193" i="3"/>
  <c r="G194" i="3"/>
  <c r="BA196" i="3"/>
  <c r="AZ196" i="3"/>
  <c r="BL197" i="3"/>
  <c r="G198" i="3"/>
  <c r="BA200" i="3"/>
  <c r="AZ200" i="3" s="1"/>
  <c r="BL201" i="3"/>
  <c r="AZ70" i="3"/>
  <c r="AZ78" i="3"/>
  <c r="AZ82" i="3"/>
  <c r="AZ86" i="3"/>
  <c r="AZ98" i="3"/>
  <c r="AZ102"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AZ331" i="3" s="1"/>
  <c r="G332" i="3"/>
  <c r="G335" i="3"/>
  <c r="BL336" i="3"/>
  <c r="BA338" i="3"/>
  <c r="AZ338" i="3" s="1"/>
  <c r="BA339" i="3"/>
  <c r="AZ339" i="3" s="1"/>
  <c r="BL339" i="3"/>
  <c r="G340" i="3"/>
  <c r="G343" i="3"/>
  <c r="BL344" i="3"/>
  <c r="BA346" i="3"/>
  <c r="AZ346" i="3" s="1"/>
  <c r="BA347" i="3"/>
  <c r="BL347" i="3"/>
  <c r="G348" i="3"/>
  <c r="G351" i="3"/>
  <c r="BL352" i="3"/>
  <c r="BA354" i="3"/>
  <c r="BA355" i="3"/>
  <c r="AZ355" i="3" s="1"/>
  <c r="BL355" i="3"/>
  <c r="G356" i="3"/>
  <c r="AZ127" i="3"/>
  <c r="AZ143" i="3"/>
  <c r="BA358" i="3"/>
  <c r="AZ358" i="3" s="1"/>
  <c r="BA359" i="3"/>
  <c r="BL359" i="3"/>
  <c r="G360" i="3"/>
  <c r="G361" i="3"/>
  <c r="BL362" i="3"/>
  <c r="BA364" i="3"/>
  <c r="BA365" i="3"/>
  <c r="BL365" i="3"/>
  <c r="G366" i="3"/>
  <c r="G369" i="3"/>
  <c r="BL370" i="3"/>
  <c r="BA372" i="3"/>
  <c r="AZ372" i="3" s="1"/>
  <c r="BA373" i="3"/>
  <c r="BL373" i="3"/>
  <c r="AZ373" i="3" s="1"/>
  <c r="G374" i="3"/>
  <c r="G377" i="3"/>
  <c r="BL378" i="3"/>
  <c r="BA380" i="3"/>
  <c r="BA381" i="3"/>
  <c r="AZ381" i="3" s="1"/>
  <c r="BL381" i="3"/>
  <c r="G382" i="3"/>
  <c r="G385" i="3"/>
  <c r="AZ154" i="3"/>
  <c r="AZ162" i="3"/>
  <c r="AZ170" i="3"/>
  <c r="AZ183" i="3"/>
  <c r="AZ187" i="3"/>
  <c r="AZ191" i="3"/>
  <c r="AZ195" i="3"/>
  <c r="AZ199" i="3"/>
  <c r="AZ203" i="3"/>
  <c r="G523" i="3"/>
  <c r="BL297" i="3"/>
  <c r="AZ297" i="3" s="1"/>
  <c r="G298" i="3"/>
  <c r="BA300" i="3"/>
  <c r="BL301" i="3"/>
  <c r="AZ301" i="3" s="1"/>
  <c r="G302" i="3"/>
  <c r="BA304" i="3"/>
  <c r="BL305" i="3"/>
  <c r="AZ305" i="3" s="1"/>
  <c r="G306" i="3"/>
  <c r="BA308" i="3"/>
  <c r="AZ308" i="3" s="1"/>
  <c r="BL309" i="3"/>
  <c r="G310" i="3"/>
  <c r="BA310" i="3"/>
  <c r="AZ310" i="3" s="1"/>
  <c r="BL311" i="3"/>
  <c r="G312" i="3"/>
  <c r="BA312" i="3"/>
  <c r="AZ312" i="3" s="1"/>
  <c r="BL313" i="3"/>
  <c r="G314" i="3"/>
  <c r="BA314" i="3"/>
  <c r="AZ314" i="3" s="1"/>
  <c r="BL315" i="3"/>
  <c r="AZ315" i="3" s="1"/>
  <c r="G316" i="3"/>
  <c r="BA316" i="3"/>
  <c r="AZ316" i="3" s="1"/>
  <c r="BL317" i="3"/>
  <c r="G318" i="3"/>
  <c r="BA320" i="3"/>
  <c r="AZ320" i="3" s="1"/>
  <c r="BL321" i="3"/>
  <c r="AZ321" i="3" s="1"/>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AZ353" i="3" s="1"/>
  <c r="G354" i="3"/>
  <c r="BA356" i="3"/>
  <c r="AZ356" i="3" s="1"/>
  <c r="BL357" i="3"/>
  <c r="G358" i="3"/>
  <c r="BA362" i="3"/>
  <c r="BL363" i="3"/>
  <c r="AZ363" i="3" s="1"/>
  <c r="G364" i="3"/>
  <c r="BA366" i="3"/>
  <c r="AZ366" i="3" s="1"/>
  <c r="BL367" i="3"/>
  <c r="AZ367" i="3" s="1"/>
  <c r="AZ341" i="3"/>
  <c r="G368" i="3"/>
  <c r="BA370" i="3"/>
  <c r="AZ370" i="3" s="1"/>
  <c r="BL371" i="3"/>
  <c r="G372" i="3"/>
  <c r="BA374" i="3"/>
  <c r="AZ374" i="3" s="1"/>
  <c r="BL375" i="3"/>
  <c r="G376" i="3"/>
  <c r="BA378" i="3"/>
  <c r="AZ378" i="3" s="1"/>
  <c r="BL379" i="3"/>
  <c r="AZ379" i="3" s="1"/>
  <c r="G380" i="3"/>
  <c r="BA382" i="3"/>
  <c r="AZ382" i="3" s="1"/>
  <c r="BL383" i="3"/>
  <c r="AZ383" i="3" s="1"/>
  <c r="G384" i="3"/>
  <c r="AZ311" i="3"/>
  <c r="AZ347" i="3"/>
  <c r="F37" i="46"/>
  <c r="AB16" i="35"/>
  <c r="AB15" i="37"/>
  <c r="U43" i="21"/>
  <c r="AA13" i="40"/>
  <c r="F77" i="40"/>
  <c r="G77" i="40" s="1"/>
  <c r="H77" i="40" s="1"/>
  <c r="I77" i="40" s="1"/>
  <c r="J77" i="40" s="1"/>
  <c r="K77" i="40" s="1"/>
  <c r="L77" i="40" s="1"/>
  <c r="M77" i="40" s="1"/>
  <c r="BH5" i="3"/>
  <c r="R16" i="4"/>
  <c r="D3" i="35"/>
  <c r="G4" i="4"/>
  <c r="S37" i="34"/>
  <c r="J16" i="35"/>
  <c r="W16" i="35"/>
  <c r="U42" i="21"/>
  <c r="AC26" i="36"/>
  <c r="AZ300" i="3"/>
  <c r="AZ354" i="3"/>
  <c r="AZ322" i="3"/>
  <c r="H11" i="37"/>
  <c r="AB11" i="37" s="1"/>
  <c r="W37" i="37"/>
  <c r="AA36" i="37"/>
  <c r="S42" i="33"/>
  <c r="U32" i="33"/>
  <c r="AZ488" i="3"/>
  <c r="AC29" i="33"/>
  <c r="AC11" i="36"/>
  <c r="AB45" i="34"/>
  <c r="AC14" i="37"/>
  <c r="W44" i="33"/>
  <c r="AC30" i="33"/>
  <c r="AC29" i="37"/>
  <c r="AC32" i="36"/>
  <c r="AB28" i="33"/>
  <c r="J33" i="34"/>
  <c r="AC33" i="34"/>
  <c r="AB36" i="34"/>
  <c r="J40" i="34"/>
  <c r="W40" i="34" s="1"/>
  <c r="F16" i="35"/>
  <c r="AA16" i="35" s="1"/>
  <c r="S24" i="36"/>
  <c r="W42" i="33"/>
  <c r="J35" i="34"/>
  <c r="W35" i="34" s="1"/>
  <c r="F107" i="34"/>
  <c r="G107" i="34" s="1"/>
  <c r="H107" i="34"/>
  <c r="I107" i="34" s="1"/>
  <c r="J107" i="34" s="1"/>
  <c r="K107" i="34" s="1"/>
  <c r="L107" i="34" s="1"/>
  <c r="M107" i="34" s="1"/>
  <c r="S30" i="36"/>
  <c r="H16" i="36"/>
  <c r="AB16" i="36"/>
  <c r="H103" i="37"/>
  <c r="I103" i="37" s="1"/>
  <c r="J103" i="37" s="1"/>
  <c r="K103" i="37" s="1"/>
  <c r="L103" i="37" s="1"/>
  <c r="M103" i="37" s="1"/>
  <c r="H35" i="37"/>
  <c r="AB35" i="37" s="1"/>
  <c r="S26" i="21"/>
  <c r="H32" i="21"/>
  <c r="U32" i="21" s="1"/>
  <c r="AB26" i="21"/>
  <c r="AA33" i="21"/>
  <c r="S33" i="21"/>
  <c r="U39" i="21"/>
  <c r="W9" i="21"/>
  <c r="J32" i="21"/>
  <c r="AC32" i="21" s="1"/>
  <c r="AC5" i="3"/>
  <c r="F17" i="21"/>
  <c r="S17" i="21"/>
  <c r="H17" i="21"/>
  <c r="AB17" i="21"/>
  <c r="J17" i="21"/>
  <c r="AC17" i="21"/>
  <c r="H37" i="21"/>
  <c r="U37" i="21"/>
  <c r="F40" i="21"/>
  <c r="S40" i="21"/>
  <c r="H40" i="21"/>
  <c r="AB40" i="21"/>
  <c r="E119" i="21"/>
  <c r="F119" i="21"/>
  <c r="G119" i="21" s="1"/>
  <c r="H119" i="2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c r="H17" i="34"/>
  <c r="AB1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43" i="39"/>
  <c r="H43" i="39"/>
  <c r="U43" i="39"/>
  <c r="J43" i="39"/>
  <c r="F99" i="37"/>
  <c r="AC27" i="37"/>
  <c r="S45" i="34"/>
  <c r="U31" i="34"/>
  <c r="AC40" i="37"/>
  <c r="W40" i="37"/>
  <c r="W27" i="33"/>
  <c r="AC45" i="21"/>
  <c r="S14" i="21"/>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AZ529" i="3" s="1"/>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c r="I114" i="34" s="1"/>
  <c r="J114" i="34" s="1"/>
  <c r="K114" i="34" s="1"/>
  <c r="L114" i="34" s="1"/>
  <c r="M114" i="34" s="1"/>
  <c r="H38" i="34"/>
  <c r="U38" i="34" s="1"/>
  <c r="H30" i="40"/>
  <c r="AB30" i="40" s="1"/>
  <c r="G99" i="40"/>
  <c r="J30" i="40"/>
  <c r="AC30" i="40" s="1"/>
  <c r="F38" i="40"/>
  <c r="AA38" i="40" s="1"/>
  <c r="AA36" i="34"/>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U31" i="36"/>
  <c r="S8" i="37"/>
  <c r="AA8" i="37"/>
  <c r="F14" i="39"/>
  <c r="AA14" i="39" s="1"/>
  <c r="H14" i="39"/>
  <c r="AB14" i="39" s="1"/>
  <c r="J14" i="39"/>
  <c r="AC14" i="39" s="1"/>
  <c r="F16" i="39"/>
  <c r="AA16" i="39" s="1"/>
  <c r="H16" i="39"/>
  <c r="U16" i="39" s="1"/>
  <c r="J16" i="39"/>
  <c r="AC16" i="39" s="1"/>
  <c r="F23" i="39"/>
  <c r="AA23" i="39" s="1"/>
  <c r="E96" i="39"/>
  <c r="F96" i="39" s="1"/>
  <c r="G96" i="39" s="1"/>
  <c r="F27" i="39"/>
  <c r="AA27" i="39" s="1"/>
  <c r="H27" i="39"/>
  <c r="AB27" i="39" s="1"/>
  <c r="J27" i="39"/>
  <c r="AC27" i="39" s="1"/>
  <c r="F15" i="40"/>
  <c r="AA15" i="40" s="1"/>
  <c r="J15" i="40"/>
  <c r="H15" i="40"/>
  <c r="AB15" i="40"/>
  <c r="E91" i="40"/>
  <c r="F91" i="40"/>
  <c r="H23" i="40"/>
  <c r="U23" i="40"/>
  <c r="H41" i="40"/>
  <c r="AB41" i="40"/>
  <c r="F41" i="40"/>
  <c r="AA41" i="40"/>
  <c r="J41" i="40"/>
  <c r="H36" i="33"/>
  <c r="AB36" i="33" s="1"/>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77" i="3"/>
  <c r="AZ180" i="3"/>
  <c r="AZ24" i="3"/>
  <c r="AZ40" i="3"/>
  <c r="AZ56" i="3"/>
  <c r="AZ63" i="3"/>
  <c r="AZ91" i="3"/>
  <c r="AZ107" i="3"/>
  <c r="AZ112" i="3"/>
  <c r="J13" i="40"/>
  <c r="W13" i="40"/>
  <c r="AB14" i="40"/>
  <c r="W40" i="40"/>
  <c r="AC14" i="40"/>
  <c r="S47" i="39"/>
  <c r="AB25" i="39"/>
  <c r="U37" i="34"/>
  <c r="AB37" i="34"/>
  <c r="AC41" i="40"/>
  <c r="W41" i="40"/>
  <c r="U41" i="40"/>
  <c r="J23" i="40"/>
  <c r="AC23" i="40" s="1"/>
  <c r="G91" i="40"/>
  <c r="F23" i="40"/>
  <c r="S23" i="40" s="1"/>
  <c r="AC15" i="40"/>
  <c r="W15" i="40"/>
  <c r="W27" i="39"/>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AB21" i="39"/>
  <c r="U21" i="39"/>
  <c r="AB33" i="36"/>
  <c r="AA11" i="36"/>
  <c r="AA14" i="35"/>
  <c r="S14" i="35"/>
  <c r="G99" i="37"/>
  <c r="F33" i="37"/>
  <c r="U46" i="34"/>
  <c r="AC30" i="34"/>
  <c r="AA14" i="34"/>
  <c r="W12" i="34"/>
  <c r="U29" i="33"/>
  <c r="AC13" i="33"/>
  <c r="U17" i="34"/>
  <c r="AA11" i="34"/>
  <c r="W32" i="33"/>
  <c r="H15" i="33"/>
  <c r="U15" i="33"/>
  <c r="AA11" i="33"/>
  <c r="AA40" i="21"/>
  <c r="U17" i="21"/>
  <c r="U16" i="40"/>
  <c r="W34" i="40"/>
  <c r="AB34" i="40"/>
  <c r="U42" i="40"/>
  <c r="AC16" i="40"/>
  <c r="W32" i="40"/>
  <c r="H25" i="40"/>
  <c r="AB25" i="40" s="1"/>
  <c r="F93" i="40"/>
  <c r="G93" i="40" s="1"/>
  <c r="U47" i="39"/>
  <c r="W15" i="39"/>
  <c r="J37" i="34"/>
  <c r="AC37" i="34" s="1"/>
  <c r="J36" i="33"/>
  <c r="W36" i="33" s="1"/>
  <c r="S41" i="40"/>
  <c r="AB23" i="40"/>
  <c r="U27" i="39"/>
  <c r="H23" i="39"/>
  <c r="AB23" i="39" s="1"/>
  <c r="J23" i="39"/>
  <c r="W23"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s="1"/>
  <c r="H11" i="34"/>
  <c r="AB11" i="34" s="1"/>
  <c r="J35" i="33"/>
  <c r="W35" i="33" s="1"/>
  <c r="S32" i="33"/>
  <c r="AC15" i="33"/>
  <c r="H11" i="33"/>
  <c r="U11" i="33" s="1"/>
  <c r="H10" i="33"/>
  <c r="U10" i="33" s="1"/>
  <c r="J10" i="33"/>
  <c r="W10" i="33" s="1"/>
  <c r="U40" i="21"/>
  <c r="U11" i="37"/>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K7" i="1"/>
  <c r="M7" i="1" s="1"/>
  <c r="S8" i="36"/>
  <c r="AA26" i="36"/>
  <c r="AA28"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C9" i="35"/>
  <c r="S8" i="35"/>
  <c r="U33" i="35"/>
  <c r="AA20" i="35"/>
  <c r="W20" i="35"/>
  <c r="S23" i="35"/>
  <c r="S16" i="35"/>
  <c r="AB14" i="35"/>
  <c r="U9" i="35"/>
  <c r="AC18" i="35"/>
  <c r="W18" i="35"/>
  <c r="U18" i="35"/>
  <c r="AB18" i="35"/>
  <c r="S30"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AC44" i="39"/>
  <c r="S11" i="39"/>
  <c r="AB45" i="39"/>
  <c r="S27" i="39"/>
  <c r="AC38" i="39"/>
  <c r="S14" i="39"/>
  <c r="AB15" i="39"/>
  <c r="U11" i="39"/>
  <c r="U41" i="39"/>
  <c r="AB38" i="39"/>
  <c r="U31" i="39"/>
  <c r="AB31" i="39"/>
  <c r="S25" i="39"/>
  <c r="S38" i="39"/>
  <c r="S22" i="31"/>
  <c r="A18" i="64"/>
  <c r="B74" i="63"/>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BQ5" i="3"/>
  <c r="BL16" i="3"/>
  <c r="BM5" i="3"/>
  <c r="F29" i="6" s="1"/>
  <c r="G28" i="12"/>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s="1"/>
  <c r="H89" i="46"/>
  <c r="H85" i="46"/>
  <c r="H90" i="46"/>
  <c r="H88" i="46"/>
  <c r="H86" i="46"/>
  <c r="K10" i="1"/>
  <c r="M10" i="1" s="1"/>
  <c r="S13" i="1"/>
  <c r="R13" i="1"/>
  <c r="B6" i="1"/>
  <c r="E6" i="1" s="1"/>
  <c r="B10" i="1"/>
  <c r="E10" i="1" s="1"/>
  <c r="B8" i="1"/>
  <c r="E8" i="1" s="1"/>
  <c r="B12" i="1"/>
  <c r="E12" i="1" s="1"/>
  <c r="K6" i="1"/>
  <c r="M6" i="1" s="1"/>
  <c r="G1" i="15"/>
  <c r="F66" i="36"/>
  <c r="H18" i="36"/>
  <c r="U18" i="36" s="1"/>
  <c r="U16"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AB12" i="33"/>
  <c r="S15" i="33"/>
  <c r="S9" i="33"/>
  <c r="S39" i="21"/>
  <c r="AB25" i="21"/>
  <c r="AB45" i="21"/>
  <c r="W25" i="21"/>
  <c r="AA25" i="21"/>
  <c r="AC37" i="21"/>
  <c r="AA29" i="21"/>
  <c r="U27" i="21"/>
  <c r="W31" i="21"/>
  <c r="S27" i="21"/>
  <c r="AA15" i="21"/>
  <c r="AC27" i="21"/>
  <c r="W29" i="21"/>
  <c r="G95" i="40"/>
  <c r="J27" i="40"/>
  <c r="AC27" i="40" s="1"/>
  <c r="W37" i="40"/>
  <c r="W30" i="40"/>
  <c r="S34" i="40"/>
  <c r="U38" i="40"/>
  <c r="S40" i="40"/>
  <c r="S42" i="40"/>
  <c r="G104" i="39"/>
  <c r="J31" i="39"/>
  <c r="W31" i="39" s="1"/>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51" i="46"/>
  <c r="B54" i="46"/>
  <c r="B58" i="46"/>
  <c r="B62" i="46"/>
  <c r="B65" i="46"/>
  <c r="B69" i="46"/>
  <c r="B56" i="46"/>
  <c r="B67" i="46"/>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AT6" i="3"/>
  <c r="AZ16" i="3"/>
  <c r="G66" i="36"/>
  <c r="J18" i="36"/>
  <c r="W18" i="36"/>
  <c r="AC18" i="36"/>
  <c r="L20" i="6"/>
  <c r="C45" i="9"/>
  <c r="B7" i="66" s="1"/>
  <c r="O40" i="9"/>
  <c r="K31" i="9" s="1"/>
  <c r="K32" i="9" s="1"/>
  <c r="N76" i="9"/>
  <c r="C46" i="9"/>
  <c r="K33" i="9"/>
  <c r="K34" i="9" s="1"/>
  <c r="O41" i="9"/>
  <c r="B8" i="66"/>
  <c r="R8" i="54"/>
  <c r="B54" i="63" s="1"/>
  <c r="H61" i="4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D22" i="59"/>
  <c r="C24" i="46"/>
  <c r="J15" i="15"/>
  <c r="M26" i="15"/>
  <c r="M28" i="15"/>
  <c r="N4" i="65"/>
  <c r="L49" i="44"/>
  <c r="B8" i="67"/>
  <c r="F10" i="67"/>
  <c r="F8" i="67"/>
  <c r="F42" i="15"/>
  <c r="M23" i="15"/>
  <c r="B13" i="67"/>
  <c r="N5" i="65"/>
  <c r="E10" i="67"/>
  <c r="F13" i="15"/>
  <c r="F10" i="44"/>
  <c r="F8" i="15"/>
  <c r="F12" i="67"/>
  <c r="B9" i="67"/>
  <c r="M10" i="44"/>
  <c r="B14" i="67"/>
  <c r="L48" i="44"/>
  <c r="F37" i="15"/>
  <c r="F9" i="44"/>
  <c r="F16" i="15"/>
  <c r="F43" i="15"/>
  <c r="I7" i="65"/>
  <c r="F38" i="44"/>
  <c r="F43" i="44"/>
  <c r="J6" i="65"/>
  <c r="E11" i="67"/>
  <c r="I3" i="65"/>
  <c r="I4" i="65"/>
  <c r="J3" i="65"/>
  <c r="B12" i="67"/>
  <c r="F9" i="15"/>
  <c r="J7" i="65"/>
  <c r="M31" i="44"/>
  <c r="B11" i="67"/>
  <c r="J4" i="65"/>
  <c r="F45" i="44"/>
  <c r="M24" i="44"/>
  <c r="F15" i="44"/>
  <c r="F8" i="44"/>
  <c r="F11" i="44"/>
  <c r="F40" i="15"/>
  <c r="F9" i="67"/>
  <c r="I6" i="65"/>
  <c r="F13" i="67"/>
  <c r="F14" i="67"/>
  <c r="M22" i="15"/>
  <c r="L47" i="15"/>
  <c r="F26" i="15"/>
  <c r="M9" i="15"/>
  <c r="E12" i="67"/>
  <c r="N3" i="65"/>
  <c r="E9" i="67"/>
  <c r="M26" i="44"/>
  <c r="F6" i="15"/>
  <c r="F11" i="67"/>
  <c r="J17" i="44"/>
  <c r="B10" i="67"/>
  <c r="N6" i="65"/>
  <c r="F38" i="15"/>
  <c r="N7" i="65"/>
  <c r="M28" i="44"/>
  <c r="M25" i="44"/>
  <c r="M29" i="15"/>
  <c r="E8" i="67"/>
  <c r="M6" i="15"/>
  <c r="E13" i="67"/>
  <c r="J5" i="65"/>
  <c r="I5" i="65"/>
  <c r="J36" i="15"/>
  <c r="M30" i="44"/>
  <c r="F36" i="15"/>
  <c r="F18" i="44"/>
  <c r="M8" i="44"/>
  <c r="F39" i="44"/>
  <c r="F40" i="44"/>
  <c r="M8" i="15"/>
  <c r="F7" i="15"/>
  <c r="F28" i="44"/>
  <c r="M11" i="44"/>
  <c r="M24" i="15"/>
  <c r="E14" i="67"/>
  <c r="D24" i="15" l="1"/>
  <c r="D26" i="44"/>
  <c r="D24" i="44"/>
  <c r="F8" i="1"/>
  <c r="F6" i="1"/>
  <c r="C42" i="1"/>
  <c r="C25" i="12" s="1"/>
  <c r="J51" i="74"/>
  <c r="J51" i="73"/>
  <c r="M43" i="9"/>
  <c r="D18" i="9"/>
  <c r="M44" i="9" s="1"/>
  <c r="W40" i="39"/>
  <c r="F102" i="39"/>
  <c r="G102" i="39" s="1"/>
  <c r="F29" i="39"/>
  <c r="AA29" i="39" s="1"/>
  <c r="J29" i="39"/>
  <c r="AC29" i="39" s="1"/>
  <c r="H29" i="39"/>
  <c r="U29" i="39" s="1"/>
  <c r="S29" i="39"/>
  <c r="AC23" i="39"/>
  <c r="U23" i="39"/>
  <c r="S23" i="39"/>
  <c r="AC19" i="39"/>
  <c r="AC21" i="39"/>
  <c r="AA21" i="39"/>
  <c r="AB19" i="39"/>
  <c r="AA19" i="39"/>
  <c r="AC17" i="39"/>
  <c r="S17" i="39"/>
  <c r="AB17" i="39"/>
  <c r="P75" i="15"/>
  <c r="D96" i="9"/>
  <c r="B41" i="1"/>
  <c r="F24" i="43" s="1"/>
  <c r="C24" i="43" s="1"/>
  <c r="G29" i="6"/>
  <c r="G12" i="1"/>
  <c r="C20" i="59"/>
  <c r="T21" i="59"/>
  <c r="D21" i="59"/>
  <c r="AC36" i="35"/>
  <c r="W36" i="35"/>
  <c r="S21" i="59"/>
  <c r="S33" i="40"/>
  <c r="AZ365" i="3"/>
  <c r="AB31" i="37"/>
  <c r="U31" i="37"/>
  <c r="U43" i="33"/>
  <c r="AB43" i="33"/>
  <c r="AZ514" i="3"/>
  <c r="AZ502" i="3"/>
  <c r="AZ550" i="3"/>
  <c r="AZ556" i="3"/>
  <c r="AZ560" i="3"/>
  <c r="AZ569" i="3"/>
  <c r="S30" i="33"/>
  <c r="AA30" i="33"/>
  <c r="S45" i="33"/>
  <c r="AA45" i="33"/>
  <c r="G572" i="3"/>
  <c r="H5" i="3"/>
  <c r="BA572" i="3"/>
  <c r="AZ572" i="3" s="1"/>
  <c r="BA570" i="3"/>
  <c r="AZ570" i="3" s="1"/>
  <c r="BE5" i="3"/>
  <c r="F12" i="21"/>
  <c r="J12" i="21"/>
  <c r="H30" i="21"/>
  <c r="F30" i="21"/>
  <c r="J30" i="21"/>
  <c r="B79" i="46"/>
  <c r="B101" i="46"/>
  <c r="AB9" i="33"/>
  <c r="U9" i="33"/>
  <c r="AA33" i="33"/>
  <c r="S33" i="33"/>
  <c r="AB38" i="33"/>
  <c r="U38" i="33"/>
  <c r="U27" i="33"/>
  <c r="AB27" i="33"/>
  <c r="F28" i="33"/>
  <c r="J28" i="33"/>
  <c r="J26" i="33"/>
  <c r="F26" i="33"/>
  <c r="J9" i="34"/>
  <c r="H9" i="34"/>
  <c r="F9" i="34"/>
  <c r="F28" i="34"/>
  <c r="J28" i="34"/>
  <c r="H28" i="34"/>
  <c r="AC23" i="35"/>
  <c r="AB34" i="35"/>
  <c r="U34" i="35"/>
  <c r="F31" i="33"/>
  <c r="J31" i="33"/>
  <c r="H31" i="33"/>
  <c r="J25" i="35"/>
  <c r="F25" i="35"/>
  <c r="H25" i="35"/>
  <c r="J35" i="35"/>
  <c r="F35" i="35"/>
  <c r="H35" i="35"/>
  <c r="J25" i="36"/>
  <c r="F25" i="36"/>
  <c r="H25" i="36"/>
  <c r="AZ496" i="3"/>
  <c r="AZ504" i="3"/>
  <c r="AZ506" i="3"/>
  <c r="AZ523" i="3"/>
  <c r="AZ537" i="3"/>
  <c r="AZ548" i="3"/>
  <c r="AZ567" i="3"/>
  <c r="AA39" i="33"/>
  <c r="S39" i="33"/>
  <c r="U17" i="37"/>
  <c r="AB17" i="37"/>
  <c r="AZ493" i="3"/>
  <c r="AB30" i="33"/>
  <c r="U30" i="33"/>
  <c r="W45" i="33"/>
  <c r="AC45" i="33"/>
  <c r="AA46" i="21"/>
  <c r="S46" i="21"/>
  <c r="U44" i="21"/>
  <c r="AB44" i="21"/>
  <c r="W33" i="36"/>
  <c r="AC33" i="36"/>
  <c r="S39" i="37"/>
  <c r="AA39" i="37"/>
  <c r="U12" i="21"/>
  <c r="AB12" i="21"/>
  <c r="S43" i="21"/>
  <c r="AA43" i="21"/>
  <c r="B99" i="46"/>
  <c r="B76" i="46"/>
  <c r="C29" i="39"/>
  <c r="S9" i="21"/>
  <c r="AA9" i="21"/>
  <c r="S12" i="33"/>
  <c r="AA12" i="33"/>
  <c r="AA38" i="33"/>
  <c r="S38" i="33"/>
  <c r="AC38" i="33"/>
  <c r="W38" i="33"/>
  <c r="AC40" i="33"/>
  <c r="W40" i="33"/>
  <c r="F13" i="35"/>
  <c r="J13" i="35"/>
  <c r="H13" i="35"/>
  <c r="H36" i="35"/>
  <c r="F36" i="35"/>
  <c r="J12" i="36"/>
  <c r="H12" i="36"/>
  <c r="AB22" i="36"/>
  <c r="U22" i="36"/>
  <c r="J23" i="36"/>
  <c r="H23" i="36"/>
  <c r="F23" i="36"/>
  <c r="AZ362" i="3"/>
  <c r="AZ352" i="3"/>
  <c r="AZ344" i="3"/>
  <c r="AZ304" i="3"/>
  <c r="AZ359" i="3"/>
  <c r="AZ323" i="3"/>
  <c r="AZ343" i="3"/>
  <c r="AZ327" i="3"/>
  <c r="AZ492" i="3"/>
  <c r="AZ526" i="3"/>
  <c r="AZ534" i="3"/>
  <c r="AZ544" i="3"/>
  <c r="AZ542" i="3"/>
  <c r="AZ557" i="3"/>
  <c r="E5" i="6"/>
  <c r="D12" i="11" s="1"/>
  <c r="C12" i="11" s="1"/>
  <c r="BF5" i="3"/>
  <c r="B84" i="46"/>
  <c r="B94" i="46"/>
  <c r="A30" i="51"/>
  <c r="B22" i="63" s="1"/>
  <c r="A30" i="64"/>
  <c r="A2" i="55"/>
  <c r="B55" i="63" s="1"/>
  <c r="BA389" i="3"/>
  <c r="AZ389" i="3" s="1"/>
  <c r="BA391" i="3"/>
  <c r="AZ391" i="3" s="1"/>
  <c r="BL392" i="3"/>
  <c r="BA393" i="3"/>
  <c r="AZ393" i="3" s="1"/>
  <c r="AZ399" i="3"/>
  <c r="AZ402" i="3"/>
  <c r="F26" i="37"/>
  <c r="AZ392" i="3"/>
  <c r="BL398" i="3"/>
  <c r="AZ398" i="3" s="1"/>
  <c r="BA401" i="3"/>
  <c r="AZ401" i="3" s="1"/>
  <c r="BL402" i="3"/>
  <c r="BA407" i="3"/>
  <c r="AZ407" i="3" s="1"/>
  <c r="BL408" i="3"/>
  <c r="BA409" i="3"/>
  <c r="AZ409" i="3" s="1"/>
  <c r="BL414" i="3"/>
  <c r="AZ414" i="3" s="1"/>
  <c r="BL418" i="3"/>
  <c r="AZ418" i="3" s="1"/>
  <c r="BA419" i="3"/>
  <c r="AZ419" i="3" s="1"/>
  <c r="BL420" i="3"/>
  <c r="AZ420" i="3" s="1"/>
  <c r="BA421" i="3"/>
  <c r="AZ421" i="3" s="1"/>
  <c r="BA423" i="3"/>
  <c r="AZ423" i="3" s="1"/>
  <c r="BL424" i="3"/>
  <c r="BA425" i="3"/>
  <c r="AZ425" i="3" s="1"/>
  <c r="BL428" i="3"/>
  <c r="AZ428" i="3" s="1"/>
  <c r="BA429" i="3"/>
  <c r="AZ429" i="3" s="1"/>
  <c r="BA431" i="3"/>
  <c r="AZ431" i="3" s="1"/>
  <c r="BL432" i="3"/>
  <c r="AZ432" i="3" s="1"/>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BL466" i="3"/>
  <c r="AZ466" i="3" s="1"/>
  <c r="BA469" i="3"/>
  <c r="AZ469" i="3" s="1"/>
  <c r="BL470" i="3"/>
  <c r="BL474" i="3"/>
  <c r="AZ474" i="3" s="1"/>
  <c r="BA477" i="3"/>
  <c r="AZ477" i="3" s="1"/>
  <c r="BL478" i="3"/>
  <c r="BA309" i="3"/>
  <c r="AZ309" i="3" s="1"/>
  <c r="BA313" i="3"/>
  <c r="AZ313" i="3" s="1"/>
  <c r="BA317" i="3"/>
  <c r="AZ317" i="3" s="1"/>
  <c r="BL318" i="3"/>
  <c r="BA333" i="3"/>
  <c r="AZ333" i="3" s="1"/>
  <c r="BL334" i="3"/>
  <c r="BA349" i="3"/>
  <c r="AZ349" i="3" s="1"/>
  <c r="BL350" i="3"/>
  <c r="BA357" i="3"/>
  <c r="AZ357" i="3" s="1"/>
  <c r="BL364" i="3"/>
  <c r="AZ364" i="3" s="1"/>
  <c r="BL369" i="3"/>
  <c r="AZ369" i="3" s="1"/>
  <c r="BA375" i="3"/>
  <c r="AZ375" i="3" s="1"/>
  <c r="BL380" i="3"/>
  <c r="AZ380" i="3" s="1"/>
  <c r="BL385" i="3"/>
  <c r="AZ385" i="3" s="1"/>
  <c r="BA386" i="3"/>
  <c r="AZ386" i="3" s="1"/>
  <c r="BL387" i="3"/>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BA270" i="3"/>
  <c r="AZ270" i="3" s="1"/>
  <c r="BL271" i="3"/>
  <c r="BA272" i="3"/>
  <c r="AZ272" i="3" s="1"/>
  <c r="BA274" i="3"/>
  <c r="AZ274" i="3" s="1"/>
  <c r="BL275" i="3"/>
  <c r="BA278" i="3"/>
  <c r="AZ278" i="3" s="1"/>
  <c r="BL279" i="3"/>
  <c r="AZ279" i="3" s="1"/>
  <c r="BA280" i="3"/>
  <c r="AZ280" i="3" s="1"/>
  <c r="BA282" i="3"/>
  <c r="AZ282" i="3" s="1"/>
  <c r="BL283" i="3"/>
  <c r="BA286" i="3"/>
  <c r="AZ286" i="3" s="1"/>
  <c r="BL287" i="3"/>
  <c r="BA288" i="3"/>
  <c r="AZ288" i="3" s="1"/>
  <c r="BA290" i="3"/>
  <c r="AZ290" i="3" s="1"/>
  <c r="BL291" i="3"/>
  <c r="AZ291" i="3" s="1"/>
  <c r="BL295" i="3"/>
  <c r="AZ295" i="3" s="1"/>
  <c r="BA296" i="3"/>
  <c r="AZ296" i="3" s="1"/>
  <c r="BL113" i="3"/>
  <c r="BL118" i="3"/>
  <c r="AZ118" i="3" s="1"/>
  <c r="BA120" i="3"/>
  <c r="AZ120" i="3" s="1"/>
  <c r="BL122" i="3"/>
  <c r="AZ122" i="3" s="1"/>
  <c r="BL126" i="3"/>
  <c r="AZ126" i="3" s="1"/>
  <c r="BA128" i="3"/>
  <c r="AZ128" i="3" s="1"/>
  <c r="BL129" i="3"/>
  <c r="BL134" i="3"/>
  <c r="AZ134" i="3" s="1"/>
  <c r="BA136" i="3"/>
  <c r="AZ136" i="3" s="1"/>
  <c r="AZ403" i="3"/>
  <c r="AZ408" i="3"/>
  <c r="AZ415" i="3"/>
  <c r="AZ424" i="3"/>
  <c r="AZ433" i="3"/>
  <c r="AZ439" i="3"/>
  <c r="AZ459" i="3"/>
  <c r="AZ462" i="3"/>
  <c r="AZ463" i="3"/>
  <c r="AZ467" i="3"/>
  <c r="AZ470" i="3"/>
  <c r="AZ471" i="3"/>
  <c r="AZ475" i="3"/>
  <c r="AZ478" i="3"/>
  <c r="AZ479" i="3"/>
  <c r="AZ318" i="3"/>
  <c r="AZ334" i="3"/>
  <c r="AZ350" i="3"/>
  <c r="AZ360" i="3"/>
  <c r="AZ371" i="3"/>
  <c r="AZ376" i="3"/>
  <c r="AZ387" i="3"/>
  <c r="AZ388" i="3"/>
  <c r="AZ267" i="3"/>
  <c r="AZ275" i="3"/>
  <c r="AZ283" i="3"/>
  <c r="AZ113" i="3"/>
  <c r="AZ129" i="3"/>
  <c r="T53" i="59"/>
  <c r="D53" i="59"/>
  <c r="BL138" i="3"/>
  <c r="AZ138" i="3" s="1"/>
  <c r="BL142" i="3"/>
  <c r="AZ142" i="3" s="1"/>
  <c r="BA144" i="3"/>
  <c r="AZ144" i="3" s="1"/>
  <c r="BL145" i="3"/>
  <c r="BL150" i="3"/>
  <c r="AZ150" i="3" s="1"/>
  <c r="BL153" i="3"/>
  <c r="AZ153" i="3" s="1"/>
  <c r="BA155" i="3"/>
  <c r="AZ155" i="3" s="1"/>
  <c r="BL156" i="3"/>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BL49" i="3"/>
  <c r="BA50" i="3"/>
  <c r="AZ50" i="3" s="1"/>
  <c r="BL55" i="3"/>
  <c r="AZ55" i="3" s="1"/>
  <c r="BA57" i="3"/>
  <c r="AZ57" i="3" s="1"/>
  <c r="BL58" i="3"/>
  <c r="BA60" i="3"/>
  <c r="AZ60" i="3" s="1"/>
  <c r="BL61" i="3"/>
  <c r="BA62" i="3"/>
  <c r="AZ62" i="3" s="1"/>
  <c r="BA66" i="3"/>
  <c r="AZ66" i="3" s="1"/>
  <c r="BL67" i="3"/>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Y34" i="59"/>
  <c r="Z34" i="59" s="1"/>
  <c r="C35" i="59"/>
  <c r="AA38" i="59"/>
  <c r="E39" i="59"/>
  <c r="E40" i="59" s="1"/>
  <c r="E41" i="59" s="1"/>
  <c r="U41" i="59" s="1"/>
  <c r="X5" i="59"/>
  <c r="X7" i="59"/>
  <c r="X6" i="59"/>
  <c r="X8" i="59"/>
  <c r="X11" i="59"/>
  <c r="X10" i="59"/>
  <c r="X40" i="59"/>
  <c r="AB7" i="59"/>
  <c r="AB8" i="59"/>
  <c r="AB6" i="59"/>
  <c r="AB5" i="59"/>
  <c r="AB10" i="59"/>
  <c r="AB40" i="59"/>
  <c r="T73" i="59"/>
  <c r="C72" i="59"/>
  <c r="T81" i="59"/>
  <c r="C80" i="59"/>
  <c r="X24" i="59"/>
  <c r="X25" i="59"/>
  <c r="B29" i="59"/>
  <c r="X26" i="59"/>
  <c r="X28" i="59"/>
  <c r="E29" i="59"/>
  <c r="AA3" i="59"/>
  <c r="AA27" i="59"/>
  <c r="AA29" i="59"/>
  <c r="AZ145" i="3"/>
  <c r="AZ156" i="3"/>
  <c r="AZ49" i="3"/>
  <c r="AZ58" i="3"/>
  <c r="AZ61" i="3"/>
  <c r="AZ67" i="3"/>
  <c r="E31" i="59"/>
  <c r="E32" i="59" s="1"/>
  <c r="E33" i="59" s="1"/>
  <c r="U33" i="59" s="1"/>
  <c r="Y28" i="59"/>
  <c r="Z28" i="59" s="1"/>
  <c r="Y26" i="59"/>
  <c r="Z26" i="59" s="1"/>
  <c r="AA26" i="59"/>
  <c r="X27" i="59"/>
  <c r="Y30" i="59"/>
  <c r="Z30" i="59" s="1"/>
  <c r="AB30" i="59"/>
  <c r="F31" i="59"/>
  <c r="F32" i="59" s="1"/>
  <c r="F33" i="59" s="1"/>
  <c r="V33" i="59" s="1"/>
  <c r="AB3" i="59"/>
  <c r="AB27" i="59"/>
  <c r="Y31" i="59"/>
  <c r="Z31" i="59" s="1"/>
  <c r="Y32" i="59"/>
  <c r="Z32" i="59" s="1"/>
  <c r="Y33" i="59"/>
  <c r="Z33" i="59" s="1"/>
  <c r="AB33" i="59"/>
  <c r="X34" i="59"/>
  <c r="B35" i="59"/>
  <c r="B36" i="59" s="1"/>
  <c r="B37" i="59" s="1"/>
  <c r="S37" i="59" s="1"/>
  <c r="AA34" i="59"/>
  <c r="AB35" i="59"/>
  <c r="AB37" i="59"/>
  <c r="AB38" i="59"/>
  <c r="F39" i="59"/>
  <c r="F40" i="59" s="1"/>
  <c r="F41" i="59" s="1"/>
  <c r="V41" i="59" s="1"/>
  <c r="AB39" i="59"/>
  <c r="AA5" i="59"/>
  <c r="AA7" i="59"/>
  <c r="AA6" i="59"/>
  <c r="AA8" i="59"/>
  <c r="AA10" i="59"/>
  <c r="AA11" i="59"/>
  <c r="C48" i="59"/>
  <c r="D48" i="59" s="1"/>
  <c r="D47" i="59"/>
  <c r="Q67" i="59"/>
  <c r="Q66" i="59"/>
  <c r="O69" i="59"/>
  <c r="C68" i="59"/>
  <c r="D85" i="59"/>
  <c r="C84" i="59"/>
  <c r="D28" i="59"/>
  <c r="C27" i="59"/>
  <c r="D27" i="59" s="1"/>
  <c r="F28" i="59"/>
  <c r="F27" i="59" s="1"/>
  <c r="V29" i="59"/>
  <c r="P16" i="4"/>
  <c r="X30" i="59"/>
  <c r="AA31" i="59"/>
  <c r="X32" i="59"/>
  <c r="AA33" i="59"/>
  <c r="AB34" i="59"/>
  <c r="Y35" i="59"/>
  <c r="Z35" i="59" s="1"/>
  <c r="AB36" i="59"/>
  <c r="Y37" i="59"/>
  <c r="Z37" i="59" s="1"/>
  <c r="X38" i="59"/>
  <c r="X39" i="59"/>
  <c r="AA39" i="59"/>
  <c r="Y7" i="59"/>
  <c r="Z7" i="59" s="1"/>
  <c r="Y8" i="59"/>
  <c r="Z8" i="59" s="1"/>
  <c r="Y5" i="59"/>
  <c r="Z5" i="59" s="1"/>
  <c r="Y6" i="59"/>
  <c r="Z6" i="59" s="1"/>
  <c r="Y10" i="59"/>
  <c r="Z10" i="59" s="1"/>
  <c r="Y11" i="59"/>
  <c r="Z11" i="59" s="1"/>
  <c r="T25" i="59"/>
  <c r="T29" i="59"/>
  <c r="D29" i="59"/>
  <c r="X22" i="59"/>
  <c r="Y25" i="59"/>
  <c r="Z25" i="59" s="1"/>
  <c r="AB25" i="59"/>
  <c r="X19" i="59"/>
  <c r="X18" i="59"/>
  <c r="Y18" i="59"/>
  <c r="Z18" i="59" s="1"/>
  <c r="AA13" i="59"/>
  <c r="AB18" i="59"/>
  <c r="X15" i="59"/>
  <c r="O76" i="9"/>
  <c r="K76" i="9"/>
  <c r="AA24" i="59"/>
  <c r="Y24" i="59"/>
  <c r="Z24" i="59" s="1"/>
  <c r="AB24" i="59"/>
  <c r="AA19" i="59"/>
  <c r="AA15" i="59"/>
  <c r="Y15" i="59"/>
  <c r="Z15" i="59" s="1"/>
  <c r="AB15" i="59"/>
  <c r="F25" i="59"/>
  <c r="E25" i="59"/>
  <c r="AA22" i="59"/>
  <c r="Y19" i="59"/>
  <c r="Z19" i="59" s="1"/>
  <c r="AB19" i="59"/>
  <c r="AA16" i="59"/>
  <c r="X17" i="59"/>
  <c r="AA14" i="59"/>
  <c r="X13" i="59"/>
  <c r="X12" i="59"/>
  <c r="AB12" i="59"/>
  <c r="AB14" i="59"/>
  <c r="Y13" i="59"/>
  <c r="Z13" i="59" s="1"/>
  <c r="Y14" i="59"/>
  <c r="Z14" i="59" s="1"/>
  <c r="AB16" i="59"/>
  <c r="AA18" i="59"/>
  <c r="AA12" i="59"/>
  <c r="X14" i="59"/>
  <c r="AB13" i="59"/>
  <c r="AB11" i="59"/>
  <c r="Y12" i="59"/>
  <c r="Z12" i="59" s="1"/>
  <c r="D65" i="46"/>
  <c r="D50" i="46"/>
  <c r="F36" i="44"/>
  <c r="M22" i="44"/>
  <c r="M20" i="15"/>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C71" i="39" s="1"/>
  <c r="C9" i="40"/>
  <c r="C64" i="40" s="1"/>
  <c r="C66"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C25" i="43"/>
  <c r="C2" i="65"/>
  <c r="I1" i="65" s="1"/>
  <c r="G20" i="43"/>
  <c r="G26" i="12"/>
  <c r="F66" i="9"/>
  <c r="P72" i="9" s="1"/>
  <c r="F28" i="15"/>
  <c r="F29" i="12"/>
  <c r="F32" i="15"/>
  <c r="F59" i="15" s="1"/>
  <c r="K15" i="1"/>
  <c r="O11" i="1"/>
  <c r="P11" i="1" s="1"/>
  <c r="D21" i="12"/>
  <c r="C21" i="12" s="1"/>
  <c r="O6" i="1"/>
  <c r="P6" i="1" s="1"/>
  <c r="C15" i="12" s="1"/>
  <c r="O7" i="1"/>
  <c r="P7" i="1" s="1"/>
  <c r="O12" i="1"/>
  <c r="P12" i="1" s="1"/>
  <c r="O10" i="1"/>
  <c r="P10" i="1" s="1"/>
  <c r="O9" i="1"/>
  <c r="P9" i="1" s="1"/>
  <c r="O13" i="1"/>
  <c r="P13" i="1" s="1"/>
  <c r="A25" i="51"/>
  <c r="B18" i="63" s="1"/>
  <c r="G10" i="1"/>
  <c r="G13" i="1"/>
  <c r="C15" i="43"/>
  <c r="D23" i="15"/>
  <c r="L52" i="37"/>
  <c r="M52" i="37" s="1"/>
  <c r="N52" i="37" s="1"/>
  <c r="O52" i="37" s="1"/>
  <c r="I46" i="36"/>
  <c r="D59" i="34"/>
  <c r="E59" i="34" s="1"/>
  <c r="F59" i="34" s="1"/>
  <c r="G59" i="34" s="1"/>
  <c r="H59" i="34" s="1"/>
  <c r="I59" i="34" s="1"/>
  <c r="J59" i="34" s="1"/>
  <c r="K59" i="34" s="1"/>
  <c r="L59" i="34" s="1"/>
  <c r="M59" i="34" s="1"/>
  <c r="N59" i="34" s="1"/>
  <c r="O59" i="34" s="1"/>
  <c r="D69" i="39"/>
  <c r="D64" i="40"/>
  <c r="C18" i="11"/>
  <c r="K77" i="9"/>
  <c r="K79" i="9" s="1"/>
  <c r="K81" i="9" s="1"/>
  <c r="E12" i="52"/>
  <c r="B17" i="59"/>
  <c r="X16" i="59"/>
  <c r="Y16" i="59"/>
  <c r="Z16"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17" i="59"/>
  <c r="AA17" i="59"/>
  <c r="Y17" i="59"/>
  <c r="Z17" i="59" s="1"/>
  <c r="P28" i="46"/>
  <c r="B67" i="40" s="1"/>
  <c r="P29" i="46"/>
  <c r="B72" i="39" s="1"/>
  <c r="Q73" i="44"/>
  <c r="C6" i="15"/>
  <c r="F65" i="15"/>
  <c r="C29" i="44"/>
  <c r="C8" i="44"/>
  <c r="J1" i="65"/>
  <c r="F67" i="15"/>
  <c r="F50" i="15"/>
  <c r="C27" i="15"/>
  <c r="F64" i="15"/>
  <c r="F70" i="15"/>
  <c r="M9" i="44"/>
  <c r="J8" i="44" s="1"/>
  <c r="L59" i="15"/>
  <c r="L60" i="44"/>
  <c r="L59" i="44"/>
  <c r="F49" i="15"/>
  <c r="M7" i="15"/>
  <c r="M17" i="15" s="1"/>
  <c r="I55" i="44"/>
  <c r="J54" i="44"/>
  <c r="L57" i="44"/>
  <c r="J58" i="44"/>
  <c r="J56" i="44" s="1"/>
  <c r="J59" i="44" s="1"/>
  <c r="Q52" i="44" s="1"/>
  <c r="Q72" i="15"/>
  <c r="F63" i="15"/>
  <c r="C4" i="65"/>
  <c r="B39" i="1" s="1"/>
  <c r="L48" i="15"/>
  <c r="C18" i="44"/>
  <c r="L48" i="74"/>
  <c r="C16" i="15"/>
  <c r="E2" i="65"/>
  <c r="E3" i="65"/>
  <c r="P27" i="46" l="1"/>
  <c r="A1" i="70"/>
  <c r="P25" i="46"/>
  <c r="P26" i="46"/>
  <c r="L56" i="15"/>
  <c r="J53" i="15"/>
  <c r="Q53" i="15" s="1"/>
  <c r="I54" i="15"/>
  <c r="L58" i="15"/>
  <c r="Q61" i="15" s="1"/>
  <c r="J57" i="15"/>
  <c r="J55" i="15" s="1"/>
  <c r="J58" i="15" s="1"/>
  <c r="Q51" i="15" s="1"/>
  <c r="L57" i="74"/>
  <c r="L58" i="74"/>
  <c r="L56" i="74"/>
  <c r="L60" i="74"/>
  <c r="J53" i="74"/>
  <c r="J57" i="74"/>
  <c r="J55" i="74" s="1"/>
  <c r="J58" i="74" s="1"/>
  <c r="Q51" i="74" s="1"/>
  <c r="J60" i="74"/>
  <c r="Q49" i="74" s="1"/>
  <c r="L59" i="74"/>
  <c r="J59" i="74"/>
  <c r="I54" i="74"/>
  <c r="C28" i="74"/>
  <c r="C28" i="73"/>
  <c r="C33" i="74"/>
  <c r="C32" i="74"/>
  <c r="C60" i="74"/>
  <c r="J19" i="73"/>
  <c r="C33" i="73"/>
  <c r="J18" i="73"/>
  <c r="C32" i="73"/>
  <c r="J18" i="74"/>
  <c r="J19" i="74"/>
  <c r="C60" i="73"/>
  <c r="AP6" i="1"/>
  <c r="AP16" i="1" s="1"/>
  <c r="F22" i="11" s="1"/>
  <c r="C95" i="9"/>
  <c r="C92" i="9" s="1"/>
  <c r="G6" i="1"/>
  <c r="C28" i="15"/>
  <c r="J57" i="73"/>
  <c r="J55" i="73" s="1"/>
  <c r="J58" i="73" s="1"/>
  <c r="Q51" i="73" s="1"/>
  <c r="J59" i="73"/>
  <c r="L59" i="73"/>
  <c r="I54" i="73"/>
  <c r="J60" i="73"/>
  <c r="Q49" i="73" s="1"/>
  <c r="J53" i="73"/>
  <c r="L56" i="73"/>
  <c r="L60" i="73"/>
  <c r="L57" i="73"/>
  <c r="AP8" i="1"/>
  <c r="AB29" i="39"/>
  <c r="W29" i="39"/>
  <c r="F11" i="74"/>
  <c r="M11" i="74"/>
  <c r="J10" i="74" s="1"/>
  <c r="J5" i="74" s="1"/>
  <c r="F11" i="73"/>
  <c r="M11" i="73"/>
  <c r="J10" i="73" s="1"/>
  <c r="J5" i="73" s="1"/>
  <c r="D86" i="9"/>
  <c r="F70" i="9"/>
  <c r="F71" i="9"/>
  <c r="F30" i="44"/>
  <c r="C30" i="44" s="1"/>
  <c r="J60" i="44" s="1"/>
  <c r="J61" i="44" s="1"/>
  <c r="Q50" i="44" s="1"/>
  <c r="C32" i="15"/>
  <c r="F72" i="9"/>
  <c r="M20" i="44"/>
  <c r="J20" i="44" s="1"/>
  <c r="M18" i="15"/>
  <c r="Q16" i="1"/>
  <c r="F33" i="12" s="1"/>
  <c r="C34" i="12" s="1"/>
  <c r="D33" i="12" s="1"/>
  <c r="H16" i="1"/>
  <c r="O23" i="46"/>
  <c r="U25" i="59"/>
  <c r="E24" i="59"/>
  <c r="E23" i="59" s="1"/>
  <c r="E22" i="59" s="1"/>
  <c r="E21" i="59" s="1"/>
  <c r="U29" i="59"/>
  <c r="E28" i="59"/>
  <c r="E27" i="59" s="1"/>
  <c r="C79" i="59"/>
  <c r="D79" i="59" s="1"/>
  <c r="D80" i="59"/>
  <c r="D72" i="59"/>
  <c r="C71" i="59"/>
  <c r="D71" i="59" s="1"/>
  <c r="AA26" i="37"/>
  <c r="S26" i="37"/>
  <c r="AA23" i="36"/>
  <c r="S23" i="36"/>
  <c r="AC23" i="36"/>
  <c r="W23" i="36"/>
  <c r="AC12" i="36"/>
  <c r="W12" i="36"/>
  <c r="U36" i="35"/>
  <c r="AB36" i="35"/>
  <c r="AC13" i="35"/>
  <c r="W13" i="35"/>
  <c r="AA25" i="36"/>
  <c r="S25" i="36"/>
  <c r="AB35" i="35"/>
  <c r="U35" i="35"/>
  <c r="W35" i="35"/>
  <c r="AC35" i="35"/>
  <c r="AA25" i="35"/>
  <c r="S25" i="35"/>
  <c r="AB31" i="33"/>
  <c r="U31" i="33"/>
  <c r="S31" i="33"/>
  <c r="AA31" i="33"/>
  <c r="AB28" i="34"/>
  <c r="U28" i="34"/>
  <c r="AA28" i="34"/>
  <c r="S28" i="34"/>
  <c r="U9" i="34"/>
  <c r="AB9" i="34"/>
  <c r="AA26" i="33"/>
  <c r="S26" i="33"/>
  <c r="AC28" i="33"/>
  <c r="W28" i="33"/>
  <c r="AC30" i="21"/>
  <c r="W30" i="21"/>
  <c r="AB30" i="21"/>
  <c r="U30" i="21"/>
  <c r="AA12" i="21"/>
  <c r="S12" i="21"/>
  <c r="B16" i="59"/>
  <c r="B15" i="59" s="1"/>
  <c r="B14" i="59" s="1"/>
  <c r="B13" i="59" s="1"/>
  <c r="S17" i="59"/>
  <c r="C34" i="44"/>
  <c r="J7" i="33"/>
  <c r="V25" i="59"/>
  <c r="F24" i="59"/>
  <c r="F23" i="59" s="1"/>
  <c r="F22" i="59" s="1"/>
  <c r="F21" i="59" s="1"/>
  <c r="D84" i="59"/>
  <c r="C83" i="59"/>
  <c r="D83" i="59" s="1"/>
  <c r="O68" i="59"/>
  <c r="D68" i="59"/>
  <c r="C67" i="59"/>
  <c r="S29" i="59"/>
  <c r="B28" i="59"/>
  <c r="B27" i="59" s="1"/>
  <c r="D35" i="59"/>
  <c r="C36" i="59"/>
  <c r="AB23" i="36"/>
  <c r="U23" i="36"/>
  <c r="U12" i="36"/>
  <c r="AB12" i="36"/>
  <c r="AA36" i="35"/>
  <c r="S36" i="35"/>
  <c r="AB13" i="35"/>
  <c r="U13" i="35"/>
  <c r="S13" i="35"/>
  <c r="AA13" i="35"/>
  <c r="AB25" i="36"/>
  <c r="U25" i="36"/>
  <c r="W25" i="36"/>
  <c r="AC25" i="36"/>
  <c r="S35" i="35"/>
  <c r="AA35" i="35"/>
  <c r="AB25" i="35"/>
  <c r="U25" i="35"/>
  <c r="W25" i="35"/>
  <c r="AC25" i="35"/>
  <c r="AC31" i="33"/>
  <c r="W31" i="33"/>
  <c r="AC28" i="34"/>
  <c r="W28" i="34"/>
  <c r="AA9" i="34"/>
  <c r="S9" i="34"/>
  <c r="AC9" i="34"/>
  <c r="W9" i="34"/>
  <c r="AC26" i="33"/>
  <c r="W26" i="33"/>
  <c r="S28" i="33"/>
  <c r="AA28" i="33"/>
  <c r="S30" i="21"/>
  <c r="AA30" i="21"/>
  <c r="AC12" i="21"/>
  <c r="W12" i="21"/>
  <c r="C19" i="59"/>
  <c r="D20" i="59"/>
  <c r="E83" i="46"/>
  <c r="B81" i="46" s="1"/>
  <c r="D26" i="46"/>
  <c r="C25" i="46" s="1"/>
  <c r="BA5" i="3"/>
  <c r="E12" i="6"/>
  <c r="J7" i="21"/>
  <c r="W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F21" i="43"/>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F24" i="74" s="1"/>
  <c r="E64" i="40"/>
  <c r="D66" i="40"/>
  <c r="AC7" i="33"/>
  <c r="V48" i="33" s="1"/>
  <c r="I48" i="33" s="1"/>
  <c r="W7" i="33"/>
  <c r="J7" i="37"/>
  <c r="D71" i="39"/>
  <c r="E69" i="39"/>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Q63" i="44"/>
  <c r="Q76" i="44"/>
  <c r="J6" i="15"/>
  <c r="AE12" i="1"/>
  <c r="AE9" i="1"/>
  <c r="AE10" i="1"/>
  <c r="AE11" i="1"/>
  <c r="F46" i="44"/>
  <c r="AC7" i="21" l="1"/>
  <c r="V48" i="21" s="1"/>
  <c r="I48" i="21" s="1"/>
  <c r="Q74" i="15"/>
  <c r="F1" i="15"/>
  <c r="C31" i="74"/>
  <c r="J17" i="73"/>
  <c r="J17" i="74"/>
  <c r="C31" i="73"/>
  <c r="Q67" i="73"/>
  <c r="Q58" i="73"/>
  <c r="Q74" i="74"/>
  <c r="Q61" i="74"/>
  <c r="Q75" i="73"/>
  <c r="Q62" i="73"/>
  <c r="F1" i="74"/>
  <c r="Q53" i="74"/>
  <c r="S7" i="34"/>
  <c r="F1" i="73"/>
  <c r="Q53" i="73"/>
  <c r="Q75" i="74"/>
  <c r="Q62" i="74"/>
  <c r="Q67" i="74"/>
  <c r="Q58" i="74"/>
  <c r="C24" i="74"/>
  <c r="C23" i="74"/>
  <c r="J24" i="74"/>
  <c r="J26" i="74"/>
  <c r="C52" i="74"/>
  <c r="C47" i="74" s="1"/>
  <c r="C10" i="74"/>
  <c r="C5" i="74" s="1"/>
  <c r="L36" i="46"/>
  <c r="Q36" i="46" s="1"/>
  <c r="F24" i="73"/>
  <c r="J26" i="73"/>
  <c r="J24" i="73"/>
  <c r="C52" i="73"/>
  <c r="C47" i="73" s="1"/>
  <c r="C10" i="73"/>
  <c r="C5" i="73" s="1"/>
  <c r="J18" i="15"/>
  <c r="AB7" i="34"/>
  <c r="T49" i="34" s="1"/>
  <c r="G49" i="34" s="1"/>
  <c r="C18" i="59"/>
  <c r="D19" i="59"/>
  <c r="F20" i="59"/>
  <c r="F19" i="59" s="1"/>
  <c r="F18" i="59" s="1"/>
  <c r="F17" i="59" s="1"/>
  <c r="V21" i="59"/>
  <c r="E20" i="59"/>
  <c r="E19" i="59" s="1"/>
  <c r="E18" i="59" s="1"/>
  <c r="E17" i="59" s="1"/>
  <c r="U21" i="59"/>
  <c r="C37" i="59"/>
  <c r="D36" i="59"/>
  <c r="O67" i="59"/>
  <c r="O66" i="59"/>
  <c r="D67" i="59"/>
  <c r="D46" i="9"/>
  <c r="C21" i="4"/>
  <c r="O5" i="54" s="1"/>
  <c r="B45" i="63" s="1"/>
  <c r="E6" i="6"/>
  <c r="D13" i="11" s="1"/>
  <c r="C13" i="11" s="1"/>
  <c r="AC7" i="34"/>
  <c r="V49" i="34" s="1"/>
  <c r="I49" i="34" s="1"/>
  <c r="G54" i="34" s="1"/>
  <c r="H54" i="34" s="1"/>
  <c r="J10" i="15"/>
  <c r="J5" i="15" s="1"/>
  <c r="J24" i="15" s="1"/>
  <c r="AG8" i="1"/>
  <c r="AG9" i="1"/>
  <c r="AG11" i="1"/>
  <c r="AG12" i="1"/>
  <c r="AG10" i="1"/>
  <c r="AG7" i="1"/>
  <c r="AG6" i="1"/>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47" i="15" s="1"/>
  <c r="C10" i="15"/>
  <c r="C5" i="15" s="1"/>
  <c r="C38" i="15" s="1"/>
  <c r="C20" i="11"/>
  <c r="C21" i="11" s="1"/>
  <c r="C22" i="11" s="1"/>
  <c r="C23" i="11" s="1"/>
  <c r="B2" i="11" s="1"/>
  <c r="M27" i="74"/>
  <c r="AE8" i="1"/>
  <c r="M27" i="73"/>
  <c r="AE7" i="1"/>
  <c r="M29" i="44"/>
  <c r="AE6" i="1"/>
  <c r="M27" i="15"/>
  <c r="I53" i="34" l="1"/>
  <c r="J53" i="34" s="1"/>
  <c r="N36" i="46"/>
  <c r="L37" i="46"/>
  <c r="Q37" i="46" s="1"/>
  <c r="O36" i="46"/>
  <c r="C29" i="74"/>
  <c r="C56" i="74" s="1"/>
  <c r="C63" i="74" s="1"/>
  <c r="C65" i="74"/>
  <c r="C59" i="74"/>
  <c r="C58" i="74" s="1"/>
  <c r="C38" i="74"/>
  <c r="M36" i="46"/>
  <c r="P36" i="46"/>
  <c r="C59" i="73"/>
  <c r="C58" i="73" s="1"/>
  <c r="C65" i="73"/>
  <c r="C24" i="73"/>
  <c r="C23" i="73"/>
  <c r="C38" i="73"/>
  <c r="D22" i="12"/>
  <c r="C22" i="12" s="1"/>
  <c r="C20" i="12" s="1"/>
  <c r="T37" i="59"/>
  <c r="D37" i="59"/>
  <c r="E16" i="59"/>
  <c r="E15" i="59" s="1"/>
  <c r="E14" i="59" s="1"/>
  <c r="E13" i="59" s="1"/>
  <c r="U17" i="59"/>
  <c r="F16" i="59"/>
  <c r="F15" i="59" s="1"/>
  <c r="F14" i="59" s="1"/>
  <c r="F13" i="59" s="1"/>
  <c r="V17" i="59"/>
  <c r="C17" i="59"/>
  <c r="D18" i="59"/>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F7" i="67"/>
  <c r="F41" i="15"/>
  <c r="F41" i="74"/>
  <c r="F41" i="73"/>
  <c r="C17" i="15"/>
  <c r="F68" i="15" l="1"/>
  <c r="F68" i="73"/>
  <c r="J29" i="73"/>
  <c r="J29" i="74"/>
  <c r="F68" i="74"/>
  <c r="M37" i="46"/>
  <c r="N37" i="46"/>
  <c r="P37" i="46"/>
  <c r="O37" i="46"/>
  <c r="C13" i="74"/>
  <c r="J35" i="74" s="1"/>
  <c r="J14" i="74"/>
  <c r="J22" i="74" s="1"/>
  <c r="C36" i="74"/>
  <c r="Q50" i="74"/>
  <c r="E40" i="46"/>
  <c r="C29" i="73"/>
  <c r="K27" i="6"/>
  <c r="C16" i="59"/>
  <c r="T17" i="59"/>
  <c r="D17" i="59"/>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C37" i="74" l="1"/>
  <c r="C30" i="74" s="1"/>
  <c r="C39" i="74" s="1"/>
  <c r="C40" i="74" s="1"/>
  <c r="C55" i="74"/>
  <c r="C64" i="74" s="1"/>
  <c r="C57" i="74" s="1"/>
  <c r="C66" i="74" s="1"/>
  <c r="C67" i="74" s="1"/>
  <c r="C70" i="74" s="1"/>
  <c r="Q71" i="74"/>
  <c r="J13" i="74"/>
  <c r="J23" i="74" s="1"/>
  <c r="J16" i="74" s="1"/>
  <c r="J25" i="74" s="1"/>
  <c r="C36" i="73"/>
  <c r="C56" i="73"/>
  <c r="C63" i="73" s="1"/>
  <c r="Q50" i="73"/>
  <c r="J14" i="73"/>
  <c r="C13" i="73"/>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M21" i="15"/>
  <c r="M23" i="44"/>
  <c r="C16" i="44"/>
  <c r="F37" i="44"/>
  <c r="F35" i="15"/>
  <c r="C14" i="15"/>
  <c r="J39" i="74" l="1"/>
  <c r="J40" i="74" s="1"/>
  <c r="Q70" i="74"/>
  <c r="Q69" i="74" s="1"/>
  <c r="Q66" i="74"/>
  <c r="Q76" i="74" s="1"/>
  <c r="Q57" i="74"/>
  <c r="Q63" i="74" s="1"/>
  <c r="Q48" i="74"/>
  <c r="Q54" i="74" s="1"/>
  <c r="C43" i="74"/>
  <c r="B2" i="74"/>
  <c r="J42" i="74"/>
  <c r="J43" i="74" s="1"/>
  <c r="C46" i="74"/>
  <c r="J22" i="73"/>
  <c r="J13" i="73"/>
  <c r="J23" i="73" s="1"/>
  <c r="C37" i="73"/>
  <c r="C30" i="73" s="1"/>
  <c r="C39" i="73" s="1"/>
  <c r="J35" i="73"/>
  <c r="C55" i="73"/>
  <c r="C64" i="73" s="1"/>
  <c r="C57" i="73" s="1"/>
  <c r="C66" i="73" s="1"/>
  <c r="C67" i="73" s="1"/>
  <c r="Q71" i="73"/>
  <c r="D15" i="59"/>
  <c r="C14" i="59"/>
  <c r="B3" i="46"/>
  <c r="B4" i="46"/>
  <c r="C36" i="44"/>
  <c r="J20" i="15"/>
  <c r="C34" i="15"/>
  <c r="R27" i="6"/>
  <c r="H27" i="6"/>
  <c r="C15" i="15"/>
  <c r="C18" i="15"/>
  <c r="C17" i="44"/>
  <c r="C20" i="44"/>
  <c r="T16" i="1"/>
  <c r="E7" i="59"/>
  <c r="B7" i="59"/>
  <c r="F6" i="59"/>
  <c r="I6" i="6"/>
  <c r="C13" i="39" s="1"/>
  <c r="I5" i="6"/>
  <c r="J22" i="44"/>
  <c r="F62" i="15"/>
  <c r="C61" i="15" s="1"/>
  <c r="R16" i="1"/>
  <c r="C18" i="43"/>
  <c r="C18" i="12"/>
  <c r="C23" i="12" s="1"/>
  <c r="O46" i="36"/>
  <c r="J7" i="36" s="1"/>
  <c r="F7" i="36"/>
  <c r="H7" i="36"/>
  <c r="J64" i="40"/>
  <c r="I66" i="40"/>
  <c r="J69" i="39"/>
  <c r="I71" i="39"/>
  <c r="B3" i="67"/>
  <c r="B4" i="67"/>
  <c r="L51" i="74"/>
  <c r="Q68" i="74" l="1"/>
  <c r="B3" i="74"/>
  <c r="E8" i="12" s="1"/>
  <c r="E10" i="12"/>
  <c r="C40" i="73"/>
  <c r="C46" i="73" s="1"/>
  <c r="Q70" i="73"/>
  <c r="Q69" i="73" s="1"/>
  <c r="C70" i="73"/>
  <c r="J39" i="73"/>
  <c r="J40" i="73" s="1"/>
  <c r="J16" i="73"/>
  <c r="J25" i="73" s="1"/>
  <c r="H13" i="39"/>
  <c r="F13" i="39"/>
  <c r="J13" i="39"/>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L51" i="73"/>
  <c r="Q68" i="73" l="1"/>
  <c r="Q66" i="73"/>
  <c r="Q76" i="73" s="1"/>
  <c r="Q57" i="73"/>
  <c r="Q63" i="73" s="1"/>
  <c r="C43" i="73"/>
  <c r="Q48" i="73"/>
  <c r="Q54" i="73" s="1"/>
  <c r="B2" i="73"/>
  <c r="J42" i="73"/>
  <c r="J43" i="73" s="1"/>
  <c r="S13" i="39"/>
  <c r="AA13" i="39"/>
  <c r="AC13" i="39"/>
  <c r="W13" i="39"/>
  <c r="AB13" i="39"/>
  <c r="U13" i="39"/>
  <c r="C12" i="59"/>
  <c r="D13" i="59"/>
  <c r="T13" i="59"/>
  <c r="E5" i="59"/>
  <c r="U5" i="59" s="1"/>
  <c r="B5" i="59"/>
  <c r="C21" i="43"/>
  <c r="R37" i="36"/>
  <c r="E36" i="36"/>
  <c r="I41" i="36" s="1"/>
  <c r="J41" i="36" s="1"/>
  <c r="K66" i="40"/>
  <c r="L64" i="40"/>
  <c r="G41" i="36"/>
  <c r="H41" i="36" s="1"/>
  <c r="G40" i="36"/>
  <c r="H40" i="36" s="1"/>
  <c r="I40" i="36"/>
  <c r="J40" i="36" s="1"/>
  <c r="L69" i="39"/>
  <c r="K71" i="39"/>
  <c r="B3" i="73" l="1"/>
  <c r="D8" i="12" s="1"/>
  <c r="D10" i="12"/>
  <c r="C11" i="59"/>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19" i="9"/>
  <c r="C21" i="9"/>
  <c r="B5" i="39" l="1"/>
  <c r="B3" i="39"/>
  <c r="L43" i="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D22" i="9" l="1"/>
  <c r="L44" i="9"/>
  <c r="G19" i="9"/>
  <c r="B3" i="12"/>
  <c r="B4" i="12"/>
  <c r="B5" i="12"/>
  <c r="D21" i="9"/>
  <c r="D20" i="9"/>
  <c r="G20" i="9" l="1"/>
  <c r="G21" i="9"/>
  <c r="N43" i="9"/>
  <c r="C32" i="9"/>
  <c r="G22" i="9"/>
  <c r="C42" i="9" l="1"/>
  <c r="O38" i="9"/>
  <c r="C33" i="9"/>
  <c r="O43" i="9"/>
  <c r="D14" i="66" s="1"/>
  <c r="C35" i="9"/>
  <c r="F42" i="9" s="1"/>
  <c r="C34" i="9"/>
  <c r="B5" i="66" l="1"/>
  <c r="E14" i="66"/>
  <c r="F14" i="66"/>
  <c r="D42" i="9"/>
  <c r="Q5" i="54" s="1"/>
  <c r="B47" i="63" s="1"/>
  <c r="N38" i="9"/>
  <c r="K28" i="9" s="1"/>
  <c r="M38" i="9"/>
  <c r="K27" i="9" s="1"/>
  <c r="E42" i="9"/>
  <c r="P5" i="54" s="1"/>
  <c r="B46" i="63" s="1"/>
  <c r="K25" i="9"/>
  <c r="K26" i="9"/>
  <c r="C44" i="9"/>
  <c r="D63" i="9"/>
  <c r="R5" i="54"/>
  <c r="B48" i="63" s="1"/>
  <c r="N68" i="9"/>
  <c r="D5" i="66" l="1"/>
  <c r="C5" i="66"/>
  <c r="N69" i="9"/>
  <c r="O39" i="9"/>
  <c r="G14" i="66" s="1"/>
  <c r="B6" i="66" s="1"/>
  <c r="D44" i="9"/>
  <c r="F44" i="9"/>
  <c r="E44" i="9"/>
  <c r="C111" i="9"/>
  <c r="C104" i="9" s="1"/>
  <c r="D70" i="9"/>
  <c r="C96" i="9"/>
  <c r="C91" i="9" s="1"/>
  <c r="C90" i="9"/>
  <c r="C82" i="9"/>
  <c r="C81" i="9" s="1"/>
  <c r="C85" i="9" s="1"/>
  <c r="C86" i="9" s="1"/>
  <c r="D72" i="9" s="1"/>
  <c r="D71" i="9"/>
  <c r="D66" i="9" s="1"/>
  <c r="N72" i="9" s="1"/>
  <c r="D73" i="9"/>
  <c r="N73" i="9" s="1"/>
  <c r="C103" i="9"/>
  <c r="C6" i="66" l="1"/>
  <c r="D6" i="66"/>
  <c r="R6" i="54"/>
  <c r="B50" i="63" s="1"/>
  <c r="K29" i="9"/>
  <c r="K30" i="9" s="1"/>
  <c r="C113" i="9"/>
  <c r="C97" i="9"/>
  <c r="M86" i="9"/>
  <c r="N86" i="9" s="1"/>
  <c r="M87" i="9"/>
  <c r="N87" i="9" s="1"/>
  <c r="M85" i="9"/>
  <c r="N85" i="9" s="1"/>
  <c r="M88" i="9"/>
  <c r="N88" i="9" s="1"/>
  <c r="M83" i="9"/>
  <c r="N83" i="9" s="1"/>
  <c r="M84" i="9"/>
  <c r="N84" i="9" s="1"/>
  <c r="N89" i="9" l="1"/>
  <c r="O89" i="9" s="1"/>
  <c r="C98" i="9"/>
  <c r="E98" i="9" s="1"/>
  <c r="E99" i="9" s="1"/>
  <c r="C114" i="9"/>
  <c r="E114" i="9" s="1"/>
  <c r="E115" i="9" s="1"/>
  <c r="C99" i="9" l="1"/>
  <c r="C115" i="9"/>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<sst xmlns="http://schemas.openxmlformats.org/spreadsheetml/2006/main" count="8227" uniqueCount="3345">
  <si>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</si>
  <si>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</si>
  <si>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</si>
  <si>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</si>
  <si>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</si>
  <si>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</si>
  <si>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</si>
  <si>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</si>
  <si>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</si>
  <si>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</si>
  <si>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</si>
  <si>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</si>
  <si>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</si>
  <si>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</si>
  <si>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</si>
  <si>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</si>
  <si>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</si>
  <si>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</si>
  <si>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</si>
  <si>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</si>
  <si>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</si>
  <si>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</si>
  <si>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</si>
  <si>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</si>
  <si>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</si>
  <si>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</si>
  <si>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</si>
  <si>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</si>
  <si>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</si>
  <si>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</si>
  <si>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</si>
  <si>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</si>
  <si>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</si>
  <si>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</si>
  <si>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</si>
  <si>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</si>
  <si>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</si>
  <si>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</si>
  <si>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</si>
  <si>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</si>
  <si>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</si>
  <si>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</si>
  <si>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</si>
  <si>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</si>
  <si>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</si>
  <si>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</si>
  <si>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</si>
  <si>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</si>
  <si>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</si>
  <si>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</si>
  <si>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</si>
  <si>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</si>
  <si>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</si>
  <si>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</si>
  <si>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</si>
  <si>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</si>
  <si>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</si>
  <si>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</si>
  <si>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</si>
  <si>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</si>
  <si>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</si>
  <si>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</si>
  <si>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</si>
  <si>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</si>
  <si>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</si>
  <si>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</si>
  <si>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</si>
  <si>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</si>
  <si>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</si>
  <si>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</si>
  <si>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</si>
  <si>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</si>
  <si>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</si>
  <si>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</si>
  <si>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</si>
  <si>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</si>
  <si>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</si>
  <si>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</si>
  <si>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</si>
  <si>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</si>
  <si>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</si>
  <si>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</si>
  <si>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</si>
  <si>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</si>
  <si>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</si>
  <si>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</si>
  <si>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</si>
  <si>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</si>
  <si>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</si>
  <si>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</si>
  <si>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</si>
  <si>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</si>
  <si>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</si>
  <si>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</si>
  <si>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</si>
  <si>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</si>
  <si>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</si>
  <si>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</si>
  <si>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</si>
  <si>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</si>
  <si>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</si>
  <si>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</si>
  <si>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</si>
  <si>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</si>
  <si>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</si>
  <si>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</si>
  <si>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</si>
  <si>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</si>
  <si>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</si>
  <si>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</si>
  <si>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</si>
  <si>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</si>
  <si>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</si>
  <si>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</si>
  <si>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</si>
  <si>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</si>
  <si>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</si>
  <si>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</si>
  <si>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</si>
  <si>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</si>
  <si>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</si>
  <si>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</si>
  <si>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</si>
  <si>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</si>
  <si>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</si>
  <si>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</si>
  <si>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</si>
  <si>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</si>
  <si>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</si>
  <si>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</si>
  <si>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</si>
  <si>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</si>
  <si>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</si>
  <si>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</si>
  <si>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</si>
  <si>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</si>
  <si>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</si>
  <si>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</si>
  <si>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</si>
  <si>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</si>
  <si>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</si>
  <si>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</si>
  <si>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</si>
  <si>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</si>
  <si>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</si>
  <si>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</si>
  <si>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</si>
  <si>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</si>
  <si>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</si>
  <si>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</si>
  <si>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</si>
  <si>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</si>
  <si>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</si>
  <si>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</si>
  <si>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</si>
  <si>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</si>
  <si>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</si>
  <si>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</si>
  <si>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</si>
  <si>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</si>
  <si>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</si>
  <si>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</si>
  <si>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</si>
  <si>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</si>
  <si>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</si>
  <si>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</si>
  <si>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</si>
  <si>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</si>
  <si>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</si>
  <si>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</si>
  <si>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</si>
  <si>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</si>
  <si>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</si>
  <si>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</si>
  <si>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</si>
  <si>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</si>
  <si>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</si>
  <si>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</si>
  <si>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</si>
  <si>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</si>
  <si>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</si>
  <si>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</si>
  <si>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</si>
  <si>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</si>
  <si>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</si>
  <si>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</si>
  <si>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</si>
  <si>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</si>
  <si>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</si>
  <si>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</si>
  <si>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</si>
  <si>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</si>
  <si>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</si>
  <si>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</si>
  <si>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</si>
  <si>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</si>
  <si>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</si>
  <si>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</si>
  <si>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</si>
  <si>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</si>
  <si>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</si>
  <si>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</si>
  <si>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</si>
  <si>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</si>
  <si>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</si>
  <si>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</si>
  <si>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</si>
  <si>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</si>
  <si>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</si>
  <si>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</si>
  <si>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</si>
  <si>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</si>
  <si>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</si>
  <si>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</si>
  <si>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</si>
  <si>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</si>
  <si>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</si>
  <si>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</si>
  <si>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</si>
  <si>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</si>
  <si>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</si>
  <si>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</si>
  <si>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</si>
  <si>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</si>
  <si>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</si>
  <si>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</si>
  <si>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</si>
  <si>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</si>
  <si>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</si>
  <si>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</si>
  <si>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</si>
  <si>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</si>
  <si>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</si>
  <si>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</si>
  <si>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</si>
  <si>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</si>
  <si>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</si>
  <si>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</si>
  <si>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</si>
  <si>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</si>
  <si>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</si>
  <si>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</si>
  <si>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</si>
  <si>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</si>
  <si>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</si>
  <si>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</si>
  <si>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</si>
  <si>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</si>
  <si>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</si>
  <si>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</si>
  <si>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</si>
  <si>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</si>
  <si>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</si>
  <si>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</si>
  <si>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</si>
  <si>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</si>
  <si>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</si>
  <si>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</si>
  <si>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</si>
  <si>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</si>
  <si>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</si>
  <si>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</si>
  <si>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</si>
  <si>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</si>
  <si>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</si>
  <si>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</si>
  <si>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</si>
  <si>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</si>
  <si>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</si>
  <si>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</si>
  <si>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</si>
  <si>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</si>
  <si>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</si>
  <si>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</si>
  <si>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</si>
  <si>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</si>
  <si>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</si>
  <si>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</si>
  <si>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</si>
  <si>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</si>
  <si>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</si>
  <si>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</si>
  <si>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</si>
  <si>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</si>
  <si>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</si>
  <si>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</si>
  <si>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</si>
  <si>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</si>
  <si>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</si>
  <si>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</si>
  <si>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</si>
  <si>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</si>
  <si>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</si>
  <si>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</si>
  <si>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</si>
  <si>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</si>
  <si>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</si>
  <si>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</si>
  <si>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</si>
  <si>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</si>
  <si>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</si>
  <si>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</si>
  <si>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</si>
  <si>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</si>
  <si>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</si>
  <si>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</si>
  <si>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</si>
  <si>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</si>
  <si>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</si>
  <si>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</si>
  <si>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</si>
  <si>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</si>
  <si>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</si>
  <si>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</si>
  <si>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</si>
  <si>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</si>
  <si>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</si>
  <si>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</si>
  <si>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</si>
  <si>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</si>
  <si>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</si>
  <si>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</si>
  <si>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</si>
  <si>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</si>
  <si>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</si>
  <si>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</si>
  <si>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</si>
  <si>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</si>
  <si>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</si>
  <si>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</si>
  <si>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</si>
  <si>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</si>
  <si>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</si>
  <si>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</si>
  <si>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</si>
  <si>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</si>
  <si>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</si>
  <si>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</si>
  <si>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</si>
  <si>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</si>
  <si>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</si>
  <si>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</si>
  <si>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</si>
  <si>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</si>
  <si>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</si>
  <si>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</si>
  <si>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</si>
  <si>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</si>
  <si>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</si>
  <si>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</si>
  <si>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</si>
  <si>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</si>
  <si>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</si>
  <si>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</si>
  <si>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</si>
  <si>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</si>
  <si>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</si>
  <si>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</si>
  <si>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</si>
  <si>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</si>
  <si>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</si>
  <si>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</si>
  <si>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</si>
  <si>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</si>
  <si>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</si>
  <si>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</si>
  <si>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</si>
  <si>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</si>
  <si>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</si>
  <si>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</si>
  <si>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</si>
  <si>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</si>
  <si>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</si>
  <si>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</si>
  <si>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</si>
  <si>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</si>
  <si>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</si>
  <si>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</si>
  <si>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</si>
  <si>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</si>
  <si>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</si>
  <si>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</si>
  <si>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</si>
  <si>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</si>
  <si>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</si>
  <si>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</si>
  <si>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</si>
  <si>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</si>
  <si>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</si>
  <si>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</si>
  <si>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</si>
  <si>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</si>
  <si>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</si>
  <si>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</si>
  <si>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</si>
  <si>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</si>
  <si>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</si>
  <si>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</si>
  <si>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</si>
  <si>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</si>
  <si>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</si>
  <si>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</si>
  <si>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</si>
  <si>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</si>
  <si>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</si>
  <si>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</si>
  <si>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</si>
  <si>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</si>
  <si>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</si>
  <si>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</si>
  <si>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</si>
  <si>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</si>
  <si>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</si>
  <si>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</si>
  <si>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</si>
  <si>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</si>
  <si>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</si>
  <si>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</si>
  <si>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</si>
  <si>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</si>
  <si>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</si>
  <si>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</si>
  <si>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</si>
  <si>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</si>
  <si>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</si>
  <si>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</si>
  <si>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</si>
  <si>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</si>
  <si>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</si>
  <si>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</si>
  <si>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</si>
  <si>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</si>
  <si>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</si>
  <si>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</si>
  <si>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</si>
  <si>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</si>
  <si>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</si>
  <si>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</si>
  <si>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</si>
  <si>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</si>
  <si>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</si>
  <si>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</si>
  <si>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</si>
  <si>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</si>
  <si>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</si>
  <si>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</si>
  <si>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</si>
  <si>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</si>
  <si>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</si>
  <si>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</si>
  <si>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</si>
  <si>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</si>
  <si>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</si>
  <si>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</si>
  <si>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</si>
  <si>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</si>
  <si>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</si>
  <si>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</si>
  <si>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</si>
  <si>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</si>
  <si>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</si>
  <si>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</si>
  <si>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</si>
  <si>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</si>
  <si>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</si>
  <si>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</si>
  <si>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</si>
  <si>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</si>
  <si>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</si>
  <si>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</si>
  <si>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</si>
  <si>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</si>
  <si>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</si>
  <si>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</si>
  <si>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</si>
  <si>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</si>
  <si>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</si>
  <si>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</si>
  <si>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</si>
  <si>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</si>
  <si>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</si>
  <si>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</si>
  <si>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</si>
  <si>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</si>
  <si>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</si>
  <si>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</si>
  <si>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</si>
  <si>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</si>
  <si>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</si>
  <si>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</si>
  <si>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</si>
  <si>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</si>
  <si>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</si>
  <si>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</si>
  <si>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</si>
  <si>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</si>
  <si>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</si>
  <si>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</si>
  <si>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</si>
  <si>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</si>
  <si>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</si>
  <si>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</si>
  <si>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</si>
  <si>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</si>
  <si>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</si>
  <si>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</si>
  <si>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</si>
  <si>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</si>
  <si>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</si>
  <si>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</si>
  <si>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</si>
  <si>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</si>
  <si>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</si>
  <si>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</si>
  <si>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</si>
  <si>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</si>
  <si>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</si>
  <si>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</si>
  <si>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</si>
  <si>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</si>
  <si>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</si>
  <si>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</si>
  <si>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</si>
  <si>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</si>
  <si>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</si>
  <si>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</si>
  <si>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</si>
  <si>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</si>
  <si>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</si>
  <si>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</si>
  <si>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</si>
  <si>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</si>
  <si>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</si>
  <si>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</si>
  <si>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</si>
  <si>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</si>
  <si>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</si>
  <si>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</si>
  <si>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</si>
  <si>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</si>
  <si>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</si>
  <si>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</si>
  <si>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</si>
  <si>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</si>
  <si>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</si>
  <si>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</si>
  <si>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</si>
  <si>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</si>
  <si>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</si>
  <si>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</si>
  <si>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</si>
  <si>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</si>
  <si>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</si>
  <si>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</si>
  <si>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</si>
  <si>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</si>
  <si>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</si>
  <si>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</si>
  <si>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</si>
  <si>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</si>
  <si>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</si>
  <si>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</si>
  <si>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</si>
  <si>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</si>
  <si>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</si>
  <si>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</si>
  <si>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</si>
  <si>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</si>
  <si>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</si>
  <si>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</si>
  <si>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</si>
  <si>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</si>
  <si>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</si>
  <si>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</si>
  <si>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</si>
  <si>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</si>
  <si>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</si>
  <si>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</si>
  <si>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</si>
  <si>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</si>
  <si>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</si>
  <si>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</si>
  <si>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</si>
  <si>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</si>
  <si>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</si>
  <si>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</si>
  <si>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</si>
  <si>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</si>
  <si>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</si>
  <si>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</si>
  <si>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</si>
  <si>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</si>
  <si>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</si>
  <si>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</si>
  <si>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</si>
  <si>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</si>
  <si>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</si>
  <si>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</si>
  <si>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</si>
  <si>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</si>
  <si>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</si>
  <si>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</si>
  <si>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</si>
  <si>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</si>
  <si>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</si>
  <si>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</si>
  <si>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</si>
  <si>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</si>
  <si>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</si>
  <si>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</si>
  <si>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</si>
  <si>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</si>
  <si>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</si>
  <si>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</si>
  <si>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</si>
  <si>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</si>
  <si>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</si>
  <si>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</si>
  <si>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</si>
  <si>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</si>
  <si>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</si>
  <si>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</si>
  <si>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</si>
  <si>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</si>
  <si>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</si>
  <si>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</si>
  <si>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</si>
  <si>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</si>
  <si>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</si>
  <si>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</si>
  <si>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</si>
  <si>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</si>
  <si>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</si>
  <si>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</si>
  <si>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</si>
  <si>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</si>
  <si>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</si>
  <si>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</si>
  <si>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</si>
  <si>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</si>
  <si>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</si>
  <si>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</si>
  <si>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</si>
  <si>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</si>
  <si>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</si>
  <si>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</si>
  <si>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</si>
  <si>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</si>
  <si>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</si>
  <si>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</si>
  <si>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</si>
  <si>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</si>
  <si>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</si>
  <si>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</si>
  <si>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</si>
  <si>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</si>
  <si>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</si>
  <si>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</si>
  <si>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</si>
  <si>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</si>
  <si>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</si>
  <si>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</si>
  <si>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</si>
  <si>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</si>
  <si>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</si>
  <si>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</si>
  <si>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</si>
  <si>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</si>
  <si>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</si>
  <si>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</si>
  <si>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</si>
  <si>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</si>
  <si>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</si>
  <si>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</si>
  <si>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</si>
  <si>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</si>
  <si>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</si>
  <si>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</si>
  <si>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</si>
  <si>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</si>
  <si>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</si>
  <si>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</si>
  <si>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</si>
  <si>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</si>
  <si>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</si>
  <si>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</si>
  <si>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</si>
  <si>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</si>
  <si>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</si>
  <si>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</si>
  <si>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</si>
  <si>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</si>
  <si>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</si>
  <si>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</si>
  <si>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</si>
  <si>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</si>
  <si>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</si>
  <si>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</si>
  <si>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</si>
  <si>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</si>
  <si>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</si>
  <si>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</si>
  <si>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</si>
  <si>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</si>
  <si>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</si>
  <si>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</si>
  <si>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</si>
  <si>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</si>
  <si>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</si>
  <si>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</si>
  <si>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</si>
  <si>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</si>
  <si>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</si>
  <si>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</si>
  <si>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</si>
  <si>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</si>
  <si>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</si>
  <si>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</si>
  <si>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</si>
  <si>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</si>
  <si>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</si>
  <si>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</si>
  <si>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</si>
  <si>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</si>
  <si>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</si>
  <si>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</si>
  <si>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</si>
  <si>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</si>
  <si>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</si>
  <si>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</si>
  <si>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</si>
  <si>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</si>
  <si>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</si>
  <si>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</si>
  <si>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</si>
  <si>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</si>
  <si>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</si>
  <si>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</si>
  <si>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</si>
  <si>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</si>
  <si>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</si>
  <si>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</si>
  <si>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</si>
  <si>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</si>
  <si>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</si>
  <si>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</si>
  <si>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</si>
  <si>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</si>
  <si>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</si>
  <si>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</si>
  <si>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</si>
  <si>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</si>
  <si>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</si>
  <si>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</si>
  <si>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</si>
  <si>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</si>
  <si>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</si>
  <si>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</si>
  <si>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</si>
  <si>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</si>
  <si>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</si>
  <si>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</si>
  <si>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</si>
  <si>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</si>
  <si>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</si>
  <si>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</si>
  <si>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</si>
  <si>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</si>
  <si>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</si>
  <si>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</si>
  <si>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</si>
  <si>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</si>
  <si>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</si>
  <si>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</si>
  <si>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</si>
  <si>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</si>
  <si>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</si>
  <si>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</si>
  <si>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</si>
  <si>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</si>
  <si>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</si>
  <si>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</si>
  <si>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</si>
  <si>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</si>
  <si>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</si>
  <si>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</si>
  <si>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</si>
  <si>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</si>
  <si>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</si>
  <si>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</si>
  <si>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</si>
  <si>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</si>
  <si>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</si>
  <si>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</si>
  <si>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</si>
  <si>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</si>
  <si>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</si>
  <si>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</si>
  <si>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</si>
  <si>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</si>
  <si>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</si>
  <si>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</si>
  <si>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</si>
  <si>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</si>
  <si>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</si>
  <si>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</si>
  <si>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</si>
  <si>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</si>
  <si>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</si>
  <si>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</si>
  <si>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</si>
  <si>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</si>
  <si>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</si>
  <si>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</si>
  <si>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</si>
  <si>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</si>
  <si>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</si>
  <si>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</si>
  <si>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</si>
  <si>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</si>
  <si>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</si>
  <si>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</si>
  <si>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</si>
  <si>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</si>
  <si>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</si>
  <si>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</si>
  <si>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</si>
  <si>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</si>
  <si>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</si>
  <si>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</si>
  <si>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</si>
  <si>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</si>
  <si>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</si>
  <si>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</si>
  <si>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</si>
  <si>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</si>
  <si>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</si>
  <si>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</si>
  <si>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</si>
  <si>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</si>
  <si>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</si>
  <si>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</si>
  <si>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</si>
  <si>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</si>
  <si>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</si>
  <si>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</si>
  <si>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</si>
  <si>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</si>
  <si>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</si>
  <si>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</si>
  <si>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</si>
  <si>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</si>
  <si>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</si>
  <si>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</si>
  <si>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</si>
  <si>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</si>
  <si>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</si>
  <si>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</si>
  <si>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</si>
  <si>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</si>
  <si>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</si>
  <si>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</si>
  <si>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</si>
  <si>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</si>
  <si>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</si>
  <si>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</si>
  <si>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</si>
  <si>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</si>
  <si>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</si>
  <si>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</si>
  <si>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</si>
  <si>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</si>
  <si>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</si>
  <si>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</si>
  <si>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</si>
  <si>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</si>
  <si>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</si>
  <si>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</si>
  <si>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</si>
  <si>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</si>
  <si>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</si>
  <si>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</si>
  <si>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</si>
  <si>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</si>
  <si>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</si>
  <si>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</si>
  <si>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</si>
  <si>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</si>
  <si>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</si>
  <si>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</si>
  <si>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</si>
  <si>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</si>
  <si>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</si>
  <si>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</si>
  <si>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</si>
  <si>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</si>
  <si>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</si>
  <si>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</si>
  <si>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</si>
  <si>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</si>
  <si>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</si>
  <si>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</si>
  <si>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</si>
  <si>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</si>
  <si>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</si>
  <si>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</si>
  <si>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</si>
  <si>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</si>
  <si>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</si>
  <si>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</si>
  <si>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</si>
  <si>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</si>
  <si>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</si>
  <si>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</si>
  <si>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</si>
  <si>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</si>
  <si>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</si>
  <si>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</si>
  <si>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</si>
  <si>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</si>
  <si>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</si>
  <si>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</si>
  <si>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</si>
  <si>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</si>
  <si>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</si>
  <si>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</si>
  <si>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</si>
  <si>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</si>
  <si>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</si>
  <si>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</si>
  <si>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</si>
  <si>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</si>
  <si>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</si>
  <si>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</si>
  <si>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</si>
  <si>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</si>
  <si>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</si>
  <si>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</si>
  <si>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</si>
  <si>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</si>
  <si>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</si>
  <si>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</si>
  <si>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</si>
  <si>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</si>
  <si>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</si>
  <si>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</si>
  <si>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</si>
  <si>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</si>
  <si>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</si>
  <si>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</si>
  <si>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</si>
  <si>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</si>
  <si>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</si>
  <si>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</si>
  <si>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</si>
  <si>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</si>
  <si>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</si>
  <si>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</si>
  <si>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</si>
  <si>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</si>
  <si>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</si>
  <si>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</si>
  <si>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</si>
  <si>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</si>
  <si>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</si>
  <si>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</si>
  <si>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</si>
  <si>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</si>
  <si>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</si>
  <si>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</si>
  <si>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</si>
  <si>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</si>
  <si>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</si>
  <si>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</si>
  <si>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</si>
  <si>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</si>
  <si>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</si>
  <si>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</si>
  <si>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</si>
  <si>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</si>
  <si>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</si>
  <si>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</si>
  <si>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</si>
  <si>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</si>
  <si>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</si>
  <si>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</si>
  <si>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</si>
  <si>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</si>
  <si>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</si>
  <si>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</si>
  <si>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</si>
  <si>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</si>
  <si>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</si>
  <si>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</si>
  <si>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</si>
  <si>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</si>
  <si>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</si>
  <si>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</si>
  <si>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</si>
  <si>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</si>
  <si>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</si>
  <si>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</si>
  <si>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</si>
  <si>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</si>
  <si>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</si>
  <si>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</si>
  <si>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</si>
  <si>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</si>
  <si>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</si>
  <si>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</si>
  <si>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</si>
  <si>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</si>
  <si>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</si>
  <si>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</si>
  <si>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</si>
  <si>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</si>
  <si>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</si>
  <si>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</si>
  <si>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</si>
  <si>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</si>
  <si>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</si>
  <si>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</si>
  <si>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</si>
  <si>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</si>
  <si>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</si>
  <si>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</si>
  <si>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</si>
  <si>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</si>
  <si>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</si>
  <si>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</si>
  <si>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</si>
  <si>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</si>
  <si>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</si>
  <si>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</si>
  <si>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</si>
  <si>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</si>
  <si>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</si>
  <si>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</si>
  <si>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</si>
  <si>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</si>
  <si>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</si>
  <si>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</si>
  <si>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</si>
  <si>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</si>
  <si>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</si>
  <si>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</si>
  <si>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</si>
  <si>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</si>
  <si>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</si>
  <si>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</si>
  <si>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</si>
  <si>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</si>
  <si>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</si>
  <si>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</si>
  <si>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</si>
  <si>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</si>
  <si>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</si>
  <si>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</si>
  <si>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</si>
  <si>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</si>
  <si>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</si>
  <si>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</si>
  <si>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</si>
  <si>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</si>
  <si>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</si>
  <si>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</si>
  <si>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</si>
  <si>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</si>
  <si>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</si>
  <si>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</si>
  <si>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</si>
  <si>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</si>
  <si>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</si>
  <si>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</si>
  <si>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</si>
  <si>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</si>
  <si>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</si>
  <si>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</si>
  <si>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</si>
  <si>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</si>
  <si>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</si>
  <si>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</si>
  <si>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</si>
  <si>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</si>
  <si>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</si>
  <si>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</si>
  <si>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</si>
  <si>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</si>
  <si>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</si>
  <si>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</si>
  <si>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</si>
  <si>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</si>
  <si>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</si>
  <si>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</si>
  <si>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</si>
  <si>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</si>
  <si>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</si>
  <si>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</si>
  <si>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</si>
  <si>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</si>
  <si>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</si>
  <si>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</si>
  <si>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</si>
  <si>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</si>
  <si>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</si>
  <si>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</si>
  <si>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</si>
  <si>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</si>
  <si>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</si>
  <si>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</si>
  <si>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</si>
  <si>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</si>
  <si>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</si>
  <si>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</si>
  <si>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</si>
  <si>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</si>
  <si>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</si>
  <si>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</si>
  <si>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</si>
  <si>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</si>
  <si>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</si>
  <si>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</si>
  <si>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</si>
  <si>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</si>
  <si>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</si>
  <si>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</si>
  <si>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</si>
  <si>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</si>
  <si>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</si>
  <si>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</si>
  <si>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</si>
  <si>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</si>
  <si>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</si>
  <si>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</si>
  <si>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</si>
  <si>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</si>
  <si>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</si>
  <si>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</si>
  <si>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</si>
  <si>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</si>
  <si>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</si>
  <si>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</si>
  <si>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</si>
  <si>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</si>
  <si>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</si>
  <si>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</si>
  <si>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</si>
  <si>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</si>
  <si>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</si>
  <si>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</si>
  <si>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</si>
  <si>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</si>
  <si>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</si>
  <si>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</si>
  <si>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</si>
  <si>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</si>
  <si>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</si>
  <si>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</si>
  <si>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</si>
  <si>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</si>
  <si>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</si>
  <si>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</si>
  <si>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</si>
  <si>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</si>
  <si>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</si>
  <si>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</si>
  <si>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</si>
  <si>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</si>
  <si>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</si>
  <si>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</si>
  <si>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</si>
  <si>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</si>
  <si>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</si>
  <si>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</si>
  <si>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</si>
  <si>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</si>
  <si>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</si>
  <si>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</si>
  <si>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</si>
  <si>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</si>
  <si>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</si>
  <si>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</si>
  <si>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</si>
  <si>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</si>
  <si>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</si>
  <si>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</si>
  <si>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</si>
  <si>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</si>
  <si>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</si>
  <si>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</si>
  <si>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</si>
  <si>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</si>
  <si>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</si>
  <si>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</si>
  <si>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</si>
  <si>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</si>
  <si>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</si>
  <si>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</si>
  <si>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</si>
  <si>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</si>
  <si>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</si>
  <si>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</si>
  <si>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</si>
  <si>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</si>
  <si>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</si>
  <si>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</si>
  <si>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</si>
  <si>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</si>
  <si>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</si>
  <si>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</si>
  <si>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</si>
  <si>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</si>
  <si>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</si>
  <si>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</si>
  <si>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</si>
  <si>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</si>
  <si>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</si>
  <si>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</si>
  <si>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</si>
  <si>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</si>
  <si>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</si>
  <si>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</si>
  <si>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</si>
  <si>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</si>
  <si>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</si>
  <si>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</si>
  <si>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</si>
  <si>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</si>
  <si>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</si>
  <si>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</si>
  <si>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</si>
  <si>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</si>
  <si>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</si>
  <si>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</si>
  <si>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</si>
  <si>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</si>
  <si>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</si>
  <si>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</si>
  <si>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</si>
  <si>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</si>
  <si>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</si>
  <si>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</si>
  <si>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</si>
  <si>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</si>
  <si>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</si>
  <si>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</si>
  <si>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</si>
  <si>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</si>
  <si>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</si>
  <si>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</si>
  <si>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</si>
  <si>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</si>
  <si>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</si>
  <si>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</si>
  <si>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</si>
  <si>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</si>
  <si>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</si>
  <si>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</si>
  <si>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</si>
  <si>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</si>
  <si>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</si>
  <si>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</si>
  <si>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</si>
  <si>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</si>
  <si>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</si>
  <si>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</si>
  <si>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</si>
  <si>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</si>
  <si>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</si>
  <si>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</si>
  <si>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</si>
  <si>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</si>
  <si>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</si>
  <si>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</si>
  <si>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</si>
  <si>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</si>
  <si>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</si>
  <si>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</si>
  <si>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</si>
  <si>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</si>
  <si>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</si>
  <si>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</si>
  <si>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</si>
  <si>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</si>
  <si>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</si>
  <si>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</si>
  <si>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</si>
  <si>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</si>
  <si>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</si>
  <si>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</si>
  <si>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</si>
  <si>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</si>
  <si>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</si>
  <si>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</si>
  <si>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</si>
  <si>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</si>
  <si>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</si>
  <si>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</si>
  <si>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</si>
  <si>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</si>
  <si>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</si>
  <si>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</si>
  <si>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</si>
  <si>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</si>
  <si>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</si>
  <si>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</si>
  <si>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</si>
  <si>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</si>
  <si>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</si>
  <si>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</si>
  <si>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</si>
  <si>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</si>
  <si>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</si>
  <si>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</si>
  <si>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</si>
  <si>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</si>
  <si>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</si>
  <si>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</si>
  <si>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</si>
  <si>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</si>
  <si>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</si>
  <si>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</si>
  <si>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</si>
  <si>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</si>
  <si>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</si>
  <si>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</si>
  <si>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</si>
  <si>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</si>
  <si>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</si>
  <si>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</si>
  <si>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</si>
  <si>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</si>
  <si>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</si>
  <si>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</si>
  <si>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</si>
  <si>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</si>
  <si>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</si>
  <si>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</si>
  <si>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</si>
  <si>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</si>
  <si>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</si>
  <si>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</si>
  <si>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</si>
  <si>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</si>
  <si>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</si>
  <si>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</si>
  <si>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</si>
  <si>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</si>
  <si>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</si>
  <si>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</si>
  <si>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</si>
  <si>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</si>
  <si>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</si>
  <si>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</si>
  <si>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</si>
  <si>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</si>
  <si>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</si>
  <si>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</si>
  <si>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</si>
  <si>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</si>
  <si>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</si>
  <si>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</si>
  <si>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</si>
  <si>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</si>
  <si>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</si>
  <si>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</si>
  <si>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</si>
  <si>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</si>
  <si>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</si>
  <si>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</si>
  <si>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</si>
  <si>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</si>
  <si>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</si>
  <si>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</si>
  <si>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</si>
  <si>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</si>
  <si>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</si>
  <si>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</si>
  <si>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</si>
  <si>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</si>
  <si>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</si>
  <si>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</si>
  <si>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</si>
  <si>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</si>
  <si>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</si>
  <si>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</si>
  <si>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</si>
  <si>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</si>
  <si>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</si>
  <si>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</si>
  <si>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</si>
  <si>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</si>
  <si>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</si>
  <si>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</si>
  <si>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</si>
  <si>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</si>
  <si>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</si>
  <si>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</si>
  <si>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</si>
  <si>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</si>
  <si>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</si>
  <si>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</si>
  <si>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</si>
  <si>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</si>
  <si>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</si>
  <si>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</si>
  <si>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</si>
  <si>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</si>
  <si>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</si>
  <si>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</si>
  <si>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</si>
  <si>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</si>
  <si>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</si>
  <si>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</si>
  <si>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</si>
  <si>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</si>
  <si>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</si>
  <si>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</si>
  <si>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</si>
  <si>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</si>
  <si>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</si>
  <si>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</si>
  <si>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</si>
  <si>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</si>
  <si>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</si>
  <si>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</si>
  <si>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</si>
  <si>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</si>
  <si>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</si>
  <si>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</si>
  <si>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</si>
  <si>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</si>
  <si>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</si>
  <si>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</si>
  <si>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</si>
  <si>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</si>
  <si>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</si>
  <si>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</si>
  <si>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</si>
  <si>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</si>
  <si>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</si>
  <si>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</si>
  <si>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</si>
  <si>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</si>
  <si>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</si>
  <si>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</si>
  <si>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</si>
  <si>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</si>
  <si>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</si>
  <si>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</si>
  <si>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</si>
  <si>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</si>
  <si>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</si>
  <si>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</si>
  <si>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</si>
  <si>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</si>
  <si>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</si>
  <si>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</si>
  <si>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</si>
  <si>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</si>
  <si>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</si>
  <si>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</si>
  <si>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</si>
  <si>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</si>
  <si>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</si>
  <si>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</si>
  <si>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</si>
  <si>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</si>
  <si>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</si>
  <si>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</si>
  <si>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</si>
  <si>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</si>
  <si>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</si>
  <si>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</si>
  <si>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</si>
  <si>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</si>
  <si>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</si>
  <si>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</si>
  <si>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</si>
  <si>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</si>
  <si>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</si>
  <si>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</si>
  <si>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</si>
  <si>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</si>
  <si>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</si>
  <si>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</si>
  <si>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</si>
  <si>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</si>
  <si>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</si>
  <si>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</si>
  <si>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</si>
  <si>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</si>
  <si>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</si>
  <si>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</si>
  <si>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</si>
  <si>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</si>
  <si>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</si>
  <si>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</si>
  <si>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</si>
  <si>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</si>
  <si>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</si>
  <si>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</si>
  <si>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</si>
  <si>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</si>
  <si>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</si>
  <si>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</si>
  <si>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</si>
  <si>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</si>
  <si>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</si>
  <si>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</si>
  <si>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</si>
  <si>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</si>
  <si>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</si>
  <si>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</si>
  <si>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</si>
  <si>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</si>
  <si>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</si>
  <si>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</si>
  <si>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</si>
  <si>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</si>
  <si>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</si>
  <si>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</si>
  <si>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</si>
  <si>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</si>
  <si>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</si>
  <si>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</si>
  <si>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</si>
  <si>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</si>
  <si>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</si>
  <si>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</si>
  <si>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</si>
  <si>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</si>
  <si>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</si>
  <si>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</si>
  <si>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</si>
  <si>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</si>
  <si>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</si>
  <si>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</si>
  <si>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</si>
  <si>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</si>
  <si>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</si>
  <si>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</si>
  <si>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</si>
  <si>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</si>
  <si>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</si>
  <si>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</si>
  <si>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</si>
  <si>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</si>
  <si>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</si>
  <si>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</si>
  <si>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</si>
  <si>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</si>
  <si>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</si>
  <si>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</si>
  <si>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</si>
  <si>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</si>
  <si>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</si>
  <si>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</si>
  <si>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</si>
  <si>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</si>
  <si>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</si>
  <si>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</si>
  <si>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</si>
  <si>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</si>
  <si>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</si>
  <si>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</si>
  <si>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</si>
  <si>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</si>
  <si>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</si>
  <si>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</si>
  <si>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</si>
  <si>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</si>
  <si>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</si>
  <si>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</si>
  <si>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</si>
  <si>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</si>
  <si>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</si>
  <si>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</si>
  <si>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</si>
  <si>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</si>
  <si>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</si>
  <si>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</si>
  <si>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</si>
  <si>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</si>
  <si>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</si>
  <si>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</si>
  <si>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</si>
  <si>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</si>
  <si>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</si>
  <si>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</si>
  <si>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</si>
  <si>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</si>
  <si>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</si>
  <si>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</si>
  <si>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</si>
  <si>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</si>
  <si>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</si>
  <si>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</si>
  <si>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</si>
  <si>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</si>
  <si>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</si>
  <si>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</si>
  <si>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</si>
  <si>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</si>
  <si>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</si>
  <si>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</si>
  <si>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</si>
  <si>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</si>
  <si>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</si>
  <si>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</si>
  <si>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</si>
  <si>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</si>
  <si>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</si>
  <si>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</si>
  <si>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</si>
  <si>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</si>
  <si>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</si>
  <si>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</si>
  <si>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</si>
  <si>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</si>
  <si>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</si>
  <si>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</si>
  <si>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</si>
  <si>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</si>
  <si>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</si>
  <si>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</si>
  <si>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</si>
  <si>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</si>
  <si>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</si>
  <si>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</si>
  <si>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</si>
  <si>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</si>
  <si>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</si>
  <si>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</si>
  <si>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</si>
  <si>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</si>
  <si>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</si>
  <si>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</si>
  <si>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</si>
  <si>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</si>
  <si>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</si>
  <si>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</si>
  <si>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</si>
  <si>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</si>
  <si>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</si>
  <si>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</si>
  <si>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</si>
  <si>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</si>
  <si>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</si>
  <si>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</si>
  <si>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</si>
  <si>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</si>
  <si>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</si>
  <si>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</si>
  <si>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</si>
  <si>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</si>
  <si>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</si>
  <si>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</si>
  <si>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</si>
  <si>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</si>
  <si>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</si>
  <si>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</si>
  <si>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</si>
  <si>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</si>
  <si>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</si>
  <si>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</si>
  <si>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</si>
  <si>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</si>
  <si>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</si>
  <si>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</si>
  <si>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</si>
  <si>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</si>
  <si>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</si>
  <si>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</si>
  <si>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</si>
  <si>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</si>
  <si>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</si>
  <si>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</si>
  <si>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</si>
  <si>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</si>
  <si>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</si>
  <si>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</si>
  <si>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</si>
  <si>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</si>
  <si>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</si>
  <si>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</si>
  <si>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</si>
  <si>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</si>
  <si>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</si>
  <si>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</si>
  <si>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</si>
  <si>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</si>
  <si>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</si>
  <si>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</si>
  <si>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</si>
  <si>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</si>
  <si>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</si>
  <si>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</si>
  <si>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</si>
  <si>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</si>
  <si>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</si>
  <si>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</si>
  <si>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</si>
  <si>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</si>
  <si>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</si>
  <si>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</si>
  <si>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</si>
  <si>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</si>
  <si>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</si>
  <si>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</si>
  <si>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</si>
  <si>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</si>
  <si>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</si>
  <si>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</si>
  <si>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</si>
  <si>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</si>
  <si>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</si>
  <si>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</si>
  <si>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</si>
  <si>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</si>
  <si>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</si>
  <si>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</si>
  <si>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</si>
  <si>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</si>
  <si>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</si>
  <si>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</si>
  <si>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</si>
  <si>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</si>
  <si>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</si>
  <si>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</si>
  <si>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</si>
  <si>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</si>
  <si>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</si>
  <si>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</si>
  <si>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</si>
  <si>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</si>
  <si>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</si>
  <si>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</si>
  <si>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</si>
  <si>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</si>
  <si>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</si>
  <si>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</si>
  <si>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</si>
  <si>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</si>
  <si>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</si>
  <si>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</si>
  <si>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</si>
  <si>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</si>
  <si>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</si>
  <si>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</si>
  <si>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</si>
  <si>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</si>
  <si>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</si>
  <si>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</si>
  <si>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</si>
  <si>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</si>
  <si>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</si>
  <si>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</si>
  <si>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</si>
  <si>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</si>
  <si>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</si>
  <si>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</si>
  <si>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</si>
  <si>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</si>
  <si>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</si>
  <si>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</si>
  <si>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</si>
  <si>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</si>
  <si>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</si>
  <si>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</si>
  <si>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</si>
  <si>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</si>
  <si>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</si>
  <si>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</si>
  <si>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</si>
  <si>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</si>
  <si>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</si>
  <si>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</si>
  <si>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</si>
  <si>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</si>
  <si>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</si>
  <si>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</si>
  <si>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</si>
  <si>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</si>
  <si>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</si>
  <si>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</si>
  <si>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</si>
  <si>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</si>
  <si>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</si>
  <si>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</si>
  <si>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</si>
  <si>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</si>
  <si>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</si>
  <si>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</si>
  <si>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</si>
  <si>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</si>
  <si>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</si>
  <si>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</si>
  <si>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</si>
  <si>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</si>
  <si>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</si>
  <si>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</si>
  <si>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</si>
  <si>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</si>
  <si>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</si>
  <si>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</si>
  <si>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</si>
  <si>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</si>
  <si>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</si>
  <si>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</si>
  <si>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</si>
  <si>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</si>
  <si>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</si>
  <si>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</si>
  <si>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</si>
  <si>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</si>
  <si>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</si>
  <si>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</si>
  <si>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</si>
  <si>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</si>
  <si>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</si>
  <si>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</si>
  <si>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</si>
  <si>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</si>
  <si>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</si>
  <si>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</si>
  <si>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</si>
  <si>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</si>
  <si>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</si>
  <si>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</si>
  <si>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</si>
  <si>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</si>
  <si>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</si>
  <si>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</si>
  <si>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</si>
  <si>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</si>
  <si>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</si>
  <si>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</si>
  <si>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</si>
  <si>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</si>
  <si>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</si>
  <si>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</si>
  <si>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</si>
  <si>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</si>
  <si>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</si>
  <si>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</si>
  <si>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</si>
  <si>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</si>
  <si>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</si>
  <si>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</si>
  <si>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</si>
  <si>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</si>
  <si>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</si>
  <si>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</si>
  <si>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</si>
  <si>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</si>
  <si>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</si>
  <si>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</si>
  <si>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</si>
  <si>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</si>
  <si>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</si>
  <si>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</si>
  <si>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</si>
  <si>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</si>
  <si>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</si>
  <si>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</si>
  <si>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</si>
  <si>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</si>
  <si>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</si>
  <si>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</si>
  <si>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</si>
  <si>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</si>
  <si>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</si>
  <si>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</si>
  <si>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</si>
  <si>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</si>
  <si>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</si>
  <si>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</si>
  <si>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</si>
  <si>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</si>
  <si>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</si>
  <si>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</si>
  <si>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</si>
  <si>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</si>
  <si>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</si>
  <si>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</si>
  <si>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</si>
  <si>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</si>
  <si>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</si>
  <si>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</si>
  <si>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</si>
  <si>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</si>
  <si>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</si>
  <si>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</si>
  <si>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</si>
  <si>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</si>
  <si>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</si>
  <si>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</si>
  <si>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</si>
  <si>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</si>
  <si>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</si>
  <si>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</si>
  <si>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</si>
  <si>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</si>
  <si>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</si>
  <si>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</si>
  <si>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</si>
  <si>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</si>
  <si>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</si>
  <si>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</si>
  <si>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</si>
  <si>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</si>
  <si>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</si>
  <si>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</si>
  <si>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</si>
  <si>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</si>
  <si>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</si>
  <si>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</si>
  <si>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</si>
  <si>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</si>
  <si>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</si>
  <si>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</si>
  <si>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</si>
  <si>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</si>
  <si>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</si>
  <si>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</si>
  <si>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</si>
  <si>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</si>
  <si>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</si>
  <si>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</si>
  <si>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</si>
  <si>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</si>
  <si>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</si>
  <si>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</si>
  <si>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</si>
  <si>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</si>
  <si>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</si>
  <si>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</si>
  <si>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</si>
  <si>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</si>
  <si>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</si>
  <si>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</si>
  <si>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</si>
  <si>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</si>
  <si>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</si>
  <si>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</si>
  <si>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</si>
  <si>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</si>
  <si>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</si>
  <si>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</si>
  <si>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</si>
  <si>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</si>
  <si>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</si>
  <si>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</si>
  <si>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</si>
  <si>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</si>
  <si>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</si>
  <si>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</si>
  <si>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</si>
  <si>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</si>
  <si>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</si>
  <si>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</si>
  <si>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</si>
  <si>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</si>
  <si>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</si>
  <si>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</si>
  <si>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</si>
  <si>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</si>
  <si>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</si>
  <si>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</si>
  <si>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</si>
  <si>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</si>
  <si>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</si>
  <si>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</si>
  <si>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</si>
  <si>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</si>
  <si>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</si>
  <si>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</si>
  <si>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</si>
  <si>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</si>
  <si>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</si>
  <si>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</si>
  <si>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</si>
  <si>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</si>
  <si>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</si>
  <si>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</si>
  <si>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</si>
  <si>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</si>
  <si>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</si>
  <si>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</si>
  <si>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</si>
  <si>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</si>
  <si>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</si>
  <si>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</si>
  <si>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</si>
  <si>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</si>
  <si>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</si>
  <si>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</si>
  <si>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</si>
  <si>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</si>
  <si>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</si>
  <si>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</si>
  <si>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</si>
  <si>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</si>
  <si>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</si>
  <si>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</si>
  <si>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</si>
  <si>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</si>
  <si>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</si>
  <si>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</si>
  <si>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</si>
  <si>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</si>
  <si>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</si>
  <si>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</si>
  <si>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</si>
  <si>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</si>
  <si>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</si>
  <si>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</si>
  <si>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</si>
  <si>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</si>
  <si>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</si>
  <si>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</si>
  <si>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</si>
  <si>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</si>
  <si>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</si>
  <si>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</si>
  <si>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</si>
  <si>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</si>
  <si>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</si>
  <si>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</si>
  <si>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</si>
  <si>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</si>
  <si>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</si>
  <si>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</si>
  <si>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</si>
  <si>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</si>
  <si>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</si>
  <si>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</si>
  <si>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</si>
  <si>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</si>
  <si>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</si>
  <si>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</si>
  <si>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</si>
  <si>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</si>
  <si>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</si>
  <si>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</si>
  <si>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</si>
  <si>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</si>
  <si>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</si>
  <si>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</si>
  <si>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</si>
  <si>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</si>
  <si>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</si>
  <si>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</si>
  <si>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</si>
  <si>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</si>
  <si>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</si>
  <si>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</si>
  <si>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</si>
  <si>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</si>
  <si>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</si>
  <si>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</si>
  <si>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</si>
  <si>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</si>
  <si>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</si>
  <si>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</si>
  <si>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</si>
  <si>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</si>
  <si>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</si>
  <si>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</si>
  <si>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</si>
  <si>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</si>
  <si>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</si>
  <si>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</si>
  <si>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</si>
  <si>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</si>
  <si>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</si>
  <si>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</si>
  <si>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</si>
  <si>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</si>
  <si>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</si>
  <si>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</si>
  <si>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</si>
  <si>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</si>
  <si>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</si>
  <si>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</si>
  <si>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</si>
  <si>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</si>
  <si>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</si>
  <si>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</si>
  <si>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</si>
  <si>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</si>
  <si>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</si>
  <si>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</si>
  <si>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</si>
  <si>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</si>
  <si>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</si>
  <si>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</si>
  <si>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</si>
  <si>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</si>
  <si>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</si>
  <si>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</si>
  <si>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</si>
  <si>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</si>
  <si>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</si>
  <si>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</si>
  <si>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</si>
  <si>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</si>
  <si>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</si>
  <si>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</si>
  <si>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</si>
  <si>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</si>
  <si>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</si>
  <si>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</si>
  <si>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</si>
  <si>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</si>
  <si>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</si>
  <si>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</si>
  <si>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</si>
  <si>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</si>
  <si>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</si>
  <si>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</si>
  <si>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</si>
  <si>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</si>
  <si>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</si>
  <si>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</si>
  <si>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</si>
  <si>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</si>
  <si>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</si>
  <si>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</si>
  <si>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</si>
  <si>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</si>
  <si>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</si>
  <si>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</si>
  <si>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</si>
  <si>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</si>
  <si>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</si>
  <si>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</si>
  <si>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</si>
  <si>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</si>
  <si>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</si>
  <si>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</si>
  <si>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</si>
  <si>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</si>
  <si>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</si>
  <si>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</si>
  <si>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</si>
  <si>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</si>
  <si>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</si>
  <si>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</si>
  <si>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</si>
  <si>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</si>
  <si>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</si>
  <si>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</si>
  <si>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</si>
  <si>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</si>
  <si>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</si>
  <si>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</si>
  <si>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</si>
  <si>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</si>
  <si>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</si>
  <si>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</si>
  <si>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</si>
  <si>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</si>
  <si>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</si>
  <si>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</si>
  <si>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</si>
  <si>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</si>
  <si>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</si>
  <si>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</si>
  <si>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</si>
  <si>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</si>
  <si>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</si>
  <si>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</si>
  <si>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</si>
  <si>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</si>
  <si>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</si>
  <si>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</si>
  <si>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</si>
  <si>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</si>
  <si>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</si>
  <si>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</si>
  <si>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</si>
  <si>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</si>
  <si>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</si>
  <si>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</si>
  <si>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</si>
  <si>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</si>
  <si>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</si>
  <si>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</si>
  <si>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</si>
  <si>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</si>
  <si>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</si>
  <si>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</si>
  <si>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</si>
  <si>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</si>
  <si>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</si>
  <si>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</si>
  <si>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</si>
  <si>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</si>
  <si>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</si>
  <si>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</si>
  <si>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</si>
  <si>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</si>
  <si>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</si>
  <si>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</si>
  <si>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</si>
  <si>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</si>
  <si>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</si>
  <si>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</si>
  <si>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</si>
  <si>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</si>
  <si>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</si>
  <si>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</si>
  <si>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</si>
  <si>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</si>
  <si>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</si>
  <si>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</si>
  <si>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</si>
  <si>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</si>
  <si>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</si>
  <si>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</si>
  <si>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</si>
  <si>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</si>
  <si>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</si>
  <si>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</si>
  <si>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</si>
  <si>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</si>
  <si>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</si>
  <si>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</si>
  <si>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</si>
  <si>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</si>
  <si>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</si>
  <si>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</si>
  <si>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</si>
  <si>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</si>
  <si>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</si>
  <si>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</si>
  <si>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</si>
  <si>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</si>
  <si>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</si>
  <si>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</si>
  <si>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</si>
  <si>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</si>
  <si>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</si>
  <si>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</si>
  <si>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</si>
  <si>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</si>
  <si>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</si>
  <si>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</si>
  <si>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</si>
  <si>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</si>
  <si>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</si>
  <si>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</si>
  <si>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</si>
  <si>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</si>
  <si>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</si>
  <si>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</si>
  <si>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</si>
  <si>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</si>
  <si>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</si>
  <si>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</si>
  <si>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</si>
  <si>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</si>
  <si>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</si>
  <si>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</si>
  <si>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</si>
  <si>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</si>
  <si>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</si>
  <si>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</si>
  <si>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</si>
  <si>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</si>
  <si>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</si>
  <si>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</si>
  <si>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</si>
  <si>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</si>
  <si>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</si>
  <si>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</si>
  <si>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</si>
  <si>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</si>
  <si>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</si>
  <si>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</si>
  <si>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</si>
  <si>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</si>
  <si>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</si>
  <si>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</si>
  <si>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</si>
  <si>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</si>
  <si>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</si>
  <si>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</si>
  <si>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</si>
  <si>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</si>
  <si>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</si>
  <si>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</si>
  <si>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</si>
  <si>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</si>
  <si>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</si>
  <si>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</si>
  <si>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</si>
  <si>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</si>
  <si>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</si>
  <si>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</si>
  <si>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</si>
  <si>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</si>
  <si>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</si>
  <si>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</si>
  <si>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</si>
  <si>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</si>
  <si>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</si>
  <si>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</si>
  <si>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</si>
  <si>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</si>
  <si>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</si>
  <si>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</si>
  <si>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</si>
  <si>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</si>
  <si>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</si>
  <si>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</si>
  <si>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</si>
  <si>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</si>
  <si>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</si>
  <si>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</si>
  <si>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</si>
  <si>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</si>
  <si>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</si>
  <si>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</si>
  <si>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</si>
  <si>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</si>
  <si>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</si>
  <si>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</si>
  <si>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</si>
  <si>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</si>
  <si>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</si>
  <si>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</si>
  <si>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</si>
  <si>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</si>
  <si>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</si>
  <si>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</si>
  <si>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</si>
  <si>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</si>
  <si>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</si>
  <si>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</si>
  <si>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</si>
  <si>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</si>
  <si>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</si>
  <si>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</si>
  <si>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</si>
  <si>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</si>
  <si>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</si>
  <si>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</si>
  <si>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</si>
  <si>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</si>
  <si>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</si>
  <si>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</si>
  <si>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</si>
  <si>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</si>
  <si>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</si>
  <si>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</si>
  <si>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</si>
  <si>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</si>
  <si>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</si>
  <si>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</si>
  <si>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</si>
  <si>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</si>
  <si>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</si>
  <si>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</si>
  <si>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</si>
  <si>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</si>
  <si>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</si>
  <si>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</si>
  <si>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</si>
  <si>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</si>
  <si>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</si>
  <si>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</si>
  <si>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</si>
  <si>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</si>
  <si>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</si>
  <si>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</si>
  <si>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</si>
  <si>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</si>
  <si>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</si>
  <si>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</si>
  <si>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</si>
  <si>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</si>
  <si>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</si>
  <si>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</si>
  <si>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</si>
  <si>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</si>
  <si>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</si>
  <si>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</si>
  <si>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</si>
  <si>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</si>
  <si>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</si>
  <si>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</si>
  <si>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</si>
  <si>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</si>
  <si>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</si>
  <si>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</si>
  <si>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</si>
  <si>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</si>
  <si>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</si>
  <si>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</si>
  <si>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</si>
  <si>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</si>
  <si>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</si>
  <si>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</si>
  <si>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</si>
  <si>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</si>
  <si>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</si>
  <si>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</si>
  <si>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</si>
  <si>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</si>
  <si>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</si>
  <si>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</si>
  <si>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</si>
  <si>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</si>
  <si>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</si>
  <si>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</si>
  <si>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</si>
  <si>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</si>
  <si>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</si>
  <si>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</si>
  <si>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</si>
  <si>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</si>
  <si>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</si>
  <si>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</si>
  <si>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</si>
  <si>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</si>
  <si>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</si>
  <si>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</si>
  <si>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</si>
  <si>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</si>
  <si>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</si>
  <si>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</si>
  <si>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</si>
  <si>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</si>
  <si>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</si>
  <si>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</si>
  <si>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</si>
  <si>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</si>
  <si>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</si>
  <si>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</si>
  <si>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</si>
  <si>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</si>
  <si>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</si>
  <si>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</si>
  <si>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</si>
  <si>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</si>
  <si>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</si>
  <si>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</si>
  <si>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</si>
  <si>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</si>
  <si>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</si>
  <si>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</si>
  <si>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</si>
  <si>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</si>
  <si>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</si>
  <si>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</si>
  <si>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</si>
  <si>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</si>
  <si>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</si>
  <si>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</si>
  <si>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</si>
  <si>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</si>
  <si>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</si>
  <si>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</si>
  <si>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</si>
  <si>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</si>
  <si>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</si>
  <si>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</si>
  <si>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</si>
  <si>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</si>
  <si>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</si>
  <si>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</si>
  <si>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</si>
  <si>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</si>
  <si>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</si>
  <si>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</si>
  <si>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</si>
  <si>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</si>
  <si>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</si>
  <si>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</si>
  <si>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</si>
  <si>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</si>
  <si>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</si>
  <si>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</si>
  <si>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</si>
  <si>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</si>
  <si>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</si>
  <si>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</si>
  <si>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</si>
  <si>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</si>
  <si>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</si>
  <si>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</si>
  <si>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</si>
  <si>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</si>
  <si>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</si>
  <si>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</si>
  <si>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</si>
  <si>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</si>
  <si>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</si>
  <si>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</si>
  <si>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</si>
  <si>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</si>
  <si>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</si>
  <si>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</si>
  <si>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</si>
  <si>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</si>
  <si>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</si>
  <si>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</si>
  <si>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</si>
  <si>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</si>
  <si>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</si>
  <si>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</si>
  <si>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</si>
  <si>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</si>
  <si>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</si>
  <si>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</si>
  <si>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</si>
  <si>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</si>
  <si>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</si>
  <si>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</si>
  <si>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</si>
  <si>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</si>
  <si>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</si>
  <si>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</si>
  <si>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</si>
  <si>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</si>
  <si>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</si>
  <si>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</si>
  <si>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</si>
  <si>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</si>
  <si>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</si>
  <si>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</si>
  <si>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</si>
  <si>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</si>
  <si>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</si>
  <si>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</si>
  <si>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</si>
  <si>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</si>
  <si>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</si>
  <si>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</si>
  <si>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</si>
  <si>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</si>
  <si>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</si>
  <si>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</si>
  <si>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</si>
  <si>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</si>
  <si>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</si>
  <si>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</si>
  <si>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</si>
  <si>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</si>
  <si>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</si>
  <si>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</si>
  <si>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</si>
  <si>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</si>
  <si>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</si>
  <si>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</si>
  <si>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</si>
  <si>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</si>
  <si>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</si>
  <si>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</si>
  <si>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</si>
  <si>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</si>
  <si>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</si>
  <si>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</si>
  <si>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</si>
  <si>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</si>
  <si>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</si>
  <si>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</si>
  <si>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</si>
  <si>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</si>
  <si>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</si>
  <si>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</si>
  <si>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</si>
  <si>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</si>
  <si>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</si>
  <si>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</si>
  <si>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</si>
  <si>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</si>
  <si>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</si>
  <si>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</si>
  <si>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</si>
  <si>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</si>
  <si>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</si>
  <si>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</si>
  <si>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</si>
  <si>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</si>
  <si>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</si>
  <si>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</si>
  <si>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</si>
  <si>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</si>
  <si>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</si>
  <si>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</si>
  <si>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</si>
  <si>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</si>
  <si>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</si>
  <si>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</si>
  <si>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</si>
  <si>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</si>
  <si>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</si>
  <si>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</si>
  <si>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</si>
  <si>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</si>
  <si>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</si>
  <si>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</si>
  <si>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</si>
  <si>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</si>
  <si>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</si>
  <si>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</si>
  <si>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</si>
  <si>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</si>
  <si>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</si>
  <si>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</si>
  <si>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</si>
  <si>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</si>
  <si>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</si>
  <si>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</si>
  <si>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</si>
  <si>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</si>
  <si>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</si>
  <si>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</si>
  <si>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</si>
  <si>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</si>
  <si>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</si>
  <si>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</si>
  <si>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</si>
  <si>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</si>
  <si>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</si>
  <si>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</si>
  <si>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</si>
  <si>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</si>
  <si>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</si>
  <si>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</si>
  <si>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</si>
  <si>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</si>
  <si>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</si>
  <si>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</si>
  <si>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</si>
  <si>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</si>
  <si>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</si>
  <si>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</si>
  <si>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</si>
  <si>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</si>
  <si>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</si>
  <si>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</si>
  <si>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</si>
  <si>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</si>
  <si>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</si>
  <si>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</si>
  <si>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</si>
  <si>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</si>
  <si>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</si>
  <si>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</si>
  <si>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</si>
  <si>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</si>
  <si>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</si>
  <si>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</si>
  <si>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</si>
  <si>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</si>
  <si>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</si>
  <si>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</si>
  <si>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</si>
  <si>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</si>
  <si>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</si>
  <si>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</si>
  <si>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</si>
  <si>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</si>
  <si>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</si>
  <si>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</si>
  <si>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</si>
  <si>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</si>
  <si>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</si>
  <si>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</si>
  <si>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</si>
  <si>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</si>
  <si>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</si>
  <si>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</si>
  <si>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</si>
  <si>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</si>
  <si>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</si>
  <si>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</si>
  <si>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</si>
  <si>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</si>
  <si>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</si>
  <si>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</si>
  <si>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</si>
  <si>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</si>
  <si>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</si>
  <si>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</si>
  <si>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</si>
  <si>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</si>
  <si>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</si>
  <si>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</si>
  <si>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</si>
  <si>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</si>
  <si>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</si>
  <si>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</si>
  <si>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</si>
  <si>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</si>
  <si>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</si>
  <si>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</si>
  <si>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</si>
  <si>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</si>
  <si>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</si>
  <si>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</si>
  <si>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</si>
  <si>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</si>
  <si>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</si>
  <si>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</si>
  <si>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</si>
  <si>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</si>
  <si>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</si>
  <si>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</si>
  <si>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</si>
  <si>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</si>
  <si>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</si>
  <si>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</si>
  <si>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</si>
  <si>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</si>
  <si>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</si>
  <si>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</si>
  <si>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</si>
  <si>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</si>
  <si>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</si>
  <si>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</si>
  <si>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</si>
  <si>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</si>
  <si>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</si>
  <si>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</si>
  <si>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</si>
  <si>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</si>
  <si>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</si>
  <si>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</si>
  <si>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</si>
  <si>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</si>
  <si>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</si>
  <si>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</si>
  <si>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</si>
  <si>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</si>
  <si>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</si>
  <si>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</si>
  <si>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</si>
  <si>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</si>
  <si>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</si>
  <si>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</si>
  <si>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</si>
  <si>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</si>
  <si>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</si>
  <si>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</si>
  <si>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</si>
  <si>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</si>
  <si>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</si>
  <si>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</si>
  <si>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</si>
  <si>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</si>
  <si>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</si>
  <si>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</si>
  <si>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</si>
  <si>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</si>
  <si>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</si>
  <si>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</si>
  <si>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</si>
  <si>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</si>
  <si>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</si>
  <si>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</si>
  <si>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</si>
  <si>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</si>
  <si>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</si>
  <si>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</si>
  <si>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</si>
  <si>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</si>
  <si>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</si>
  <si>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</si>
  <si>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</si>
  <si>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</si>
  <si>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</si>
  <si>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</si>
  <si>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</si>
  <si>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</si>
  <si>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</si>
  <si>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</si>
  <si>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</si>
  <si>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</si>
  <si>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</si>
  <si>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</si>
  <si>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</si>
  <si>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</si>
  <si>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</si>
  <si>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</si>
  <si>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</si>
  <si>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</si>
  <si>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</si>
  <si>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</si>
  <si>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</si>
  <si>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</si>
  <si>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</si>
  <si>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</si>
  <si>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</si>
  <si>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</si>
  <si>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</si>
  <si>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</si>
  <si>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</si>
  <si>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</si>
  <si>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</si>
  <si>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</si>
  <si>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</si>
  <si>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</si>
  <si>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</si>
  <si>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</si>
  <si>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</si>
  <si>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</si>
  <si>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</si>
  <si>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</si>
  <si>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</si>
  <si>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</si>
  <si>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</si>
  <si>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</si>
  <si>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</si>
  <si>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</si>
  <si>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</si>
  <si>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</si>
  <si>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</si>
  <si>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</si>
  <si>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</si>
  <si>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</si>
  <si>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</si>
  <si>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</si>
  <si>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</si>
  <si>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</si>
  <si>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</si>
  <si>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</si>
  <si>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</si>
  <si>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</si>
  <si>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</si>
  <si>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</si>
  <si>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</si>
  <si>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</si>
  <si>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</si>
  <si>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</si>
  <si>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</si>
  <si>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</si>
  <si>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</si>
  <si>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</si>
  <si>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</si>
  <si>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</si>
  <si>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</si>
  <si>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</si>
  <si>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</si>
  <si>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</si>
  <si>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</si>
  <si>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</si>
  <si>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</si>
  <si>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</si>
  <si>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</si>
  <si>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</si>
  <si>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</si>
  <si>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</si>
  <si>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</si>
  <si>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</si>
  <si>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</si>
  <si>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</si>
  <si>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</si>
  <si>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</si>
  <si>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</si>
  <si>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</si>
  <si>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</si>
  <si>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</si>
  <si>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</si>
  <si>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</si>
  <si>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</si>
  <si>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</si>
  <si>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</si>
  <si>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</si>
  <si>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</si>
  <si>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</si>
  <si>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</si>
  <si>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</si>
  <si>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</si>
  <si>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</si>
  <si>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</si>
  <si>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</si>
  <si>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</si>
  <si>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</si>
  <si>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</si>
  <si>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</si>
  <si>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</si>
  <si>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</si>
  <si>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</si>
  <si>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</si>
  <si>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</si>
  <si>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</si>
  <si>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</si>
  <si>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</si>
  <si>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</si>
  <si>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</si>
  <si>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</si>
  <si>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</si>
  <si>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</si>
  <si>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</si>
  <si>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</si>
  <si>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</si>
  <si>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</si>
  <si>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</si>
  <si>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</si>
  <si>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</si>
  <si>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</si>
  <si>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</si>
  <si>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</si>
  <si>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</si>
  <si>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</si>
  <si>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</si>
  <si>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</si>
  <si>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</si>
  <si>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</si>
  <si>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</si>
  <si>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</si>
  <si>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</si>
  <si>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</si>
  <si>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</si>
  <si>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</si>
  <si>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</si>
  <si>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</si>
  <si>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</si>
  <si>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</si>
  <si>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</si>
  <si>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</si>
  <si>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</si>
  <si>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</si>
  <si>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</si>
  <si>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</si>
  <si>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</si>
  <si>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</si>
  <si>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</si>
  <si>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</si>
  <si>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</si>
  <si>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</si>
  <si>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</si>
  <si>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</si>
  <si>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</si>
  <si>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</si>
  <si>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</si>
  <si>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</si>
  <si>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</si>
  <si>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</si>
  <si>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</si>
  <si>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</si>
  <si>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</si>
  <si>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</si>
  <si>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</si>
  <si>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</si>
  <si>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</si>
  <si>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</si>
  <si>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</si>
  <si>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</si>
  <si>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</si>
  <si>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</si>
  <si>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</si>
  <si>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</si>
  <si>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</si>
  <si>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</si>
  <si>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</si>
  <si>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</si>
  <si>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</si>
  <si>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</si>
  <si>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</si>
  <si>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</si>
  <si>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</si>
  <si>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</si>
  <si>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</si>
  <si>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</si>
  <si>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</si>
  <si>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</si>
  <si>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</si>
  <si>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</si>
  <si>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</si>
  <si>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</si>
  <si>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</si>
  <si>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</si>
  <si>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</si>
  <si>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</si>
  <si>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</si>
  <si>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</si>
  <si>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</si>
  <si>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</si>
  <si>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</si>
  <si>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</si>
  <si>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</si>
  <si>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</si>
  <si>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</si>
  <si>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</si>
  <si>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</si>
  <si>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</si>
  <si>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</si>
  <si>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</si>
  <si>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</si>
  <si>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</si>
  <si>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</si>
  <si>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</si>
  <si>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</si>
  <si>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</si>
  <si>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</si>
  <si>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</si>
  <si>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</si>
  <si>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</si>
  <si>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</si>
  <si>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</si>
  <si>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</si>
  <si>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</si>
  <si>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</si>
  <si>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</si>
  <si>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</si>
  <si>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</si>
  <si>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</si>
  <si>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</si>
  <si>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</si>
  <si>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</si>
  <si>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</si>
  <si>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</si>
  <si>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</si>
  <si>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</si>
  <si>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</si>
  <si>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</si>
  <si>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</si>
  <si>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</si>
  <si>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</si>
  <si>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</si>
  <si>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</si>
  <si>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</si>
  <si>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</si>
  <si>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</si>
  <si>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</si>
  <si>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</si>
  <si>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</si>
  <si>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</si>
  <si>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</si>
  <si>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</si>
  <si>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</si>
  <si>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</si>
  <si>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</si>
  <si>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</si>
  <si>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</si>
  <si>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</si>
  <si>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</si>
  <si>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</si>
  <si>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</si>
  <si>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</si>
  <si>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</si>
  <si>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</si>
  <si>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</si>
  <si>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</si>
  <si>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</si>
  <si>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</si>
  <si>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</si>
  <si>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</si>
  <si>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</si>
  <si>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</si>
  <si>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</si>
  <si>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</si>
  <si>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</si>
  <si>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</si>
  <si>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</si>
  <si>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</si>
  <si>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</si>
  <si>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</si>
  <si>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</si>
  <si>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</si>
  <si>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</si>
  <si>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</si>
  <si>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</si>
  <si>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</si>
  <si>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</si>
  <si>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</si>
  <si>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</si>
  <si>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</si>
  <si>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</si>
  <si>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</si>
  <si>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</si>
  <si>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</si>
  <si>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</si>
  <si>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</si>
  <si>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</si>
  <si>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</si>
  <si>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</si>
  <si>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</si>
  <si>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</si>
  <si>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</si>
  <si>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</si>
  <si>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</si>
  <si>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</si>
  <si>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</si>
  <si>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</si>
  <si>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</si>
  <si>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</si>
  <si>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</si>
  <si>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</si>
  <si>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</si>
  <si>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</si>
  <si>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</si>
  <si>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</si>
  <si>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</si>
  <si>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</si>
  <si>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</si>
  <si>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</si>
  <si>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</si>
  <si>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</si>
  <si>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</si>
  <si>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</si>
  <si>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</si>
  <si>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</si>
  <si>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</si>
  <si>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</si>
  <si>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</si>
  <si>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</si>
  <si>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</si>
  <si>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</si>
  <si>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</si>
  <si>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</si>
  <si>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</si>
  <si>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</si>
  <si>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</si>
  <si>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</si>
  <si>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</si>
  <si>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</si>
  <si>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</si>
  <si>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</si>
  <si>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</si>
  <si>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</si>
  <si>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</si>
  <si>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</si>
  <si>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</si>
  <si>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</si>
  <si>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</si>
  <si>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</si>
  <si>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</si>
  <si>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</si>
  <si>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</si>
  <si>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</si>
  <si>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</si>
  <si>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</si>
  <si>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</si>
  <si>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</si>
  <si>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</si>
  <si>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</si>
  <si>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</si>
  <si>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</si>
  <si>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</si>
  <si>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</si>
  <si>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</si>
  <si>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</si>
  <si>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</si>
  <si>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</si>
  <si>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</si>
  <si>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</si>
  <si>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</si>
  <si>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</si>
  <si>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</si>
  <si>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</si>
  <si>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</si>
  <si>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</si>
  <si>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</si>
  <si>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</si>
  <si>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</si>
  <si>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</si>
  <si>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</si>
  <si>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</si>
  <si>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</si>
  <si>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</si>
  <si>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</si>
  <si>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</si>
  <si>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</si>
  <si>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</si>
  <si>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</si>
  <si>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</si>
  <si>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</si>
  <si>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</si>
  <si>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</si>
  <si>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</si>
  <si>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</si>
  <si>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</si>
  <si>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</si>
  <si>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</si>
  <si>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</si>
  <si>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</si>
  <si>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</si>
  <si>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</si>
  <si>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</si>
  <si>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</si>
  <si>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</si>
  <si>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</si>
  <si>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</si>
  <si>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</si>
  <si>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</si>
  <si>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</si>
  <si>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</si>
  <si>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</si>
  <si>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</si>
  <si>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</si>
  <si>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</si>
  <si>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</si>
  <si>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</si>
  <si>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</si>
  <si>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</si>
  <si>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</si>
  <si>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</si>
  <si>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</si>
  <si>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</si>
  <si>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</si>
  <si>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</si>
  <si>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</si>
  <si>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</si>
  <si>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</si>
  <si>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</si>
  <si>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</si>
  <si>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</si>
  <si>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</si>
  <si>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</si>
  <si>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</si>
  <si>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</si>
  <si>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</si>
  <si>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</si>
  <si>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</si>
  <si>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</si>
  <si>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</si>
  <si>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</si>
  <si>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</si>
  <si>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</si>
  <si>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</si>
  <si>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</si>
  <si>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</si>
  <si>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</si>
  <si>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</si>
  <si>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</si>
  <si>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</si>
  <si>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</si>
  <si>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</si>
  <si>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</si>
  <si>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</si>
  <si>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</si>
  <si>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</si>
  <si>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</si>
  <si>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</si>
  <si>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</si>
  <si>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</si>
  <si>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</si>
  <si>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</si>
  <si>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</si>
  <si>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</si>
  <si>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</si>
  <si>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</si>
  <si>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</si>
  <si>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</si>
  <si>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</si>
  <si>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</si>
  <si>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</si>
  <si>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</si>
  <si>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</si>
  <si>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</si>
  <si>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</si>
  <si>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</si>
  <si>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</si>
  <si>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</si>
  <si>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</si>
  <si>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</si>
  <si>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</si>
  <si>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</si>
  <si>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</si>
  <si>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</si>
  <si>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</si>
  <si>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</si>
  <si>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</si>
  <si>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</si>
  <si>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</si>
  <si>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</si>
  <si>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</si>
  <si>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北京市通州经济开发区西区南扩区三、五、六期棚户区改造项目FZX-1102-6219地块F3其他类多功能用地</t>
  </si>
  <si>
    <t>商业/办公用地</t>
  </si>
  <si>
    <t>≤2.2</t>
  </si>
  <si>
    <t>挂牌</t>
  </si>
  <si>
    <t>F3其他类多功能用地</t>
  </si>
  <si>
    <t>2022-08-23</t>
  </si>
  <si>
    <t>北京市工程咨询有限公司</t>
  </si>
  <si>
    <t>2星</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</si>
  <si>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</si>
  <si>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</si>
  <si>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</si>
  <si>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</si>
  <si>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≤2.8</t>
  </si>
  <si>
    <t>2022-07-19</t>
  </si>
  <si>
    <t>北京首旅城市副中心投资有限公司</t>
  </si>
  <si>
    <t>5星</t>
  </si>
  <si>
    <r>
      <rPr>
        <sz val="10"/>
        <rFont val="宋体"/>
        <family val="3"/>
        <charset val="134"/>
      </rPr>
      <t>北京城市副中心</t>
    </r>
    <r>
      <rPr>
        <sz val="10"/>
        <rFont val="Arial"/>
        <family val="2"/>
      </rPr>
      <t>0101</t>
    </r>
    <r>
      <rPr>
        <sz val="10"/>
        <rFont val="宋体"/>
        <family val="3"/>
        <charset val="134"/>
      </rPr>
      <t>街区</t>
    </r>
    <r>
      <rPr>
        <sz val="10"/>
        <rFont val="Arial"/>
        <family val="2"/>
      </rPr>
      <t>FZX-0101-0902</t>
    </r>
    <r>
      <rPr>
        <sz val="10"/>
        <rFont val="宋体"/>
        <family val="3"/>
        <charset val="134"/>
      </rPr>
      <t>地块</t>
    </r>
    <r>
      <rPr>
        <sz val="10"/>
        <rFont val="Arial"/>
        <family val="2"/>
      </rPr>
      <t>F3</t>
    </r>
    <r>
      <rPr>
        <sz val="10"/>
        <rFont val="宋体"/>
        <family val="3"/>
        <charset val="134"/>
      </rPr>
      <t>其他类多功能用地</t>
    </r>
  </si>
  <si>
    <t>2022-01-05</t>
  </si>
  <si>
    <t>华夏银行股份有限公司</t>
  </si>
  <si>
    <t>北京市通州区张家湾车辆段综合利用供地项目FZX-1202-0079-02(上盖区)、FZX-1202-0079-03(落地区)、FZX-1202-0079-04(落地区)地块F3其他类多功能用地</t>
  </si>
  <si>
    <t>2021-10-26</t>
  </si>
  <si>
    <t>北京市基础设施投资有限公司、北京首都旅游集团有限责任公司、北京城建集团有限责任公司</t>
  </si>
  <si>
    <t>4星</t>
  </si>
  <si>
    <r>
      <rPr>
        <sz val="10"/>
        <rFont val="宋体"/>
        <family val="3"/>
        <charset val="134"/>
      </rPr>
      <t>北京城市副中心</t>
    </r>
    <r>
      <rPr>
        <sz val="10"/>
        <rFont val="Arial"/>
        <family val="2"/>
      </rPr>
      <t>FZX-0902-0229</t>
    </r>
    <r>
      <rPr>
        <sz val="10"/>
        <rFont val="宋体"/>
        <family val="3"/>
        <charset val="134"/>
      </rPr>
      <t>、</t>
    </r>
    <r>
      <rPr>
        <sz val="10"/>
        <rFont val="Arial"/>
        <family val="2"/>
      </rPr>
      <t>0230</t>
    </r>
    <r>
      <rPr>
        <sz val="10"/>
        <rFont val="宋体"/>
        <family val="3"/>
        <charset val="134"/>
      </rPr>
      <t>地块</t>
    </r>
  </si>
  <si>
    <t>≤3.1</t>
  </si>
  <si>
    <t>B2商务用地</t>
  </si>
  <si>
    <t>2021-05-19</t>
  </si>
  <si>
    <t>北京城市副中心投资建设集团有限公司</t>
  </si>
  <si>
    <t>北京城市副中心12组团西北部</t>
  </si>
  <si>
    <t>≤2.15</t>
  </si>
  <si>
    <t>2021-02-07</t>
  </si>
  <si>
    <t>北京公联鼎成交通枢纽建设发展有限公司</t>
  </si>
  <si>
    <t>正常</t>
    <phoneticPr fontId="26" type="noConversion"/>
  </si>
  <si>
    <t>一致</t>
  </si>
  <si>
    <t>符合</t>
  </si>
  <si>
    <t>抵押价格</t>
  </si>
  <si>
    <t>企业</t>
  </si>
  <si>
    <t>是</t>
  </si>
  <si>
    <t>地上</t>
  </si>
  <si>
    <t>地下</t>
  </si>
  <si>
    <t>车库—办公</t>
  </si>
  <si>
    <t>否</t>
  </si>
  <si>
    <t>办公</t>
    <phoneticPr fontId="7" type="noConversion"/>
  </si>
  <si>
    <t>商业</t>
    <phoneticPr fontId="7" type="noConversion"/>
  </si>
  <si>
    <t>车库</t>
    <phoneticPr fontId="7" type="noConversion"/>
  </si>
  <si>
    <t>利息：取LPR加浮动点数</t>
  </si>
  <si>
    <t>面积</t>
    <phoneticPr fontId="3" type="noConversion"/>
  </si>
  <si>
    <t>租金</t>
    <phoneticPr fontId="3" type="noConversion"/>
  </si>
  <si>
    <t>楼层系数</t>
    <phoneticPr fontId="3" type="noConversion"/>
  </si>
  <si>
    <t>楼层占比</t>
    <phoneticPr fontId="3" type="noConversion"/>
  </si>
  <si>
    <t>土地（套用方法）</t>
  </si>
  <si>
    <t>押一</t>
  </si>
  <si>
    <t>钢混</t>
  </si>
  <si>
    <t>自定义</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</si>
  <si>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</si>
  <si>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</si>
  <si>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t>
  </si>
  <si>
    <t>不动产收益法-商业</t>
  </si>
  <si>
    <t>不动产收益法-车库</t>
  </si>
  <si>
    <t>较好</t>
    <phoneticPr fontId="26" type="noConversion"/>
  </si>
  <si>
    <t>一般</t>
    <phoneticPr fontId="26" type="noConversion"/>
  </si>
  <si>
    <t>一般</t>
    <phoneticPr fontId="26" type="noConversion"/>
  </si>
  <si>
    <t>比较法-住宅、综合</t>
  </si>
  <si>
    <t>剩余法-待开发</t>
  </si>
  <si>
    <t>楼面地价</t>
  </si>
  <si>
    <t>郑燚</t>
  </si>
  <si>
    <t>崔锴</t>
  </si>
  <si>
    <t>较差</t>
    <phoneticPr fontId="26" type="noConversion"/>
  </si>
  <si>
    <t>较差</t>
    <phoneticPr fontId="26" type="noConversion"/>
  </si>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</sst>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82" fillId="0" borderId="0"/>
  </cellStyleXfs>
  <cellXfs count="39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2" fillId="0" borderId="0" xfId="18"/>
    <xf numFmtId="0" fontId="82" fillId="17" borderId="0" xfId="18" applyFill="1"/>
    <xf numFmtId="0" fontId="0" fillId="17" borderId="0" xfId="0" applyFill="1">
      <alignment vertical="center"/>
    </xf>
    <xf numFmtId="49" fontId="77" fillId="2" borderId="33" xfId="0" applyNumberFormat="1" applyFont="1" applyFill="1" applyBorder="1" applyAlignment="1" applyProtection="1">
      <alignment horizontal="center" vertical="center" wrapText="1"/>
      <protection locked="0"/>
    </xf>
    <xf numFmtId="0" fontId="78" fillId="5" borderId="0" xfId="0" applyFont="1" applyFill="1" applyAlignment="1" applyProtection="1">
      <alignment vertical="center"/>
      <protection locked="0"/>
    </xf>
    <xf numFmtId="0" fontId="140" fillId="2" borderId="18" xfId="0" applyNumberFormat="1" applyFont="1" applyFill="1" applyBorder="1" applyAlignment="1" applyProtection="1">
      <alignment horizontal="center" vertical="center" wrapText="1"/>
      <protection locked="0"/>
    </xf>
    <xf numFmtId="49" fontId="140" fillId="2" borderId="24" xfId="0" applyNumberFormat="1" applyFont="1" applyFill="1" applyBorder="1" applyAlignment="1" applyProtection="1">
      <alignment horizontal="center" vertical="center" wrapText="1"/>
      <protection locked="0"/>
    </xf>
    <xf numFmtId="49" fontId="140" fillId="2" borderId="18" xfId="0" applyNumberFormat="1" applyFont="1" applyFill="1" applyBorder="1" applyAlignment="1" applyProtection="1">
      <alignment horizontal="center" vertical="center" wrapText="1"/>
      <protection locked="0"/>
    </xf>
    <xf numFmtId="0" fontId="140" fillId="2" borderId="20" xfId="0" applyNumberFormat="1" applyFont="1" applyFill="1" applyBorder="1" applyAlignment="1" applyProtection="1">
      <alignment horizontal="center" vertical="center" wrapText="1"/>
      <protection locked="0"/>
    </xf>
    <xf numFmtId="49" fontId="140" fillId="2" borderId="50" xfId="0" applyNumberFormat="1" applyFont="1" applyFill="1" applyBorder="1" applyAlignment="1" applyProtection="1">
      <alignment horizontal="center" vertical="center" wrapText="1"/>
      <protection locked="0"/>
    </xf>
    <xf numFmtId="49" fontId="140" fillId="2" borderId="20" xfId="0" applyNumberFormat="1" applyFont="1" applyFill="1" applyBorder="1" applyAlignment="1" applyProtection="1">
      <alignment horizontal="center" vertical="center" wrapText="1"/>
      <protection locked="0"/>
    </xf>
    <xf numFmtId="0" fontId="77" fillId="2" borderId="19" xfId="0" applyNumberFormat="1" applyFont="1" applyFill="1" applyBorder="1" applyAlignment="1" applyProtection="1">
      <alignment horizontal="center" vertical="center" wrapText="1"/>
      <protection locked="0"/>
    </xf>
    <xf numFmtId="0" fontId="140" fillId="2" borderId="50"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285750</xdr:colOff>
      <xdr:row>9</xdr:row>
      <xdr:rowOff>85725</xdr:rowOff>
    </xdr:from>
    <xdr:to>
      <xdr:col>10</xdr:col>
      <xdr:colOff>284979</xdr:colOff>
      <xdr:row>40</xdr:row>
      <xdr:rowOff>161252</xdr:rowOff>
    </xdr:to>
    <xdr:pic>
      <xdr:nvPicPr>
        <xdr:cNvPr id="2" name="图片 1"/>
        <xdr:cNvPicPr>
          <a:picLocks noChangeAspect="1"/>
        </xdr:cNvPicPr>
      </xdr:nvPicPr>
      <xdr:blipFill>
        <a:blip xmlns:r="http://schemas.openxmlformats.org/officeDocument/2006/relationships" r:embed="rId1"/>
        <a:stretch>
          <a:fillRect/>
        </a:stretch>
      </xdr:blipFill>
      <xdr:spPr>
        <a:xfrm>
          <a:off x="3514725" y="1628775"/>
          <a:ext cx="6171429" cy="53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6" customWidth="1"/>
    <col min="2" max="2" width="78.21875" style="2367" customWidth="1"/>
    <col min="3" max="18" width="9" style="2361"/>
    <col min="19" max="19" width="17.88671875" style="2361" customWidth="1"/>
    <col min="20" max="51" width="9" style="2361"/>
    <col min="52" max="52" width="13.21875" style="2361" customWidth="1"/>
    <col min="53" max="53" width="13.44140625" style="2361" bestFit="1" customWidth="1"/>
    <col min="54" max="54" width="11.6640625" style="2361" bestFit="1" customWidth="1"/>
    <col min="55" max="55" width="13.44140625" style="2361" bestFit="1" customWidth="1"/>
    <col min="56" max="16384" width="9" style="2361"/>
  </cols>
  <sheetData>
    <row r="1" spans="1:55" s="2372" customFormat="1" ht="16.2" thickBot="1">
      <c r="A1" s="2370" t="s">
        <v>1938</v>
      </c>
      <c r="B1" s="2371" t="s">
        <v>2035</v>
      </c>
    </row>
    <row r="2" spans="1:55" s="2375" customFormat="1" ht="16.2" thickTop="1">
      <c r="A2" s="2373" t="s">
        <v>1942</v>
      </c>
      <c r="B2" s="2374" t="str">
        <f>'预评函-封皮'!B37</f>
        <v>北京市出让国有建设用地使用权抵押价格预评估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郑燚、崔锴</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6.2" thickBot="1">
      <c r="A5" s="2379" t="s">
        <v>1945</v>
      </c>
      <c r="B5" s="2380" t="str">
        <f>'预评函-封皮'!B49</f>
        <v>康正预评字号</v>
      </c>
    </row>
    <row r="6" spans="1:55" s="2381" customFormat="1" ht="16.2" thickTop="1">
      <c r="A6" s="2373" t="s">
        <v>1987</v>
      </c>
      <c r="B6" s="2374" t="str">
        <f>'预评函-1'!A4</f>
        <v>受贵公司委托，我公司对北京市出让国有建设用地使用权抵押价格进行了预评估。</v>
      </c>
      <c r="AM6" s="2382"/>
    </row>
    <row r="7" spans="1:55" s="2356" customFormat="1">
      <c r="A7" s="2357" t="s">
        <v>1939</v>
      </c>
      <c r="B7" s="2358" t="str">
        <f>'预评函-1'!A6</f>
        <v>估价对象为使用的、位于北京市出让国有建设用地使用权。根据《国有土地使用证》[]，估价对象（分摊）出让国有建设用地使用权面积为9791.14平方米。根据《建设工程规划许可证》[]、《出让合同》[]，估价对象规划建筑面积为127591.06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2023年4月12日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根据《国有土地使用证》[]，估价对象（分摊）出让国有建设用地使用权面积为9791.14平方米。根据《建设工程规划许可证》[]、《出让合同》[]，估价对象规划建筑面积为127591.06平方米。</v>
      </c>
    </row>
    <row r="16" spans="1:55" s="2356" customFormat="1">
      <c r="A16" s="2357" t="s">
        <v>1951</v>
      </c>
      <c r="B16" s="2358" t="str">
        <f>'预评函-1'!A22</f>
        <v>本次估价对象为出让国有建设用地使用权，《国有土地使用证》[]证载土地终止日期为商业2052年11月4日、办公2062年11月4日、车库2062年11月4日。截至估价期日，出让国有建设用地使用权剩余土地使用年限为。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4月12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6.2"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368" t="s">
        <v>1957</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估价期日：2023年4月12日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9791.14</v>
      </c>
    </row>
    <row r="44" spans="1:2">
      <c r="A44" s="2357" t="s">
        <v>2022</v>
      </c>
      <c r="B44" s="2358" t="str">
        <f>'预评函-2'!O3</f>
        <v>规划建筑面积/㎡</v>
      </c>
    </row>
    <row r="45" spans="1:2">
      <c r="A45" s="2357" t="s">
        <v>2004</v>
      </c>
      <c r="B45" s="2358">
        <f>'预评函-2'!O5</f>
        <v>127591.06</v>
      </c>
    </row>
    <row r="46" spans="1:2">
      <c r="A46" s="2357" t="s">
        <v>2005</v>
      </c>
      <c r="B46" s="2358">
        <f ca="1">'预评函-2'!P5</f>
        <v>146099</v>
      </c>
    </row>
    <row r="47" spans="1:2">
      <c r="A47" s="2357" t="s">
        <v>2006</v>
      </c>
      <c r="B47" s="2358">
        <f ca="1">'预评函-2'!Q5</f>
        <v>11211</v>
      </c>
    </row>
    <row r="48" spans="1:2">
      <c r="A48" s="2357" t="s">
        <v>2007</v>
      </c>
      <c r="B48" s="2358">
        <f ca="1">'预评函-2'!R5</f>
        <v>143048</v>
      </c>
    </row>
    <row r="49" spans="1:2">
      <c r="A49" s="2357" t="s">
        <v>2023</v>
      </c>
      <c r="B49" s="2358" t="str">
        <f>'预评函-2'!A6</f>
        <v>抵押价格</v>
      </c>
    </row>
    <row r="50" spans="1:2">
      <c r="A50" s="2357" t="s">
        <v>2008</v>
      </c>
      <c r="B50" s="2358">
        <f ca="1">'预评函-2'!R6</f>
        <v>143048</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6.2" thickBot="1">
      <c r="A54" s="2379" t="s">
        <v>2010</v>
      </c>
      <c r="B54" s="2380" t="str">
        <f>'预评函-2'!R8</f>
        <v>——</v>
      </c>
    </row>
    <row r="55" spans="1:2" ht="16.2"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6.2" thickBot="1">
      <c r="A58" s="2379" t="s">
        <v>2011</v>
      </c>
      <c r="B58" s="2380" t="str">
        <f>'预评函-3'!A5</f>
        <v>4.影响价格的其他限定条件：无。</v>
      </c>
    </row>
    <row r="59" spans="1:2" ht="16.2"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6.2" thickBot="1">
      <c r="A68" s="2379" t="s">
        <v>1974</v>
      </c>
      <c r="B68" s="2383">
        <f>'预评函-3'!D30</f>
        <v>42558</v>
      </c>
    </row>
    <row r="69" spans="1:2" ht="16.2" thickTop="1">
      <c r="A69" s="2368" t="s">
        <v>1972</v>
      </c>
      <c r="B69" s="2369" t="str">
        <f>'预评函-3'!A20</f>
        <v>郑燚</v>
      </c>
    </row>
    <row r="70" spans="1:2">
      <c r="A70" s="2357" t="s">
        <v>1972</v>
      </c>
      <c r="B70" s="2364">
        <f ca="1">'预评函-3'!B20</f>
        <v>2014110011</v>
      </c>
    </row>
    <row r="71" spans="1:2">
      <c r="A71" s="2357" t="s">
        <v>1973</v>
      </c>
      <c r="B71" s="2358" t="str">
        <f>'预评函-3'!A21</f>
        <v>崔锴</v>
      </c>
    </row>
    <row r="72" spans="1:2" s="2372" customFormat="1" ht="16.2" thickBot="1">
      <c r="A72" s="2379" t="s">
        <v>1973</v>
      </c>
      <c r="B72" s="2385">
        <f ca="1">'预评函-3'!B21</f>
        <v>2010110070</v>
      </c>
    </row>
    <row r="73" spans="1:2" ht="16.2"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6.2"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1875" defaultRowHeight="14.4"/>
  <cols>
    <col min="1" max="16384" width="15.21875" style="3286"/>
  </cols>
  <sheetData>
    <row r="1" spans="1:6">
      <c r="A1" s="3283" t="s">
        <v>2675</v>
      </c>
      <c r="B1" s="3284"/>
      <c r="C1" s="3284"/>
      <c r="D1" s="3284"/>
      <c r="E1" s="3284"/>
      <c r="F1" s="3285"/>
    </row>
    <row r="2" spans="1:6">
      <c r="A2" s="3287"/>
      <c r="B2" s="3288"/>
      <c r="C2" s="3288"/>
      <c r="D2" s="3288"/>
      <c r="E2" s="3288"/>
      <c r="F2" s="3289"/>
    </row>
    <row r="3" spans="1:6">
      <c r="A3" s="3290" t="s">
        <v>2676</v>
      </c>
      <c r="B3" s="3291">
        <f>项目基本情况!D3</f>
        <v>45028</v>
      </c>
      <c r="C3" s="3292"/>
      <c r="D3" s="3292"/>
      <c r="E3" s="3292"/>
      <c r="F3" s="3289"/>
    </row>
    <row r="4" spans="1:6">
      <c r="A4" s="3290" t="s">
        <v>2677</v>
      </c>
      <c r="B4" s="3293" t="s">
        <v>2678</v>
      </c>
      <c r="C4" s="3293" t="s">
        <v>2679</v>
      </c>
      <c r="D4" s="3293" t="s">
        <v>2680</v>
      </c>
      <c r="E4" s="3293" t="s">
        <v>2681</v>
      </c>
      <c r="F4" s="3289"/>
    </row>
    <row r="5" spans="1:6">
      <c r="A5" s="3294"/>
      <c r="B5" s="3291"/>
      <c r="C5" s="3293">
        <f>ROUNDDOWN(MIN((B5-B3)/365,A5),2)</f>
        <v>-123.36</v>
      </c>
      <c r="D5" s="3295">
        <f>IF(ISERROR(ROUND(POWER(1+E5,A5-C5)*(POWER(1+E5,C5)-1)/(POWER(1+E5,A5)-1),3)),0,ROUND(POWER(1+E5,A5-C5)*(POWER(1+E5,C5)-1)/(POWER(1+E5,A5)-1),4))</f>
        <v>0</v>
      </c>
      <c r="E5" s="3296"/>
      <c r="F5" s="3289"/>
    </row>
    <row r="6" spans="1:6">
      <c r="A6" s="3294"/>
      <c r="B6" s="3291"/>
      <c r="C6" s="3293">
        <f>ROUNDDOWN(MIN((B6-B3)/365,A6),2)</f>
        <v>-123.36</v>
      </c>
      <c r="D6" s="3295">
        <f>IF(ISERROR(ROUND(POWER(1+E6,A6-C6)*(POWER(1+E6,C6)-1)/(POWER(1+E6,A6)-1),3)),0,ROUND(POWER(1+E6,A6-C6)*(POWER(1+E6,C6)-1)/(POWER(1+E6,A6)-1),4))</f>
        <v>0</v>
      </c>
      <c r="E6" s="3296"/>
      <c r="F6" s="3289"/>
    </row>
    <row r="7" spans="1:6">
      <c r="A7" s="3294"/>
      <c r="B7" s="3291"/>
      <c r="C7" s="3293">
        <f>ROUNDDOWN(MIN((B7-B3)/365,A7),2)</f>
        <v>-123.36</v>
      </c>
      <c r="D7" s="3295">
        <f>IF(ISERROR(ROUND(POWER(1+E7,A7-C7)*(POWER(1+E7,C7)-1)/(POWER(1+E7,A7)-1),3)),0,ROUND(POWER(1+E7,A7-C7)*(POWER(1+E7,C7)-1)/(POWER(1+E7,A7)-1),4))</f>
        <v>0</v>
      </c>
      <c r="E7" s="3296"/>
      <c r="F7" s="3289"/>
    </row>
    <row r="8" spans="1:6">
      <c r="A8" s="3287"/>
      <c r="B8" s="3288"/>
      <c r="C8" s="3288"/>
      <c r="D8" s="3288"/>
      <c r="E8" s="3288"/>
      <c r="F8" s="3289"/>
    </row>
    <row r="9" spans="1:6">
      <c r="A9" s="3290" t="s">
        <v>2682</v>
      </c>
      <c r="B9" s="3293"/>
      <c r="C9" s="3293"/>
      <c r="D9" s="3293"/>
      <c r="E9" s="3293"/>
      <c r="F9" s="3297"/>
    </row>
    <row r="10" spans="1:6">
      <c r="A10" s="3290" t="s">
        <v>2683</v>
      </c>
      <c r="B10" s="3293"/>
      <c r="C10" s="3293"/>
      <c r="D10" s="3293" t="s">
        <v>2681</v>
      </c>
      <c r="E10" s="3293"/>
      <c r="F10" s="3297" t="s">
        <v>2680</v>
      </c>
    </row>
    <row r="11" spans="1:6">
      <c r="A11" s="3290" t="s">
        <v>2684</v>
      </c>
      <c r="B11" s="3298"/>
      <c r="C11" s="3293" t="s">
        <v>2685</v>
      </c>
      <c r="D11" s="3299"/>
      <c r="E11" s="3293" t="s">
        <v>2686</v>
      </c>
      <c r="F11" s="3300">
        <f>ROUND(1-(1/(POWER(1+D11,B11))),4)</f>
        <v>0</v>
      </c>
    </row>
    <row r="12" spans="1:6">
      <c r="A12" s="3290" t="s">
        <v>2687</v>
      </c>
      <c r="B12" s="3298"/>
      <c r="C12" s="3293" t="s">
        <v>2688</v>
      </c>
      <c r="D12" s="3299"/>
      <c r="E12" s="3293" t="s">
        <v>2689</v>
      </c>
      <c r="F12" s="3300">
        <f>ROUND(1-(1/(POWER(1+D12,B12))),4)</f>
        <v>0</v>
      </c>
    </row>
    <row r="13" spans="1:6">
      <c r="A13" s="3290" t="s">
        <v>2690</v>
      </c>
      <c r="B13" s="3293"/>
      <c r="C13" s="3292"/>
      <c r="D13" s="3288"/>
      <c r="E13" s="3288"/>
      <c r="F13" s="3289"/>
    </row>
    <row r="14" spans="1:6">
      <c r="A14" s="3290" t="s">
        <v>2691</v>
      </c>
      <c r="B14" s="3298"/>
      <c r="C14" s="3292"/>
      <c r="D14" s="3288"/>
      <c r="E14" s="3288"/>
      <c r="F14" s="3289"/>
    </row>
    <row r="15" spans="1:6">
      <c r="A15" s="3290" t="s">
        <v>2692</v>
      </c>
      <c r="B15" s="3293" t="e">
        <f>ROUND(B14*F12/F11,2)</f>
        <v>#DIV/0!</v>
      </c>
      <c r="C15" s="3293" t="e">
        <f>ROUND(F12/F11,4)</f>
        <v>#DIV/0!</v>
      </c>
      <c r="D15" s="3288"/>
      <c r="E15" s="3288"/>
      <c r="F15" s="3289"/>
    </row>
    <row r="16" spans="1:6">
      <c r="A16" s="3290" t="s">
        <v>2693</v>
      </c>
      <c r="B16" s="3293"/>
      <c r="C16" s="3292"/>
      <c r="D16" s="3288"/>
      <c r="E16" s="3288"/>
      <c r="F16" s="3289"/>
    </row>
    <row r="17" spans="1:7">
      <c r="A17" s="3290" t="s">
        <v>2692</v>
      </c>
      <c r="B17" s="3299"/>
      <c r="C17" s="3292"/>
      <c r="D17" s="3288"/>
      <c r="E17" s="3288"/>
      <c r="F17" s="3289"/>
    </row>
    <row r="18" spans="1:7" ht="15" thickBot="1">
      <c r="A18" s="3301" t="s">
        <v>2691</v>
      </c>
      <c r="B18" s="3302" t="e">
        <f>ROUND(B17*F11/F12,2)</f>
        <v>#DIV/0!</v>
      </c>
      <c r="C18" s="3302" t="e">
        <f>ROUND(F11/F12,4)</f>
        <v>#DIV/0!</v>
      </c>
      <c r="D18" s="3303"/>
      <c r="E18" s="3303"/>
      <c r="F18" s="3304"/>
    </row>
    <row r="19" spans="1:7" ht="15" thickBot="1"/>
    <row r="20" spans="1:7">
      <c r="A20" s="3305" t="s">
        <v>2694</v>
      </c>
      <c r="B20" s="3306"/>
      <c r="C20" s="3306"/>
      <c r="D20" s="3306"/>
      <c r="E20" s="3306"/>
      <c r="F20" s="3306"/>
      <c r="G20" s="3307"/>
    </row>
    <row r="21" spans="1:7">
      <c r="A21" s="3308"/>
      <c r="B21" s="3309" t="s">
        <v>2695</v>
      </c>
      <c r="C21" s="3309" t="s">
        <v>2696</v>
      </c>
      <c r="D21" s="3309" t="s">
        <v>2697</v>
      </c>
      <c r="E21" s="3309" t="s">
        <v>2698</v>
      </c>
      <c r="F21" s="3309" t="s">
        <v>2699</v>
      </c>
      <c r="G21" s="3310" t="s">
        <v>2700</v>
      </c>
    </row>
    <row r="22" spans="1:7">
      <c r="A22" s="3308" t="s">
        <v>2701</v>
      </c>
      <c r="B22" s="3311">
        <v>50</v>
      </c>
      <c r="C22" s="3311">
        <v>32</v>
      </c>
      <c r="D22" s="3312">
        <v>0.05</v>
      </c>
      <c r="E22" s="3309">
        <f>ROUND(POWER(1+D22,B22-C22)*(POWER(1+D22,C22)-1)/(POWER(1+D22,B22)-1),3)</f>
        <v>0.86599999999999999</v>
      </c>
      <c r="F22" s="3312">
        <v>0.6</v>
      </c>
      <c r="G22" s="3310">
        <f>ROUND(100*(1-(1-E22)*F22),1)</f>
        <v>92</v>
      </c>
    </row>
    <row r="23" spans="1:7">
      <c r="A23" s="3313" t="s">
        <v>2702</v>
      </c>
      <c r="B23" s="3311">
        <v>50</v>
      </c>
      <c r="C23" s="3311">
        <v>35</v>
      </c>
      <c r="D23" s="3312">
        <v>0.05</v>
      </c>
      <c r="E23" s="3309">
        <f>ROUND(POWER(1+D23,B23-C23)*(POWER(1+D23,C23)-1)/(POWER(1+D23,B23)-1),3)</f>
        <v>0.89700000000000002</v>
      </c>
      <c r="F23" s="3312">
        <f>F22</f>
        <v>0.6</v>
      </c>
      <c r="G23" s="3310">
        <f>ROUND(100*(1-(1-E23)*F23),1)</f>
        <v>93.8</v>
      </c>
    </row>
    <row r="24" spans="1:7">
      <c r="A24" s="3313" t="s">
        <v>2703</v>
      </c>
      <c r="B24" s="3311">
        <v>50</v>
      </c>
      <c r="C24" s="3311">
        <v>25</v>
      </c>
      <c r="D24" s="3312">
        <v>0.05</v>
      </c>
      <c r="E24" s="3309">
        <f>ROUND(POWER(1+D24,B24-C24)*(POWER(1+D24,C24)-1)/(POWER(1+D24,B24)-1),3)</f>
        <v>0.77200000000000002</v>
      </c>
      <c r="F24" s="3312">
        <f>F23</f>
        <v>0.6</v>
      </c>
      <c r="G24" s="3310">
        <f>ROUND(100*(1-(1-E24)*F24),1)</f>
        <v>86.3</v>
      </c>
    </row>
    <row r="25" spans="1:7">
      <c r="A25" s="3313" t="s">
        <v>2704</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2705</v>
      </c>
      <c r="B27" s="3318"/>
      <c r="C27" s="3318"/>
      <c r="D27" s="3318"/>
      <c r="E27" s="3318"/>
      <c r="F27" s="3318"/>
      <c r="G27" s="3319"/>
    </row>
    <row r="28" spans="1:7">
      <c r="A28" s="3317" t="s">
        <v>2706</v>
      </c>
      <c r="B28" s="3318"/>
      <c r="C28" s="3318"/>
      <c r="D28" s="3318"/>
      <c r="E28" s="3318"/>
      <c r="F28" s="3318"/>
      <c r="G28" s="3319"/>
    </row>
    <row r="29" spans="1:7">
      <c r="A29" s="3317" t="s">
        <v>2707</v>
      </c>
      <c r="B29" s="3318"/>
      <c r="C29" s="3318"/>
      <c r="D29" s="3318"/>
      <c r="E29" s="3318"/>
      <c r="F29" s="3318"/>
      <c r="G29" s="3319"/>
    </row>
    <row r="30" spans="1:7">
      <c r="A30" s="3317" t="s">
        <v>2708</v>
      </c>
      <c r="B30" s="3318"/>
      <c r="C30" s="3318"/>
      <c r="D30" s="3318"/>
      <c r="E30" s="3318"/>
      <c r="F30" s="3318"/>
      <c r="G30" s="3319"/>
    </row>
    <row r="31" spans="1:7">
      <c r="A31" s="3317" t="s">
        <v>2709</v>
      </c>
      <c r="B31" s="3318"/>
      <c r="C31" s="3318"/>
      <c r="D31" s="3318"/>
      <c r="E31" s="3318"/>
      <c r="F31" s="3318"/>
      <c r="G31" s="3319"/>
    </row>
    <row r="32" spans="1:7">
      <c r="A32" s="3317" t="s">
        <v>2710</v>
      </c>
      <c r="B32" s="3318"/>
      <c r="C32" s="3318"/>
      <c r="D32" s="3318"/>
      <c r="E32" s="3318"/>
      <c r="F32" s="3318"/>
      <c r="G32" s="3319"/>
    </row>
    <row r="33" spans="1:7">
      <c r="A33" s="3317" t="s">
        <v>2711</v>
      </c>
      <c r="B33" s="3318"/>
      <c r="C33" s="3318"/>
      <c r="D33" s="3318"/>
      <c r="E33" s="3318"/>
      <c r="F33" s="3318"/>
      <c r="G33" s="3319"/>
    </row>
    <row r="34" spans="1:7">
      <c r="A34" s="3317" t="s">
        <v>2712</v>
      </c>
      <c r="B34" s="3318"/>
      <c r="C34" s="3318"/>
      <c r="D34" s="3318"/>
      <c r="E34" s="3318"/>
      <c r="F34" s="3318"/>
      <c r="G34" s="3319"/>
    </row>
    <row r="35" spans="1:7">
      <c r="A35" s="3317" t="s">
        <v>2713</v>
      </c>
      <c r="B35" s="3318"/>
      <c r="C35" s="3318"/>
      <c r="D35" s="3318"/>
      <c r="E35" s="3318"/>
      <c r="F35" s="3318"/>
      <c r="G35" s="3319"/>
    </row>
    <row r="36" spans="1:7">
      <c r="A36" s="3317" t="s">
        <v>2714</v>
      </c>
      <c r="B36" s="3318"/>
      <c r="C36" s="3318"/>
      <c r="D36" s="3318"/>
      <c r="E36" s="3318"/>
      <c r="F36" s="3318"/>
      <c r="G36" s="3319"/>
    </row>
    <row r="37" spans="1:7">
      <c r="A37" s="3317" t="s">
        <v>2715</v>
      </c>
      <c r="B37" s="3318"/>
      <c r="C37" s="3318"/>
      <c r="D37" s="3318"/>
      <c r="E37" s="3318"/>
      <c r="F37" s="3318"/>
      <c r="G37" s="3319"/>
    </row>
    <row r="38" spans="1:7">
      <c r="A38" s="3317" t="s">
        <v>2716</v>
      </c>
      <c r="B38" s="3318"/>
      <c r="C38" s="3318"/>
      <c r="D38" s="3318"/>
      <c r="E38" s="3318"/>
      <c r="F38" s="3318"/>
      <c r="G38" s="3319"/>
    </row>
    <row r="39" spans="1:7">
      <c r="A39" s="3317"/>
      <c r="B39" s="3318"/>
      <c r="C39" s="3318"/>
      <c r="D39" s="3318"/>
      <c r="E39" s="3318"/>
      <c r="F39" s="3318"/>
      <c r="G39" s="3319"/>
    </row>
    <row r="40" spans="1:7">
      <c r="A40" s="3320" t="s">
        <v>2717</v>
      </c>
      <c r="B40" s="3321"/>
      <c r="C40" s="3321"/>
      <c r="D40" s="3321"/>
      <c r="E40" s="3321"/>
      <c r="F40" s="3321"/>
      <c r="G40" s="3322"/>
    </row>
    <row r="41" spans="1:7">
      <c r="A41" s="3323" t="s">
        <v>2718</v>
      </c>
      <c r="B41" s="3324" t="s">
        <v>2719</v>
      </c>
      <c r="C41" s="3325" t="s">
        <v>2720</v>
      </c>
      <c r="D41" s="3325" t="s">
        <v>2721</v>
      </c>
      <c r="E41" s="3326"/>
      <c r="F41" s="3327"/>
      <c r="G41" s="3328"/>
    </row>
    <row r="42" spans="1:7">
      <c r="A42" s="3323" t="s">
        <v>2722</v>
      </c>
      <c r="B42" s="3324" t="s">
        <v>2723</v>
      </c>
      <c r="C42" s="3325" t="s">
        <v>2723</v>
      </c>
      <c r="D42" s="3329" t="s">
        <v>2724</v>
      </c>
      <c r="E42" s="3321" t="s">
        <v>2725</v>
      </c>
      <c r="F42" s="3321"/>
      <c r="G42" s="3322"/>
    </row>
    <row r="43" spans="1:7">
      <c r="A43" s="3323" t="s">
        <v>2726</v>
      </c>
      <c r="B43" s="3324" t="s">
        <v>2727</v>
      </c>
      <c r="C43" s="3325" t="s">
        <v>2728</v>
      </c>
      <c r="D43" s="3325" t="s">
        <v>2729</v>
      </c>
      <c r="E43" s="3326" t="s">
        <v>2730</v>
      </c>
      <c r="F43" s="3327"/>
      <c r="G43" s="3328"/>
    </row>
    <row r="44" spans="1:7">
      <c r="A44" s="3323" t="s">
        <v>2731</v>
      </c>
      <c r="B44" s="3324" t="s">
        <v>2732</v>
      </c>
      <c r="C44" s="3325" t="s">
        <v>2733</v>
      </c>
      <c r="D44" s="3329">
        <v>0.5</v>
      </c>
      <c r="E44" s="3326" t="s">
        <v>2734</v>
      </c>
      <c r="F44" s="3327"/>
      <c r="G44" s="3328"/>
    </row>
    <row r="45" spans="1:7" ht="15" thickBot="1">
      <c r="A45" s="3330" t="s">
        <v>2735</v>
      </c>
      <c r="B45" s="3331" t="s">
        <v>2723</v>
      </c>
      <c r="C45" s="3332" t="s">
        <v>2723</v>
      </c>
      <c r="D45" s="3332" t="s">
        <v>2736</v>
      </c>
      <c r="E45" s="3333" t="s">
        <v>2737</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70" zoomScaleNormal="100" zoomScaleSheetLayoutView="70" workbookViewId="0">
      <selection activeCell="E6" sqref="E6"/>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6.2" thickBot="1">
      <c r="A1" s="1462" t="s">
        <v>1457</v>
      </c>
      <c r="B1" s="3715" t="str">
        <f>IF(B10="北京市","北京市",C10)&amp;F10&amp;A17&amp;"国有建设用地使用权"&amp;B9&amp;"预评估"</f>
        <v>北京市出让国有建设用地使用权抵押价格预评估</v>
      </c>
      <c r="C1" s="3716"/>
      <c r="D1" s="3716"/>
      <c r="E1" s="3716"/>
      <c r="F1" s="3716"/>
      <c r="G1" s="3716"/>
      <c r="H1" s="3716"/>
      <c r="I1" s="3717"/>
      <c r="J1" s="2816"/>
      <c r="K1" s="2107" t="str">
        <f>IF(B10="北京市","北京市",C10)&amp;F10&amp;A17&amp;"国有建设用地使用权"&amp;B9</f>
        <v>北京市出让国有建设用地使用权抵押价格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北京市出让国有建设用地使用权</v>
      </c>
      <c r="L2" s="2795"/>
      <c r="M2" s="2795"/>
      <c r="N2" s="2796"/>
      <c r="O2" s="2797"/>
      <c r="P2" s="2796"/>
      <c r="Q2" s="2796"/>
      <c r="R2" s="2796"/>
      <c r="S2" s="2796"/>
      <c r="T2" s="2796"/>
      <c r="U2" s="2796"/>
    </row>
    <row r="3" spans="1:21">
      <c r="A3" s="1464" t="s">
        <v>1459</v>
      </c>
      <c r="B3" s="1465"/>
      <c r="C3" s="2739" t="s">
        <v>1513</v>
      </c>
      <c r="D3" s="1465">
        <v>45028</v>
      </c>
      <c r="E3" s="2816"/>
      <c r="F3" s="2816"/>
      <c r="G3" s="2816"/>
      <c r="H3" s="2817"/>
      <c r="I3" s="2818"/>
      <c r="J3" s="2816"/>
      <c r="K3" s="2799"/>
      <c r="L3" s="2795"/>
      <c r="M3" s="2795"/>
      <c r="N3" s="2796"/>
      <c r="O3" s="2797"/>
      <c r="P3" s="2796"/>
      <c r="Q3" s="2796"/>
      <c r="R3" s="2796"/>
      <c r="S3" s="2796"/>
      <c r="T3" s="2796"/>
      <c r="U3" s="2796"/>
    </row>
    <row r="4" spans="1:21" ht="16.2" thickBot="1">
      <c r="A4" s="1467" t="s">
        <v>1460</v>
      </c>
      <c r="B4" s="1627" t="s">
        <v>3340</v>
      </c>
      <c r="C4" s="1630">
        <f ca="1">SUMIF(土地估价师,B4,估价师及机构信息!E3:E17)</f>
        <v>2014110011</v>
      </c>
      <c r="D4" s="1627" t="s">
        <v>3341</v>
      </c>
      <c r="E4" s="1630">
        <f ca="1">SUMIF(土地估价师,D4,估价师及机构信息!E3:E17)</f>
        <v>2010110070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郑燚、崔锴</v>
      </c>
      <c r="L4" s="2795"/>
      <c r="M4" s="2795"/>
      <c r="N4" s="2796"/>
      <c r="O4" s="2797"/>
      <c r="P4" s="2796"/>
      <c r="Q4" s="2796"/>
      <c r="R4" s="2796"/>
      <c r="S4" s="2796"/>
      <c r="T4" s="2796"/>
      <c r="U4" s="2796"/>
    </row>
    <row r="5" spans="1:21" ht="16.2"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7.6">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3216</v>
      </c>
      <c r="C8" s="1474"/>
      <c r="D8" s="3721" t="s">
        <v>1464</v>
      </c>
      <c r="E8" s="1628" t="s">
        <v>3310</v>
      </c>
      <c r="F8" s="1475"/>
      <c r="G8" s="2817"/>
      <c r="H8" s="2817"/>
      <c r="I8" s="2820"/>
      <c r="J8" s="2816"/>
      <c r="K8" s="2799"/>
      <c r="L8" s="2795"/>
      <c r="M8" s="2795"/>
      <c r="N8" s="2796"/>
      <c r="O8" s="2797"/>
      <c r="P8" s="2796"/>
      <c r="Q8" s="2796"/>
      <c r="R8" s="2796"/>
      <c r="S8" s="2796"/>
      <c r="T8" s="2796"/>
      <c r="U8" s="2796"/>
    </row>
    <row r="9" spans="1:21" ht="16.2" thickBot="1">
      <c r="A9" s="2741" t="s">
        <v>1463</v>
      </c>
      <c r="B9" s="1476" t="s">
        <v>3310</v>
      </c>
      <c r="C9" s="1477"/>
      <c r="D9" s="3722"/>
      <c r="E9" s="1476"/>
      <c r="F9" s="1536"/>
      <c r="G9" s="2821"/>
      <c r="H9" s="2821"/>
      <c r="I9" s="2822"/>
      <c r="J9" s="2816"/>
      <c r="K9" s="2799"/>
      <c r="L9" s="2795"/>
      <c r="M9" s="2795"/>
      <c r="N9" s="2796"/>
      <c r="O9" s="2797"/>
      <c r="P9" s="2796"/>
      <c r="Q9" s="2796"/>
      <c r="R9" s="2796"/>
      <c r="S9" s="2796"/>
      <c r="T9" s="2796"/>
      <c r="U9" s="2796"/>
    </row>
    <row r="10" spans="1:21" ht="16.2" thickTop="1">
      <c r="A10" s="2742" t="s">
        <v>1517</v>
      </c>
      <c r="B10" s="1513" t="s">
        <v>1465</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3311</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18"/>
      <c r="C12" s="3719"/>
      <c r="D12" s="3720"/>
      <c r="E12" s="1494" t="s">
        <v>1579</v>
      </c>
      <c r="F12" s="3736" t="s">
        <v>2162</v>
      </c>
      <c r="G12" s="3737"/>
      <c r="H12" s="3737"/>
      <c r="I12" s="3738"/>
      <c r="J12" s="2816"/>
      <c r="K12" s="2799"/>
      <c r="L12" s="2795"/>
      <c r="M12" s="2795"/>
      <c r="N12" s="2796"/>
      <c r="O12" s="2797"/>
      <c r="P12" s="2796"/>
      <c r="Q12" s="2796"/>
      <c r="R12" s="2796"/>
      <c r="S12" s="2796"/>
      <c r="T12" s="2796"/>
      <c r="U12" s="2796"/>
    </row>
    <row r="13" spans="1:21">
      <c r="A13" s="1485" t="s">
        <v>1577</v>
      </c>
      <c r="B13" s="3718"/>
      <c r="C13" s="3719"/>
      <c r="D13" s="3720"/>
      <c r="E13" s="1494" t="s">
        <v>1579</v>
      </c>
      <c r="F13" s="3736" t="s">
        <v>2163</v>
      </c>
      <c r="G13" s="3737"/>
      <c r="H13" s="3737"/>
      <c r="I13" s="3738"/>
      <c r="J13" s="2816"/>
      <c r="K13" s="2799"/>
      <c r="L13" s="2795"/>
      <c r="M13" s="2795"/>
      <c r="N13" s="2796"/>
      <c r="O13" s="2797"/>
      <c r="P13" s="2796"/>
      <c r="Q13" s="2796"/>
      <c r="R13" s="2796"/>
      <c r="S13" s="2796"/>
      <c r="T13" s="2796"/>
      <c r="U13" s="2796"/>
    </row>
    <row r="14" spans="1:21">
      <c r="A14" s="1464" t="s">
        <v>1580</v>
      </c>
      <c r="B14" s="1494"/>
      <c r="C14" s="1629" t="s">
        <v>3308</v>
      </c>
      <c r="D14" s="1527" t="str">
        <f>IF(C14="不一致","是否符合证载地类范围","")</f>
        <v/>
      </c>
      <c r="E14" s="1494"/>
      <c r="F14" s="1576" t="s">
        <v>3309</v>
      </c>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2739</v>
      </c>
      <c r="J15" s="2816"/>
      <c r="K15" s="2799"/>
      <c r="L15" s="2795"/>
      <c r="M15" s="2795"/>
      <c r="N15" s="2796"/>
      <c r="O15" s="2797"/>
      <c r="P15" s="2796"/>
      <c r="Q15" s="2796"/>
      <c r="R15" s="2796"/>
      <c r="S15" s="2796"/>
      <c r="T15" s="2796"/>
      <c r="U15" s="2796"/>
    </row>
    <row r="16" spans="1:21" ht="46.8">
      <c r="A16" s="2744" t="s">
        <v>1467</v>
      </c>
      <c r="B16" s="1494" t="s">
        <v>1468</v>
      </c>
      <c r="C16" s="3282" t="s">
        <v>1469</v>
      </c>
      <c r="D16" s="1516" t="s">
        <v>2740</v>
      </c>
      <c r="E16" s="1516" t="s">
        <v>1212</v>
      </c>
      <c r="F16" s="1516" t="s">
        <v>2741</v>
      </c>
      <c r="G16" s="1516" t="s">
        <v>2742</v>
      </c>
      <c r="H16" s="1484" t="s">
        <v>776</v>
      </c>
      <c r="I16" s="1484" t="s">
        <v>2739</v>
      </c>
      <c r="J16" s="2816"/>
      <c r="K16" s="2108" t="str">
        <f>IF(D17="","",D16&amp;TEXT(D17,"yyyy年m月d日;;"))</f>
        <v>商业2052年11月4日</v>
      </c>
      <c r="L16" s="1494" t="str">
        <f>IF(OR(K16="",M16=""),"","、")</f>
        <v>、</v>
      </c>
      <c r="M16" s="2108" t="str">
        <f>IF(E17="","",E16&amp;TEXT(E17,"yyyy年m月d日;;"))</f>
        <v>办公2062年11月4日</v>
      </c>
      <c r="N16" s="1494" t="str">
        <f>IF(OR(M16="",O16=""),"","、")</f>
        <v>、</v>
      </c>
      <c r="O16" s="2108" t="str">
        <f>IF(F17="","",F16&amp;TEXT(F17,"yyyy年m月d日;;"))</f>
        <v>车库2062年11月4日</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2743</v>
      </c>
      <c r="B17" s="2745" t="s">
        <v>1473</v>
      </c>
      <c r="C17" s="3335"/>
      <c r="D17" s="3335">
        <v>55827</v>
      </c>
      <c r="E17" s="3335">
        <v>59479</v>
      </c>
      <c r="F17" s="3335">
        <v>59479</v>
      </c>
      <c r="G17" s="3335"/>
      <c r="H17" s="3335"/>
      <c r="I17" s="3335"/>
      <c r="J17" s="2816"/>
      <c r="K17" s="2794" t="str">
        <f>CONCATENATE(K16,L16,M16,N16,O16,P16,Q16,R16,S16,T16,,U16)</f>
        <v>商业2052年11月4日、办公2062年11月4日、车库2062年11月4日</v>
      </c>
      <c r="L17" s="2795"/>
      <c r="M17" s="2795"/>
      <c r="N17" s="2796"/>
      <c r="O17" s="2797"/>
      <c r="P17" s="2796"/>
      <c r="Q17" s="2796"/>
      <c r="R17" s="2796"/>
      <c r="S17" s="2796"/>
      <c r="T17" s="2796"/>
      <c r="U17" s="2796"/>
    </row>
    <row r="18" spans="1:21">
      <c r="A18" s="1552"/>
      <c r="B18" s="2745" t="s">
        <v>1474</v>
      </c>
      <c r="C18" s="1482"/>
      <c r="D18" s="1482">
        <v>40</v>
      </c>
      <c r="E18" s="1482">
        <v>50</v>
      </c>
      <c r="F18" s="1482">
        <v>50</v>
      </c>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f>IF(A17="出让",IF(D17="","",ROUNDDOWN(MIN((D17-$D$3)/365,D18),2)),D18)</f>
        <v>29.58</v>
      </c>
      <c r="E19" s="1483">
        <f>IF(A17="出让",IF(E17="","",ROUNDDOWN(MIN((E17-$D$3)/365,E18),2)),E18)</f>
        <v>39.590000000000003</v>
      </c>
      <c r="F19" s="1483">
        <f>IF(A17="出让",IF(F17="","",ROUNDDOWN(MIN((F17-$D$3)/365,F18),2)),F18)</f>
        <v>39.590000000000003</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33"/>
      <c r="E20" s="3734"/>
      <c r="F20" s="3734"/>
      <c r="G20" s="3734"/>
      <c r="H20" s="3734"/>
      <c r="I20" s="3735"/>
      <c r="J20" s="2816"/>
      <c r="K20" s="2799"/>
      <c r="L20" s="2795"/>
      <c r="M20" s="2795"/>
      <c r="N20" s="2796"/>
      <c r="O20" s="2797"/>
      <c r="P20" s="2796"/>
      <c r="Q20" s="2796"/>
      <c r="R20" s="2796"/>
      <c r="S20" s="2796"/>
      <c r="T20" s="2796"/>
      <c r="U20" s="2796"/>
    </row>
    <row r="21" spans="1:21">
      <c r="A21" s="1552" t="s">
        <v>1476</v>
      </c>
      <c r="B21" s="1553" t="s">
        <v>1477</v>
      </c>
      <c r="C21" s="1548">
        <f>'数据-汇总表'!E3</f>
        <v>127591.06</v>
      </c>
      <c r="D21" s="1549" t="s">
        <v>1478</v>
      </c>
      <c r="E21" s="3723" t="s">
        <v>1516</v>
      </c>
      <c r="F21" s="3724"/>
      <c r="G21" s="3724"/>
      <c r="H21" s="3724"/>
      <c r="I21" s="3725"/>
      <c r="J21" s="2816"/>
      <c r="K21" s="2799"/>
      <c r="L21" s="2795"/>
      <c r="M21" s="2795"/>
      <c r="N21" s="2796"/>
      <c r="O21" s="2797"/>
      <c r="P21" s="2796"/>
      <c r="Q21" s="2796"/>
      <c r="R21" s="2796"/>
      <c r="S21" s="2796"/>
      <c r="T21" s="2796"/>
      <c r="U21" s="2796"/>
    </row>
    <row r="22" spans="1:21">
      <c r="A22" s="2556" t="s">
        <v>877</v>
      </c>
      <c r="B22" s="1464" t="s">
        <v>1479</v>
      </c>
      <c r="C22" s="1484">
        <f>'数据-汇总表'!D3</f>
        <v>9791.14</v>
      </c>
      <c r="D22" s="1485" t="s">
        <v>1478</v>
      </c>
      <c r="E22" s="3723" t="s">
        <v>2164</v>
      </c>
      <c r="F22" s="3724"/>
      <c r="G22" s="3724"/>
      <c r="H22" s="3724"/>
      <c r="I22" s="3725"/>
      <c r="J22" s="2816"/>
      <c r="K22" s="2799"/>
      <c r="L22" s="2795"/>
      <c r="M22" s="2795"/>
      <c r="N22" s="2796"/>
      <c r="O22" s="2797"/>
      <c r="P22" s="2796"/>
      <c r="Q22" s="2796"/>
      <c r="R22" s="2796"/>
      <c r="S22" s="2796"/>
      <c r="T22" s="2796"/>
      <c r="U22" s="2796"/>
    </row>
    <row r="23" spans="1:21" ht="47.4"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26" t="s">
        <v>1484</v>
      </c>
      <c r="C24" s="3727"/>
      <c r="D24" s="3728" t="s">
        <v>1485</v>
      </c>
      <c r="E24" s="3729"/>
      <c r="F24" s="1502" t="s">
        <v>1486</v>
      </c>
      <c r="G24" s="2816"/>
      <c r="H24" s="2816"/>
      <c r="I24" s="2820"/>
      <c r="J24" s="2816"/>
      <c r="K24" s="3714"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31.2">
      <c r="A25" s="1540"/>
      <c r="B25" s="1537" t="s">
        <v>1682</v>
      </c>
      <c r="C25" s="1503" t="s">
        <v>1488</v>
      </c>
      <c r="D25" s="1504"/>
      <c r="E25" s="1505" t="s">
        <v>877</v>
      </c>
      <c r="F25" s="1506"/>
      <c r="G25" s="2816"/>
      <c r="H25" s="2816"/>
      <c r="I25" s="2820"/>
      <c r="J25" s="2816"/>
      <c r="K25" s="3714"/>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47.4" thickBot="1">
      <c r="A26" s="1541"/>
      <c r="B26" s="1538" t="s">
        <v>1489</v>
      </c>
      <c r="C26" s="1503" t="s">
        <v>1683</v>
      </c>
      <c r="D26" s="2817"/>
      <c r="E26" s="2817"/>
      <c r="F26" s="2823"/>
      <c r="G26" s="2816"/>
      <c r="H26" s="2816"/>
      <c r="I26" s="2820"/>
      <c r="J26" s="2816"/>
      <c r="K26" s="3714"/>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6.2"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6.2" thickTop="1">
      <c r="A31" s="3741" t="s">
        <v>1519</v>
      </c>
      <c r="B31" s="1553" t="s">
        <v>1520</v>
      </c>
      <c r="C31" s="3739"/>
      <c r="D31" s="3740"/>
      <c r="E31" s="2816"/>
      <c r="F31" s="2816"/>
      <c r="G31" s="2816"/>
      <c r="H31" s="2816"/>
      <c r="I31" s="2820"/>
      <c r="J31" s="2816"/>
      <c r="K31" s="2802"/>
      <c r="L31" s="2796"/>
      <c r="M31" s="2796"/>
      <c r="N31" s="2796"/>
      <c r="O31" s="2796"/>
      <c r="P31" s="2796"/>
      <c r="Q31" s="2796"/>
      <c r="R31" s="2796"/>
      <c r="S31" s="2796"/>
      <c r="T31" s="2796"/>
      <c r="U31" s="2796"/>
    </row>
    <row r="32" spans="1:21">
      <c r="A32" s="3741"/>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41"/>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42"/>
      <c r="B34" s="1464" t="s">
        <v>1523</v>
      </c>
      <c r="C34" s="3743"/>
      <c r="D34" s="3744"/>
      <c r="E34" s="2816"/>
      <c r="F34" s="2816"/>
      <c r="G34" s="2816"/>
      <c r="H34" s="2816"/>
      <c r="I34" s="2820"/>
      <c r="J34" s="2816"/>
      <c r="K34" s="2802"/>
      <c r="L34" s="2796"/>
      <c r="M34" s="2796"/>
      <c r="N34" s="2796"/>
      <c r="O34" s="2796"/>
      <c r="P34" s="2796"/>
      <c r="Q34" s="2796"/>
      <c r="R34" s="2796"/>
      <c r="S34" s="2796"/>
      <c r="T34" s="2796"/>
      <c r="U34" s="2796"/>
    </row>
    <row r="35" spans="1:28">
      <c r="A35" s="3745" t="s">
        <v>785</v>
      </c>
      <c r="B35" s="1516"/>
      <c r="C35" s="1562" t="str">
        <f>IF(B35="场地平整","——","具体情况：")</f>
        <v>具体情况：</v>
      </c>
      <c r="D35" s="3747"/>
      <c r="E35" s="3748"/>
      <c r="F35" s="3748"/>
      <c r="G35" s="3748"/>
      <c r="H35" s="3748"/>
      <c r="I35" s="3749"/>
      <c r="J35" s="2816"/>
      <c r="K35" s="2803"/>
      <c r="L35" s="2795"/>
      <c r="M35" s="2795"/>
      <c r="N35" s="2796"/>
      <c r="O35" s="2797"/>
      <c r="P35" s="2796"/>
      <c r="Q35" s="2796"/>
      <c r="R35" s="2796"/>
      <c r="S35" s="2796"/>
      <c r="T35" s="2796"/>
      <c r="U35" s="2796"/>
    </row>
    <row r="36" spans="1:28">
      <c r="A36" s="3741"/>
      <c r="B36" s="3750" t="s">
        <v>1572</v>
      </c>
      <c r="C36" s="3751"/>
      <c r="D36" s="1578"/>
      <c r="E36" s="3752"/>
      <c r="F36" s="3752"/>
      <c r="G36" s="1485" t="str">
        <f>IF(B35="场地未平整","估价结果处理","")</f>
        <v/>
      </c>
      <c r="H36" s="3753"/>
      <c r="I36" s="3753"/>
      <c r="J36" s="2816"/>
      <c r="K36" s="2803"/>
      <c r="L36" s="2795"/>
      <c r="M36" s="2795"/>
      <c r="N36" s="2796"/>
      <c r="O36" s="2797"/>
      <c r="P36" s="2796"/>
      <c r="Q36" s="2796"/>
      <c r="R36" s="2796"/>
      <c r="S36" s="2796"/>
      <c r="T36" s="2796"/>
      <c r="U36" s="2796"/>
    </row>
    <row r="37" spans="1:28" ht="31.2">
      <c r="A37" s="3741"/>
      <c r="B37" s="3730"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41"/>
      <c r="B38" s="3731"/>
      <c r="C38" s="1472" t="s">
        <v>788</v>
      </c>
      <c r="D38" s="1577">
        <f>ROUNDDOWN(MIN(('数据-取费表'!$B$2-D37)/365,D34),1)</f>
        <v>123.3</v>
      </c>
      <c r="E38" s="1521" t="s">
        <v>789</v>
      </c>
      <c r="F38" s="2816"/>
      <c r="G38" s="2816"/>
      <c r="H38" s="2816"/>
      <c r="I38" s="2820"/>
      <c r="J38" s="2816"/>
      <c r="K38" s="2803"/>
      <c r="L38" s="2796"/>
      <c r="M38" s="2796"/>
      <c r="N38" s="2796"/>
      <c r="O38" s="2796"/>
      <c r="P38" s="2796"/>
      <c r="Q38" s="2796"/>
      <c r="R38" s="2796"/>
      <c r="S38" s="2796"/>
      <c r="T38" s="2796"/>
      <c r="U38" s="2796"/>
    </row>
    <row r="39" spans="1:28">
      <c r="A39" s="3742"/>
      <c r="B39" s="3732"/>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13" t="s">
        <v>1503</v>
      </c>
      <c r="T40" s="1525" t="str">
        <f>NUMBERSTRING(7-K40,1)&amp;"通"</f>
        <v>七通</v>
      </c>
      <c r="U40" s="2796"/>
    </row>
    <row r="41" spans="1:28">
      <c r="A41" s="1466"/>
      <c r="B41" s="3746" t="s">
        <v>1250</v>
      </c>
      <c r="C41" s="3746"/>
      <c r="D41" s="3746"/>
      <c r="E41" s="3746"/>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13"/>
      <c r="T41" s="1527" t="str">
        <f>IF(T40="一通",L41,IF(T40="二通",M41,IF(T40="三通",N41,IF(T40="四通",O41,IF(T40="五通",P41,IF(T40="六通",Q41,R41))))))</f>
        <v>、、、、、、</v>
      </c>
      <c r="U41" s="2796"/>
    </row>
    <row r="42" spans="1:28">
      <c r="A42" s="1529"/>
      <c r="B42" s="1555" t="s">
        <v>1422</v>
      </c>
      <c r="C42" s="1555" t="s">
        <v>1423</v>
      </c>
      <c r="D42" s="1555" t="s">
        <v>1424</v>
      </c>
      <c r="E42" s="3282" t="s">
        <v>2744</v>
      </c>
      <c r="F42" s="3282" t="s">
        <v>2745</v>
      </c>
      <c r="G42" s="2816"/>
      <c r="H42" s="2816"/>
      <c r="I42" s="2820"/>
      <c r="J42" s="2816"/>
      <c r="K42" s="2799"/>
      <c r="L42" s="2795"/>
      <c r="M42" s="2795"/>
      <c r="N42" s="2796"/>
      <c r="O42" s="2797"/>
      <c r="P42" s="2796"/>
      <c r="Q42" s="2796"/>
      <c r="R42" s="2796"/>
      <c r="S42" s="2796"/>
      <c r="T42" s="2796"/>
      <c r="U42" s="2796"/>
    </row>
    <row r="43" spans="1:28">
      <c r="A43" s="2767" t="s">
        <v>1235</v>
      </c>
      <c r="B43" s="1531" t="s">
        <v>853</v>
      </c>
      <c r="C43" s="1531" t="s">
        <v>853</v>
      </c>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t="s">
        <v>2843</v>
      </c>
      <c r="C44" s="1531" t="s">
        <v>2843</v>
      </c>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2165</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46.8">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hidden="1" customWidth="1"/>
    <col min="11" max="11" width="11" style="13" customWidth="1"/>
    <col min="12" max="12" width="9.44140625" style="13" hidden="1" customWidth="1"/>
    <col min="13" max="13" width="9.44140625" style="13" customWidth="1"/>
    <col min="14" max="14" width="9.44140625" style="13" hidden="1" customWidth="1"/>
    <col min="15" max="15" width="9.88671875" style="13" customWidth="1"/>
    <col min="16" max="16" width="9.77734375" style="13" hidden="1" customWidth="1"/>
    <col min="17" max="17" width="9.33203125" style="13" hidden="1" customWidth="1"/>
    <col min="18" max="18" width="9.21875" style="13" hidden="1" customWidth="1"/>
    <col min="19" max="19" width="10.88671875" style="13" hidden="1" customWidth="1"/>
    <col min="20" max="21" width="10.77734375" style="13" hidden="1" customWidth="1"/>
    <col min="22" max="22" width="10.88671875" style="13" hidden="1" customWidth="1"/>
    <col min="23" max="27" width="10.77734375" style="13" hidden="1" customWidth="1"/>
    <col min="28" max="28" width="10.88671875" style="13" hidden="1"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v>11349</v>
      </c>
      <c r="B3" s="20">
        <f>IF(C3="否",G5-AT5,G5)</f>
        <v>127591.06000000001</v>
      </c>
      <c r="C3" s="21" t="s">
        <v>3316</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v>9791.14</v>
      </c>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147891.95000000001</v>
      </c>
      <c r="H5" s="25">
        <f t="shared" ref="H5:AT5" si="0">SUM(H13:H641)</f>
        <v>118454.23</v>
      </c>
      <c r="I5" s="25">
        <f t="shared" si="0"/>
        <v>91080.39</v>
      </c>
      <c r="J5" s="25">
        <f t="shared" si="0"/>
        <v>0</v>
      </c>
      <c r="K5" s="25">
        <f t="shared" si="0"/>
        <v>16664.73</v>
      </c>
      <c r="L5" s="25">
        <f t="shared" si="0"/>
        <v>0</v>
      </c>
      <c r="M5" s="25">
        <f t="shared" si="0"/>
        <v>1052.44</v>
      </c>
      <c r="N5" s="25">
        <f t="shared" si="0"/>
        <v>0</v>
      </c>
      <c r="O5" s="25">
        <f t="shared" si="0"/>
        <v>9656.67</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9136.83</v>
      </c>
      <c r="AD5" s="25">
        <f t="shared" si="0"/>
        <v>0</v>
      </c>
      <c r="AE5" s="25">
        <f t="shared" si="0"/>
        <v>0</v>
      </c>
      <c r="AF5" s="25">
        <f t="shared" si="0"/>
        <v>0</v>
      </c>
      <c r="AG5" s="25">
        <f t="shared" si="0"/>
        <v>0</v>
      </c>
      <c r="AH5" s="25">
        <f t="shared" si="0"/>
        <v>0</v>
      </c>
      <c r="AI5" s="25">
        <f t="shared" si="0"/>
        <v>0</v>
      </c>
      <c r="AJ5" s="25">
        <f t="shared" si="0"/>
        <v>0</v>
      </c>
      <c r="AK5" s="25">
        <f t="shared" si="0"/>
        <v>0</v>
      </c>
      <c r="AL5" s="25">
        <f t="shared" si="0"/>
        <v>2216.6999999999998</v>
      </c>
      <c r="AM5" s="25">
        <f t="shared" si="0"/>
        <v>0</v>
      </c>
      <c r="AN5" s="25">
        <f t="shared" si="0"/>
        <v>6920.13</v>
      </c>
      <c r="AO5" s="25">
        <f t="shared" si="0"/>
        <v>0</v>
      </c>
      <c r="AP5" s="25">
        <f t="shared" si="0"/>
        <v>0</v>
      </c>
      <c r="AQ5" s="25">
        <f t="shared" si="0"/>
        <v>0</v>
      </c>
      <c r="AR5" s="25">
        <f t="shared" si="0"/>
        <v>0</v>
      </c>
      <c r="AS5" s="25">
        <f t="shared" si="0"/>
        <v>0</v>
      </c>
      <c r="AT5" s="25">
        <f t="shared" si="0"/>
        <v>20300.89</v>
      </c>
      <c r="AU5" s="950"/>
      <c r="AV5" s="24" t="s">
        <v>134</v>
      </c>
      <c r="AW5" s="951"/>
      <c r="AX5" s="951"/>
      <c r="AY5" s="26" t="s">
        <v>2</v>
      </c>
      <c r="AZ5" s="27">
        <f t="shared" ref="AZ5:BT5" si="1">SUM(AZ13:AZ641)</f>
        <v>127591.06</v>
      </c>
      <c r="BA5" s="27">
        <f t="shared" si="1"/>
        <v>118454.23</v>
      </c>
      <c r="BB5" s="27">
        <f t="shared" si="1"/>
        <v>91080.39</v>
      </c>
      <c r="BC5" s="27">
        <f t="shared" si="1"/>
        <v>16664.73</v>
      </c>
      <c r="BD5" s="27">
        <f t="shared" si="1"/>
        <v>1052.44</v>
      </c>
      <c r="BE5" s="27">
        <f t="shared" si="1"/>
        <v>9656.67</v>
      </c>
      <c r="BF5" s="27">
        <f t="shared" si="1"/>
        <v>0</v>
      </c>
      <c r="BG5" s="27">
        <f t="shared" si="1"/>
        <v>0</v>
      </c>
      <c r="BH5" s="27">
        <f t="shared" si="1"/>
        <v>0</v>
      </c>
      <c r="BI5" s="27">
        <f t="shared" si="1"/>
        <v>0</v>
      </c>
      <c r="BJ5" s="27">
        <f t="shared" si="1"/>
        <v>0</v>
      </c>
      <c r="BK5" s="27">
        <f t="shared" si="1"/>
        <v>0</v>
      </c>
      <c r="BL5" s="27">
        <f t="shared" si="1"/>
        <v>9136.83</v>
      </c>
      <c r="BM5" s="27">
        <f t="shared" si="1"/>
        <v>0</v>
      </c>
      <c r="BN5" s="27">
        <f t="shared" si="1"/>
        <v>0</v>
      </c>
      <c r="BO5" s="27">
        <f t="shared" si="1"/>
        <v>0</v>
      </c>
      <c r="BP5" s="27">
        <f t="shared" si="1"/>
        <v>0</v>
      </c>
      <c r="BQ5" s="27">
        <f t="shared" si="1"/>
        <v>2216.6999999999998</v>
      </c>
      <c r="BR5" s="27">
        <f t="shared" si="1"/>
        <v>6920.13</v>
      </c>
      <c r="BS5" s="27">
        <f t="shared" si="1"/>
        <v>0</v>
      </c>
      <c r="BT5" s="28">
        <f t="shared" si="1"/>
        <v>0</v>
      </c>
    </row>
    <row r="6" spans="1:72" s="35" customFormat="1" ht="13.2">
      <c r="A6" s="24" t="s">
        <v>135</v>
      </c>
      <c r="B6" s="29"/>
      <c r="C6" s="29"/>
      <c r="D6" s="30"/>
      <c r="E6" s="25">
        <f>H6+AC6+AT6</f>
        <v>11348.990000000002</v>
      </c>
      <c r="F6" s="25" t="s">
        <v>0</v>
      </c>
      <c r="G6" s="25" t="s">
        <v>1</v>
      </c>
      <c r="H6" s="31">
        <f>SUMIF(I$12:AB$12,"总值",I6:AB6)</f>
        <v>10536.29</v>
      </c>
      <c r="I6" s="25">
        <f t="shared" ref="I6:AB6" si="2">ROUND($A$3*I5/$B$3,2)</f>
        <v>8101.44</v>
      </c>
      <c r="J6" s="25">
        <f t="shared" si="2"/>
        <v>0</v>
      </c>
      <c r="K6" s="25">
        <f t="shared" si="2"/>
        <v>1482.3</v>
      </c>
      <c r="L6" s="25">
        <f t="shared" si="2"/>
        <v>0</v>
      </c>
      <c r="M6" s="25">
        <f t="shared" si="2"/>
        <v>93.61</v>
      </c>
      <c r="N6" s="25">
        <f t="shared" si="2"/>
        <v>0</v>
      </c>
      <c r="O6" s="25">
        <f t="shared" si="2"/>
        <v>858.94</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812.69999999999993</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197.17</v>
      </c>
      <c r="AM6" s="25">
        <f t="shared" si="3"/>
        <v>0</v>
      </c>
      <c r="AN6" s="25">
        <f t="shared" si="3"/>
        <v>615.53</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9791.14</v>
      </c>
      <c r="AZ6" s="25" t="s">
        <v>2</v>
      </c>
      <c r="BA6" s="25">
        <f>ROUND($AY$6*BA5/$AZ$5,2)</f>
        <v>9089.99</v>
      </c>
      <c r="BB6" s="25">
        <f>ROUND($AY$6*BB5/$AZ$5,2)</f>
        <v>6989.37</v>
      </c>
      <c r="BC6" s="25">
        <f t="shared" ref="BC6:BH6" si="4">ROUND($AY$6*BC5/$AZ$5,2)</f>
        <v>1278.83</v>
      </c>
      <c r="BD6" s="25">
        <f t="shared" si="4"/>
        <v>80.760000000000005</v>
      </c>
      <c r="BE6" s="25">
        <f t="shared" si="4"/>
        <v>741.04</v>
      </c>
      <c r="BF6" s="25">
        <f t="shared" si="4"/>
        <v>0</v>
      </c>
      <c r="BG6" s="25">
        <f t="shared" si="4"/>
        <v>0</v>
      </c>
      <c r="BH6" s="25">
        <f t="shared" si="4"/>
        <v>0</v>
      </c>
      <c r="BI6" s="25">
        <f t="shared" ref="BI6:BT6" si="5">ROUND($AY$6*BI5/$AZ$5,2)</f>
        <v>0</v>
      </c>
      <c r="BJ6" s="25">
        <f t="shared" si="5"/>
        <v>0</v>
      </c>
      <c r="BK6" s="25">
        <f t="shared" si="5"/>
        <v>0</v>
      </c>
      <c r="BL6" s="25">
        <f t="shared" si="5"/>
        <v>701.15</v>
      </c>
      <c r="BM6" s="25">
        <f t="shared" si="5"/>
        <v>0</v>
      </c>
      <c r="BN6" s="25">
        <f t="shared" si="5"/>
        <v>0</v>
      </c>
      <c r="BO6" s="25">
        <f t="shared" si="5"/>
        <v>0</v>
      </c>
      <c r="BP6" s="25">
        <f t="shared" si="5"/>
        <v>0</v>
      </c>
      <c r="BQ6" s="25">
        <f t="shared" si="5"/>
        <v>170.11</v>
      </c>
      <c r="BR6" s="25">
        <f t="shared" si="5"/>
        <v>531.04</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1" t="s">
        <v>3313</v>
      </c>
      <c r="J9" s="49"/>
      <c r="K9" s="2491" t="s">
        <v>3313</v>
      </c>
      <c r="L9" s="49"/>
      <c r="M9" s="2491" t="s">
        <v>3314</v>
      </c>
      <c r="N9" s="49"/>
      <c r="O9" s="57" t="s">
        <v>3314</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1" t="s">
        <v>1212</v>
      </c>
      <c r="J10" s="49"/>
      <c r="K10" s="2493" t="s">
        <v>2740</v>
      </c>
      <c r="L10" s="49"/>
      <c r="M10" s="2493" t="s">
        <v>2740</v>
      </c>
      <c r="N10" s="49"/>
      <c r="O10" s="64" t="s">
        <v>3315</v>
      </c>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t="str">
        <f>M9</f>
        <v>地下</v>
      </c>
      <c r="BE10" s="67" t="str">
        <f>O9</f>
        <v>地下</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办公</v>
      </c>
      <c r="BC11" s="48" t="str">
        <f>K10</f>
        <v>商业</v>
      </c>
      <c r="BD11" s="48" t="str">
        <f>M10</f>
        <v>商业</v>
      </c>
      <c r="BE11" s="48" t="str">
        <f>O10</f>
        <v>车库—办公</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7"/>
      <c r="B13" s="2487"/>
      <c r="C13" s="2487"/>
      <c r="D13" s="2488" t="s">
        <v>3312</v>
      </c>
      <c r="E13" s="25">
        <f t="shared" ref="E13:E20" si="6">IF($C$3="是",ROUND($A$3*G13/$B$3,2),ROUND($A$3*(G13-AT13)/$B$3,2))</f>
        <v>11349</v>
      </c>
      <c r="F13" s="78"/>
      <c r="G13" s="79">
        <f t="shared" ref="G13:G20" si="7">H13+AC13+AT13</f>
        <v>147891.95000000001</v>
      </c>
      <c r="H13" s="31">
        <f t="shared" ref="H13:H20" si="8">SUMIF(I$12:AB$12,"总值",I13:AB13)</f>
        <v>118454.23</v>
      </c>
      <c r="I13" s="2490">
        <v>91080.39</v>
      </c>
      <c r="J13" s="2490"/>
      <c r="K13" s="2490">
        <v>16664.73</v>
      </c>
      <c r="L13" s="2490"/>
      <c r="M13" s="2490">
        <v>1052.44</v>
      </c>
      <c r="N13" s="80"/>
      <c r="O13" s="80">
        <v>9656.67</v>
      </c>
      <c r="P13" s="80"/>
      <c r="Q13" s="80"/>
      <c r="R13" s="80"/>
      <c r="S13" s="80"/>
      <c r="T13" s="80"/>
      <c r="U13" s="80"/>
      <c r="V13" s="80"/>
      <c r="W13" s="80"/>
      <c r="X13" s="80"/>
      <c r="Y13" s="80"/>
      <c r="Z13" s="80"/>
      <c r="AA13" s="80"/>
      <c r="AB13" s="80"/>
      <c r="AC13" s="25">
        <f t="shared" ref="AC13:AC20" si="9">SUMIF(AD$12:AS$12,"总值",AD13:AS13)</f>
        <v>9136.83</v>
      </c>
      <c r="AD13" s="2494"/>
      <c r="AE13" s="2494"/>
      <c r="AF13" s="2494"/>
      <c r="AG13" s="2494"/>
      <c r="AH13" s="2494"/>
      <c r="AI13" s="2494"/>
      <c r="AJ13" s="2494"/>
      <c r="AK13" s="2494"/>
      <c r="AL13" s="2494">
        <v>2216.6999999999998</v>
      </c>
      <c r="AM13" s="2494"/>
      <c r="AN13" s="2494">
        <v>6920.13</v>
      </c>
      <c r="AO13" s="2494"/>
      <c r="AP13" s="2494"/>
      <c r="AQ13" s="2494"/>
      <c r="AR13" s="2494"/>
      <c r="AS13" s="2494"/>
      <c r="AT13" s="2495">
        <v>20300.89</v>
      </c>
      <c r="AU13" s="2496"/>
      <c r="AV13" s="15">
        <f t="shared" ref="AV13:AX20" si="10">A13</f>
        <v>0</v>
      </c>
      <c r="AW13" s="15">
        <f t="shared" si="10"/>
        <v>0</v>
      </c>
      <c r="AX13" s="15">
        <f t="shared" si="10"/>
        <v>0</v>
      </c>
      <c r="AY13" s="958">
        <f t="shared" ref="AY13:AY20" si="11">ROUND($AY$6*AZ13/$AZ$5,2)</f>
        <v>9791.14</v>
      </c>
      <c r="AZ13" s="25">
        <f t="shared" ref="AZ13:AZ20" si="12">BA13+BL13</f>
        <v>127591.06</v>
      </c>
      <c r="BA13" s="25">
        <f t="shared" ref="BA13:BA20" si="13">SUM(BB13:BK13)</f>
        <v>118454.23</v>
      </c>
      <c r="BB13" s="25">
        <f t="shared" ref="BB13:BB20" si="14">IF($D13="是",I13-J13,0)</f>
        <v>91080.39</v>
      </c>
      <c r="BC13" s="25">
        <f t="shared" ref="BC13:BC20" si="15">IF($D13="是",K13-L13,0)</f>
        <v>16664.73</v>
      </c>
      <c r="BD13" s="25">
        <f t="shared" ref="BD13:BD20" si="16">IF($D13="是",M13-N13,0)</f>
        <v>1052.44</v>
      </c>
      <c r="BE13" s="25">
        <f t="shared" ref="BE13:BE20" si="17">IF($D13="是",O13-P13,0)</f>
        <v>9656.67</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9136.83</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2216.6999999999998</v>
      </c>
      <c r="BR13" s="25">
        <f t="shared" ref="BR13:BR20" si="30">IF($D13="是",AN13-AO13,0)</f>
        <v>6920.13</v>
      </c>
      <c r="BS13" s="25">
        <f t="shared" ref="BS13:BS20" si="31">IF($D13="是",AP13-AQ13,0)</f>
        <v>0</v>
      </c>
      <c r="BT13" s="34">
        <f t="shared" ref="BT13:BT20" si="32">IF($D13="是",AR13-AS13,0)</f>
        <v>0</v>
      </c>
    </row>
    <row r="14" spans="1:72" s="16" customFormat="1" ht="13.2">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44" sqref="I44"/>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3763" t="s">
        <v>169</v>
      </c>
      <c r="B2" s="3763"/>
      <c r="C2" s="3763"/>
      <c r="D2" s="1729" t="s">
        <v>170</v>
      </c>
      <c r="E2" s="102" t="s">
        <v>171</v>
      </c>
      <c r="F2" s="2825"/>
      <c r="G2" s="1096"/>
      <c r="H2" s="1097"/>
      <c r="I2" s="1098" t="s">
        <v>795</v>
      </c>
      <c r="J2" s="2825"/>
      <c r="K2" s="2825"/>
      <c r="L2" s="2825"/>
      <c r="M2" s="2825"/>
      <c r="N2" s="2825"/>
      <c r="O2" s="2825"/>
      <c r="P2" s="2825"/>
    </row>
    <row r="3" spans="1:16" ht="15" thickBot="1">
      <c r="A3" s="3764" t="s">
        <v>172</v>
      </c>
      <c r="B3" s="3764"/>
      <c r="C3" s="3764"/>
      <c r="D3" s="103">
        <f>'数据-基础表'!AY6</f>
        <v>9791.14</v>
      </c>
      <c r="E3" s="103">
        <f>'数据-基础表'!AZ5</f>
        <v>127591.06</v>
      </c>
      <c r="F3" s="2825"/>
      <c r="G3" s="271" t="s">
        <v>796</v>
      </c>
      <c r="H3" s="266" t="s">
        <v>797</v>
      </c>
      <c r="I3" s="1730">
        <f>ROUND('数据-基础表'!B3/'数据-基础表'!A3,2)</f>
        <v>11.24</v>
      </c>
      <c r="J3" s="2825"/>
      <c r="K3" s="2825"/>
      <c r="L3" s="2825"/>
      <c r="M3" s="2825"/>
      <c r="N3" s="2825"/>
      <c r="O3" s="2825"/>
      <c r="P3" s="2825"/>
    </row>
    <row r="4" spans="1:16" ht="14.4">
      <c r="A4" s="3765"/>
      <c r="B4" s="3766"/>
      <c r="C4" s="3767"/>
      <c r="D4" s="104" t="s">
        <v>170</v>
      </c>
      <c r="E4" s="105" t="s">
        <v>171</v>
      </c>
      <c r="F4" s="2825"/>
      <c r="G4" s="1099"/>
      <c r="H4" s="266" t="s">
        <v>798</v>
      </c>
      <c r="I4" s="1730">
        <f>ROUND(SUMIF('数据-基础表'!I9:AS9,"地上",'数据-基础表'!I5:AS5)/'数据-基础表'!A3,2)</f>
        <v>9.69</v>
      </c>
      <c r="J4" s="2825"/>
      <c r="K4" s="2825"/>
      <c r="L4" s="2825"/>
      <c r="M4" s="2825"/>
      <c r="N4" s="2825"/>
      <c r="O4" s="2825"/>
      <c r="P4" s="2825"/>
    </row>
    <row r="5" spans="1:16" ht="14.4">
      <c r="A5" s="106" t="s">
        <v>173</v>
      </c>
      <c r="B5" s="3768" t="s">
        <v>196</v>
      </c>
      <c r="C5" s="3768"/>
      <c r="D5" s="107">
        <f>ROUND($D$3*E5/$E$3,2)</f>
        <v>0</v>
      </c>
      <c r="E5" s="108">
        <f>SUMIF('数据-基础表'!$11:$11,"住宅",'数据-基础表'!$5:$5)</f>
        <v>0</v>
      </c>
      <c r="F5" s="2825"/>
      <c r="G5" s="271" t="s">
        <v>799</v>
      </c>
      <c r="H5" s="266" t="s">
        <v>797</v>
      </c>
      <c r="I5" s="1730">
        <f>ROUND(E31/D31,2)</f>
        <v>13.03</v>
      </c>
      <c r="J5" s="2825"/>
      <c r="K5" s="2825"/>
      <c r="L5" s="2825"/>
      <c r="M5" s="2825"/>
      <c r="N5" s="2825"/>
      <c r="O5" s="2825"/>
      <c r="P5" s="2825"/>
    </row>
    <row r="6" spans="1:16" ht="15" thickBot="1">
      <c r="A6" s="109"/>
      <c r="B6" s="3768" t="s">
        <v>174</v>
      </c>
      <c r="C6" s="3768"/>
      <c r="D6" s="107">
        <f>ROUND($D$3*E6/$E$3,2)</f>
        <v>9791.14</v>
      </c>
      <c r="E6" s="108">
        <f>E3-E5</f>
        <v>127591.06</v>
      </c>
      <c r="F6" s="2825"/>
      <c r="G6" s="1099"/>
      <c r="H6" s="266" t="s">
        <v>798</v>
      </c>
      <c r="I6" s="1730">
        <f>ROUND(F31/D31,2)</f>
        <v>11.23</v>
      </c>
      <c r="J6" s="2825"/>
      <c r="K6" s="2825"/>
      <c r="L6" s="2825"/>
      <c r="M6" s="2825"/>
      <c r="N6" s="2825"/>
      <c r="O6" s="2825"/>
      <c r="P6" s="2825"/>
    </row>
    <row r="7" spans="1:16" ht="14.4">
      <c r="A7" s="3760"/>
      <c r="B7" s="3761"/>
      <c r="C7" s="3762"/>
      <c r="D7" s="104" t="s">
        <v>170</v>
      </c>
      <c r="E7" s="110" t="s">
        <v>197</v>
      </c>
      <c r="F7" s="2825"/>
      <c r="G7" s="1055" t="s">
        <v>1180</v>
      </c>
      <c r="H7" s="1056"/>
      <c r="I7" s="1631"/>
      <c r="J7" s="2825"/>
      <c r="K7" s="2825"/>
      <c r="L7" s="2825"/>
      <c r="M7" s="2825"/>
      <c r="N7" s="2825"/>
      <c r="O7" s="2825"/>
      <c r="P7" s="2825"/>
    </row>
    <row r="8" spans="1:16" ht="14.4">
      <c r="A8" s="106" t="s">
        <v>175</v>
      </c>
      <c r="B8" s="111" t="s">
        <v>176</v>
      </c>
      <c r="C8" s="107" t="s">
        <v>177</v>
      </c>
      <c r="D8" s="107">
        <f t="shared" ref="D8:D15" si="0">ROUND($D$3*E8/$E$3,2)</f>
        <v>8268.19</v>
      </c>
      <c r="E8" s="112">
        <f>SUMIF('数据-基础表'!BB10:BK10,"地上",'数据-基础表'!BB5:BK5)</f>
        <v>107745.12</v>
      </c>
      <c r="F8" s="2825"/>
      <c r="G8" s="2826"/>
      <c r="H8" s="2826"/>
      <c r="I8" s="2825"/>
      <c r="J8" s="2825"/>
      <c r="K8" s="2825"/>
      <c r="L8" s="2825"/>
      <c r="M8" s="2825"/>
      <c r="N8" s="2825"/>
      <c r="O8" s="2825"/>
      <c r="P8" s="2825"/>
    </row>
    <row r="9" spans="1:16" ht="14.4">
      <c r="A9" s="113"/>
      <c r="B9" s="114"/>
      <c r="C9" s="107" t="s">
        <v>178</v>
      </c>
      <c r="D9" s="107">
        <f t="shared" si="0"/>
        <v>0</v>
      </c>
      <c r="E9" s="115">
        <v>0</v>
      </c>
      <c r="F9" s="2825"/>
      <c r="G9" s="2826"/>
      <c r="H9" s="2826"/>
      <c r="I9" s="2825"/>
      <c r="J9" s="2825"/>
      <c r="K9" s="2825"/>
      <c r="L9" s="2825"/>
      <c r="M9" s="2825"/>
      <c r="N9" s="2825"/>
      <c r="O9" s="2825"/>
      <c r="P9" s="2825"/>
    </row>
    <row r="10" spans="1:16" ht="14.4">
      <c r="A10" s="113"/>
      <c r="B10" s="114"/>
      <c r="C10" s="107" t="s">
        <v>179</v>
      </c>
      <c r="D10" s="107">
        <f t="shared" si="0"/>
        <v>80.760000000000005</v>
      </c>
      <c r="E10" s="112">
        <f>SUMPRODUCT(('数据-基础表'!BB10:BK10="地下")*('数据-基础表'!BB11:BK11="商业")*('数据-基础表'!BB5:BK5))</f>
        <v>1052.44</v>
      </c>
      <c r="F10" s="2825"/>
      <c r="G10" s="2826"/>
      <c r="H10" s="2826"/>
      <c r="I10" s="2825"/>
      <c r="J10" s="2825"/>
      <c r="K10" s="2825"/>
      <c r="L10" s="2825"/>
      <c r="M10" s="2825"/>
      <c r="N10" s="2825"/>
      <c r="O10" s="2825"/>
      <c r="P10" s="2825"/>
    </row>
    <row r="11" spans="1:16" ht="14.4">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ht="14.4">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ht="14.4">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ht="14.4">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741.04</v>
      </c>
      <c r="E15" s="112">
        <f>SUMPRODUCT(('数据-基础表'!BB10:BK10="地下")*('数据-基础表'!BB11:BK11="车库—办公")*('数据-基础表'!BB5:BK5))</f>
        <v>9656.67</v>
      </c>
      <c r="F15" s="2825"/>
      <c r="G15" s="2826"/>
      <c r="H15" s="2826"/>
      <c r="I15" s="2825"/>
      <c r="J15" s="2825"/>
      <c r="K15" s="2825"/>
      <c r="L15" s="2825"/>
      <c r="M15" s="2825"/>
      <c r="N15" s="2825"/>
      <c r="O15" s="2825"/>
      <c r="P15" s="2825"/>
    </row>
    <row r="16" spans="1:16" ht="15" thickBot="1">
      <c r="A16" s="109"/>
      <c r="B16" s="114"/>
      <c r="C16" s="111" t="s">
        <v>181</v>
      </c>
      <c r="D16" s="111">
        <f>SUM(D8:D15)</f>
        <v>9089.9900000000016</v>
      </c>
      <c r="E16" s="116">
        <f>SUM(E8:E15)</f>
        <v>118454.23</v>
      </c>
      <c r="F16" s="2825"/>
      <c r="G16" s="2826"/>
      <c r="H16" s="930" t="s">
        <v>185</v>
      </c>
      <c r="I16" s="931"/>
      <c r="J16" s="1738"/>
      <c r="K16" s="3754" t="s">
        <v>1849</v>
      </c>
      <c r="L16" s="3755"/>
      <c r="M16" s="3755"/>
      <c r="N16" s="3755"/>
      <c r="O16" s="3755"/>
      <c r="P16" s="3756"/>
    </row>
    <row r="17" spans="1:19" ht="14.4">
      <c r="A17" s="117" t="s">
        <v>182</v>
      </c>
      <c r="B17" s="118" t="s">
        <v>183</v>
      </c>
      <c r="C17" s="2016" t="s">
        <v>1670</v>
      </c>
      <c r="D17" s="104" t="s">
        <v>170</v>
      </c>
      <c r="E17" s="120" t="s">
        <v>171</v>
      </c>
      <c r="F17" s="121"/>
      <c r="G17" s="1225"/>
      <c r="H17" s="932" t="s">
        <v>184</v>
      </c>
      <c r="I17" s="933" t="s">
        <v>1669</v>
      </c>
      <c r="J17" s="1738"/>
      <c r="K17" s="3757" t="s">
        <v>1850</v>
      </c>
      <c r="L17" s="3758"/>
      <c r="M17" s="3759"/>
      <c r="N17" s="3757" t="s">
        <v>1851</v>
      </c>
      <c r="O17" s="3758"/>
      <c r="P17" s="3759"/>
      <c r="R17" s="2017" t="s">
        <v>1668</v>
      </c>
      <c r="S17" s="137"/>
    </row>
    <row r="18" spans="1:19" ht="14.4">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ht="14.4">
      <c r="A19" s="129"/>
      <c r="B19" s="111" t="s">
        <v>191</v>
      </c>
      <c r="C19" s="2497" t="s">
        <v>3317</v>
      </c>
      <c r="D19" s="107">
        <f t="shared" ref="D19:D26" si="1">ROUND($D$3*E19/$E$3,2)</f>
        <v>6989.37</v>
      </c>
      <c r="E19" s="130">
        <f t="shared" ref="E19:E26" si="2">SUM(F19:G19)</f>
        <v>91080.39</v>
      </c>
      <c r="F19" s="2827">
        <f>'数据-基础表'!I13</f>
        <v>91080.39</v>
      </c>
      <c r="G19" s="2828"/>
      <c r="H19" s="936">
        <f>ROUND($D$3*I19/$E$3,2)</f>
        <v>539.12</v>
      </c>
      <c r="I19" s="112">
        <f>IF($I$17="自定义",P19,M19)</f>
        <v>7025.38</v>
      </c>
      <c r="J19" s="1738"/>
      <c r="K19" s="2215">
        <f t="shared" ref="K19:K26" si="3">ROUND(E$28*E19/E$27,2)</f>
        <v>7025.38</v>
      </c>
      <c r="L19" s="266">
        <f t="shared" ref="L19:L26" si="4">ROUND(IF(COUNTIF(C19,"*住宅*")&gt;0,E$29*E19/E$32,0),2)</f>
        <v>0</v>
      </c>
      <c r="M19" s="2216">
        <f>K19+L19</f>
        <v>7025.38</v>
      </c>
      <c r="N19" s="2217"/>
      <c r="O19" s="2218"/>
      <c r="P19" s="2219">
        <f>N19+O19</f>
        <v>0</v>
      </c>
      <c r="R19" s="266">
        <f t="shared" ref="R19:S26" si="5">D19+H19</f>
        <v>7528.49</v>
      </c>
      <c r="S19" s="2019">
        <f t="shared" si="5"/>
        <v>98105.77</v>
      </c>
    </row>
    <row r="20" spans="1:19" ht="14.4">
      <c r="A20" s="133"/>
      <c r="B20" s="111" t="s">
        <v>192</v>
      </c>
      <c r="C20" s="2497" t="s">
        <v>3318</v>
      </c>
      <c r="D20" s="107">
        <f t="shared" si="1"/>
        <v>1359.59</v>
      </c>
      <c r="E20" s="130">
        <f t="shared" si="2"/>
        <v>17717.169999999998</v>
      </c>
      <c r="F20" s="2827">
        <f>'数据-基础表'!K13</f>
        <v>16664.73</v>
      </c>
      <c r="G20" s="2828">
        <f>'数据-基础表'!M13</f>
        <v>1052.44</v>
      </c>
      <c r="H20" s="936">
        <f t="shared" ref="H20:H26" si="6">ROUND($D$3*I20/$E$3,2)</f>
        <v>104.87</v>
      </c>
      <c r="I20" s="112">
        <f t="shared" ref="I20:I26" si="7">IF($I$17="自定义",P20,M20)</f>
        <v>1366.59</v>
      </c>
      <c r="J20" s="1738"/>
      <c r="K20" s="2215">
        <f t="shared" si="3"/>
        <v>1366.59</v>
      </c>
      <c r="L20" s="266">
        <f t="shared" si="4"/>
        <v>0</v>
      </c>
      <c r="M20" s="2216">
        <f t="shared" ref="M20:M26" si="8">K20+L20</f>
        <v>1366.59</v>
      </c>
      <c r="N20" s="2217"/>
      <c r="O20" s="2218"/>
      <c r="P20" s="2219">
        <f t="shared" ref="P20:P26" si="9">N20+O20</f>
        <v>0</v>
      </c>
      <c r="R20" s="266">
        <f t="shared" si="5"/>
        <v>1464.46</v>
      </c>
      <c r="S20" s="2019">
        <f t="shared" si="5"/>
        <v>19083.759999999998</v>
      </c>
    </row>
    <row r="21" spans="1:19" ht="14.4">
      <c r="A21" s="133"/>
      <c r="B21" s="111" t="s">
        <v>192</v>
      </c>
      <c r="C21" s="2497" t="s">
        <v>3319</v>
      </c>
      <c r="D21" s="107">
        <f t="shared" si="1"/>
        <v>741.04</v>
      </c>
      <c r="E21" s="130">
        <f t="shared" si="2"/>
        <v>9656.67</v>
      </c>
      <c r="F21" s="2827"/>
      <c r="G21" s="2828">
        <f>'数据-基础表'!O13</f>
        <v>9656.67</v>
      </c>
      <c r="H21" s="936">
        <f t="shared" si="6"/>
        <v>57.16</v>
      </c>
      <c r="I21" s="112">
        <f t="shared" si="7"/>
        <v>744.86</v>
      </c>
      <c r="J21" s="1738"/>
      <c r="K21" s="2215">
        <f t="shared" si="3"/>
        <v>744.86</v>
      </c>
      <c r="L21" s="266">
        <f t="shared" si="4"/>
        <v>0</v>
      </c>
      <c r="M21" s="2216">
        <f t="shared" si="8"/>
        <v>744.86</v>
      </c>
      <c r="N21" s="2217"/>
      <c r="O21" s="2218"/>
      <c r="P21" s="2219">
        <f t="shared" si="9"/>
        <v>0</v>
      </c>
      <c r="R21" s="266">
        <f t="shared" si="5"/>
        <v>798.19999999999993</v>
      </c>
      <c r="S21" s="2019">
        <f t="shared" si="5"/>
        <v>10401.530000000001</v>
      </c>
    </row>
    <row r="22" spans="1:19" ht="14.4">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ht="14.4">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ht="14.4">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ht="14.4">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ht="14.4">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28.2" thickBot="1">
      <c r="A27" s="133"/>
      <c r="B27" s="107"/>
      <c r="C27" s="123" t="s">
        <v>181</v>
      </c>
      <c r="D27" s="130">
        <f>SUM(D19:D26)</f>
        <v>9090</v>
      </c>
      <c r="E27" s="136">
        <f>IF(SUM(E19:E26)='数据-基础表'!BA5,SUM(E19:E26),IF(F27="地上面积有误","面积有误","地下面积有误"))</f>
        <v>118454.23</v>
      </c>
      <c r="F27" s="130">
        <f>IF(SUM(F19:F26)=E8,SUM(F19:F26),"地上面积有误")</f>
        <v>107745.12</v>
      </c>
      <c r="G27" s="108">
        <f>SUM(G19:G26)</f>
        <v>10709.11</v>
      </c>
      <c r="H27" s="937">
        <f>SUM(H19:H26)</f>
        <v>701.15</v>
      </c>
      <c r="I27" s="938">
        <f>SUM(I19:I26)</f>
        <v>9136.83</v>
      </c>
      <c r="J27" s="1738"/>
      <c r="K27" s="2224">
        <f t="shared" ref="K27:P27" si="10">SUM(K19:K26)</f>
        <v>9136.83</v>
      </c>
      <c r="L27" s="2225">
        <f t="shared" si="10"/>
        <v>0</v>
      </c>
      <c r="M27" s="2226">
        <f t="shared" si="10"/>
        <v>9136.83</v>
      </c>
      <c r="N27" s="2224">
        <f t="shared" si="10"/>
        <v>0</v>
      </c>
      <c r="O27" s="2225">
        <f t="shared" si="10"/>
        <v>0</v>
      </c>
      <c r="P27" s="2227">
        <f t="shared" si="10"/>
        <v>0</v>
      </c>
      <c r="R27" s="2023" t="str">
        <f>IF(SUM(R19:R26)=$D$3,SUM(R19:R26),SUM(R19:R26)&amp;"误差"&amp;ROUND(SUM(R19:R26)-$D$3,2))</f>
        <v>9791.15误差0.01</v>
      </c>
      <c r="S27" s="266">
        <f>IF(SUM(S19:S26)=$E$3,SUM(S19:S26),SUM(S19:S26)&amp;"误差"&amp;ROUND(SUM(S19:S26)-E3,2))</f>
        <v>127591.06</v>
      </c>
    </row>
    <row r="28" spans="1:19" ht="14.4">
      <c r="A28" s="133"/>
      <c r="B28" s="111" t="s">
        <v>193</v>
      </c>
      <c r="C28" s="131" t="s">
        <v>194</v>
      </c>
      <c r="D28" s="107">
        <f>ROUND($D$3*E28/$E$3,2)</f>
        <v>701.15</v>
      </c>
      <c r="E28" s="130">
        <f>SUM(F28:G28)</f>
        <v>9136.83</v>
      </c>
      <c r="F28" s="137">
        <f>'数据-基础表'!BQ5+'数据-基础表'!BS5</f>
        <v>2216.6999999999998</v>
      </c>
      <c r="G28" s="138">
        <f>'数据-基础表'!BR5+'数据-基础表'!BT5</f>
        <v>6920.13</v>
      </c>
      <c r="H28" s="2825"/>
      <c r="I28" s="2825"/>
      <c r="J28" s="2825"/>
      <c r="K28" s="2825"/>
      <c r="L28" s="2825"/>
      <c r="M28" s="2825"/>
      <c r="N28" s="2825"/>
      <c r="O28" s="2825"/>
      <c r="P28" s="2825"/>
    </row>
    <row r="29" spans="1:19" ht="14.4">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ht="14.4">
      <c r="A30" s="133"/>
      <c r="B30" s="107"/>
      <c r="C30" s="140" t="s">
        <v>181</v>
      </c>
      <c r="D30" s="130">
        <f>SUM(D28:D29)</f>
        <v>701.15</v>
      </c>
      <c r="E30" s="130">
        <f>SUM(E28:E29)</f>
        <v>9136.83</v>
      </c>
      <c r="F30" s="130">
        <f>SUM(F28:F29)</f>
        <v>2216.6999999999998</v>
      </c>
      <c r="G30" s="108">
        <f>SUM(G28:G29)</f>
        <v>6920.13</v>
      </c>
      <c r="H30" s="2825"/>
      <c r="I30" s="2825"/>
      <c r="J30" s="2825"/>
      <c r="K30" s="2825"/>
      <c r="L30" s="2825"/>
      <c r="M30" s="2825"/>
      <c r="N30" s="2825"/>
      <c r="O30" s="2825"/>
      <c r="P30" s="2825"/>
    </row>
    <row r="31" spans="1:19" ht="32.25" customHeight="1" thickBot="1">
      <c r="A31" s="1227"/>
      <c r="B31" s="1228" t="s">
        <v>195</v>
      </c>
      <c r="C31" s="2048" t="s">
        <v>1679</v>
      </c>
      <c r="D31" s="1229">
        <f>D27+D30</f>
        <v>9791.15</v>
      </c>
      <c r="E31" s="1229">
        <f>E27+E30</f>
        <v>127591.06</v>
      </c>
      <c r="F31" s="1230">
        <f>F27+F30</f>
        <v>109961.81999999999</v>
      </c>
      <c r="G31" s="1231">
        <f>G27+G30</f>
        <v>17629.240000000002</v>
      </c>
      <c r="H31" s="2825"/>
      <c r="I31" s="2825"/>
      <c r="J31" s="2825"/>
      <c r="K31" s="2825"/>
      <c r="L31" s="2825"/>
      <c r="M31" s="2825"/>
      <c r="N31" s="2825"/>
      <c r="O31" s="2825"/>
      <c r="P31" s="2825"/>
    </row>
    <row r="32" spans="1:19" ht="14.4">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D31" sqref="D31"/>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4" width="7.2187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 thickBot="1">
      <c r="A2" s="142" t="s">
        <v>201</v>
      </c>
      <c r="B2" s="2056">
        <f>项目基本情况!D3</f>
        <v>45028</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7.6">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2263</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t="str">
        <f>'数据-汇总表'!C19</f>
        <v>办公</v>
      </c>
      <c r="B6" s="2055" t="str">
        <f>IF(A6=0,"","经营性")</f>
        <v>经营性</v>
      </c>
      <c r="C6" s="166" t="s">
        <v>1212</v>
      </c>
      <c r="D6" s="2026">
        <f>SUMIF(项目基本情况!C$15:I$15,C6,项目基本情况!C$18:I$18)</f>
        <v>50</v>
      </c>
      <c r="E6" s="2027">
        <f>IF(B6="","",SUMIF(项目基本情况!C$15:I$15,C6,项目基本情况!C$17:I$17))</f>
        <v>59479</v>
      </c>
      <c r="F6" s="167">
        <f>SUMIF(项目基本情况!C$15:I$15,C6,项目基本情况!C$19:I$19)</f>
        <v>39.590000000000003</v>
      </c>
      <c r="G6" s="168">
        <f t="shared" ref="G6:G13" si="0">IF(ISERROR(ROUND(POWER(1+H6,D6-F6)*(POWER(1+H6,F6)-1)/(POWER(1+H6,D6)-1),3)),0,ROUND(POWER(1+H6,D6-F6)*(POWER(1+H6,F6)-1)/(POWER(1+H6,D6)-1),3))</f>
        <v>0.93700000000000006</v>
      </c>
      <c r="H6" s="2498">
        <v>0.05</v>
      </c>
      <c r="I6" s="2498">
        <v>0.06</v>
      </c>
      <c r="J6" s="169">
        <v>8.5000000000000006E-2</v>
      </c>
      <c r="K6" s="172">
        <f>SUMIF('数据-汇总表'!C$19:C$33,'数据-取费表'!A6,'数据-汇总表'!E$19:E$33)</f>
        <v>91080.39</v>
      </c>
      <c r="L6" s="2499">
        <v>4500</v>
      </c>
      <c r="M6" s="170">
        <f t="shared" ref="M6:M14" si="1">ROUND(K6*L6/10000,0)</f>
        <v>40986</v>
      </c>
      <c r="N6" s="2500">
        <v>0</v>
      </c>
      <c r="O6" s="170">
        <f>IF($N$5="成新度","——",ROUND(M6*N6,0))</f>
        <v>0</v>
      </c>
      <c r="P6" s="171">
        <f>IF($N$5="成新度","——",M6-O6)</f>
        <v>40986</v>
      </c>
      <c r="Q6" s="2501">
        <v>0.15</v>
      </c>
      <c r="R6" s="172">
        <f>SUMIF('数据-汇总表'!C$19:C$33,A6,'数据-汇总表'!R$19:R$33)</f>
        <v>7528.49</v>
      </c>
      <c r="S6" s="128">
        <f>IF('数据-汇总表'!$I$17="按面积比例",SUMIF('数据-汇总表'!C$19:C$33,A6,'数据-汇总表'!K$19:K$33),SUMIF('数据-汇总表'!C$19:C$33,A6,'数据-汇总表'!N$19:N$33))</f>
        <v>7025.38</v>
      </c>
      <c r="T6" s="1952">
        <f>IF($T$4="按面积比例",IF(ISERROR(ROUND($M$14*S6/S$16,0)),"0",ROUND($M$14*S6/S$16,0)),"需自行计算录入")</f>
        <v>1756</v>
      </c>
      <c r="U6" s="173">
        <v>5</v>
      </c>
      <c r="V6" s="174">
        <v>1.4999999999999999E-2</v>
      </c>
      <c r="W6" s="174">
        <v>0.1</v>
      </c>
      <c r="X6" s="2039"/>
      <c r="Y6" s="175">
        <v>1</v>
      </c>
      <c r="Z6" s="176"/>
      <c r="AA6" s="169"/>
      <c r="AB6" s="169"/>
      <c r="AC6" s="2042"/>
      <c r="AD6" s="177"/>
      <c r="AE6" s="934">
        <f ca="1">IF(AN6="",0,SUMIF(INDIRECT("'"&amp;AN6&amp;"'"&amp;"!E:E"),$AE$5,INDIRECT("'"&amp;AN6&amp;"'"&amp;"!F:F")))</f>
        <v>36.590000000000003</v>
      </c>
      <c r="AF6" s="134"/>
      <c r="AG6" s="1111">
        <f>IF(AF6="",0,AE6-AF6)</f>
        <v>0</v>
      </c>
      <c r="AH6" s="134"/>
      <c r="AI6" s="180">
        <v>365</v>
      </c>
      <c r="AJ6" s="181"/>
      <c r="AK6" s="182">
        <v>0.01</v>
      </c>
      <c r="AL6" s="183">
        <v>1.5E-3</v>
      </c>
      <c r="AM6" s="2510">
        <v>1.4999999999999999E-2</v>
      </c>
      <c r="AN6" s="2083" t="s">
        <v>3331</v>
      </c>
      <c r="AO6" s="2835"/>
      <c r="AP6" s="1102">
        <f>ROUND(1-1/(1+H6)^F6,3)</f>
        <v>0.85499999999999998</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t="str">
        <f>'数据-汇总表'!C20</f>
        <v>商业</v>
      </c>
      <c r="B7" s="2055" t="str">
        <f t="shared" ref="B7:B13" si="2">IF(A7=0,"","经营性")</f>
        <v>经营性</v>
      </c>
      <c r="C7" s="166" t="s">
        <v>2740</v>
      </c>
      <c r="D7" s="2026">
        <f>SUMIF(项目基本情况!C$15:I$15,C7,项目基本情况!C$18:I$18)</f>
        <v>40</v>
      </c>
      <c r="E7" s="2027">
        <f>IF(B7="","",SUMIF(项目基本情况!C$15:I$15,C7,项目基本情况!C$17:I$17))</f>
        <v>55827</v>
      </c>
      <c r="F7" s="167">
        <f>SUMIF(项目基本情况!C$15:I$15,C7,项目基本情况!C$19:I$19)</f>
        <v>29.58</v>
      </c>
      <c r="G7" s="168">
        <f t="shared" si="0"/>
        <v>0.90100000000000002</v>
      </c>
      <c r="H7" s="2498">
        <v>5.5E-2</v>
      </c>
      <c r="I7" s="2498">
        <v>6.5000000000000002E-2</v>
      </c>
      <c r="J7" s="169">
        <v>8.5000000000000006E-2</v>
      </c>
      <c r="K7" s="172">
        <f>SUMIF('数据-汇总表'!C$19:C$33,'数据-取费表'!A7,'数据-汇总表'!E$19:E$33)</f>
        <v>17717.169999999998</v>
      </c>
      <c r="L7" s="2499">
        <v>4000</v>
      </c>
      <c r="M7" s="170">
        <f t="shared" si="1"/>
        <v>7087</v>
      </c>
      <c r="N7" s="2500">
        <v>0</v>
      </c>
      <c r="O7" s="170">
        <f t="shared" ref="O7:O14" si="3">IF($N$5="成新度","——",ROUND(M7*N7,0))</f>
        <v>0</v>
      </c>
      <c r="P7" s="171">
        <f t="shared" ref="P7:P14" si="4">IF($N$5="成新度","——",M7-O7)</f>
        <v>7087</v>
      </c>
      <c r="Q7" s="2501">
        <v>0.15</v>
      </c>
      <c r="R7" s="172">
        <f>SUMIF('数据-汇总表'!C$19:C$33,A7,'数据-汇总表'!R$19:R$33)</f>
        <v>1464.46</v>
      </c>
      <c r="S7" s="128">
        <f>IF('数据-汇总表'!$I$17="按面积比例",SUMIF('数据-汇总表'!C$19:C$33,A7,'数据-汇总表'!K$19:K$33),SUMIF('数据-汇总表'!C$19:C$33,A7,'数据-汇总表'!N$19:N$33))</f>
        <v>1366.59</v>
      </c>
      <c r="T7" s="1952">
        <f t="shared" ref="T7:T13" si="5">IF($T$4="按面积比例",IF(ISERROR(ROUND($M$14*S7/S$16,0)),"0",ROUND($M$14*S7/S$16,0)),"需自行计算录入")</f>
        <v>342</v>
      </c>
      <c r="U7" s="173">
        <v>5.7</v>
      </c>
      <c r="V7" s="174">
        <v>1.4999999999999999E-2</v>
      </c>
      <c r="W7" s="174">
        <v>0.1</v>
      </c>
      <c r="X7" s="2039"/>
      <c r="Y7" s="175">
        <v>1</v>
      </c>
      <c r="Z7" s="176"/>
      <c r="AA7" s="169"/>
      <c r="AB7" s="169"/>
      <c r="AC7" s="2042"/>
      <c r="AD7" s="177"/>
      <c r="AE7" s="934">
        <f t="shared" ref="AE7:AE13" ca="1" si="6">IF(AN7="",0,SUMIF(INDIRECT("'"&amp;AN7&amp;"'"&amp;"!E:E"),$AE$5,INDIRECT("'"&amp;AN7&amp;"'"&amp;"!F:F")))</f>
        <v>26.58</v>
      </c>
      <c r="AF7" s="134"/>
      <c r="AG7" s="1111">
        <f t="shared" ref="AG7:AG13" si="7">IF(AF7="",0,AE7-AF7)</f>
        <v>0</v>
      </c>
      <c r="AH7" s="134"/>
      <c r="AI7" s="180">
        <v>365</v>
      </c>
      <c r="AJ7" s="181"/>
      <c r="AK7" s="182">
        <v>0.01</v>
      </c>
      <c r="AL7" s="183">
        <v>1.5E-3</v>
      </c>
      <c r="AM7" s="2510">
        <v>1.4999999999999999E-2</v>
      </c>
      <c r="AN7" s="2083" t="s">
        <v>3332</v>
      </c>
      <c r="AO7" s="2835"/>
      <c r="AP7" s="1102">
        <f t="shared" ref="AP7:AP13" si="8">ROUND(1-1/(1+H7)^F7,3)</f>
        <v>0.79500000000000004</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t="str">
        <f>'数据-汇总表'!C21</f>
        <v>车库</v>
      </c>
      <c r="B8" s="2055" t="str">
        <f t="shared" si="2"/>
        <v>经营性</v>
      </c>
      <c r="C8" s="166" t="s">
        <v>2741</v>
      </c>
      <c r="D8" s="2026">
        <f>SUMIF(项目基本情况!C$15:I$15,C8,项目基本情况!C$18:I$18)</f>
        <v>50</v>
      </c>
      <c r="E8" s="2027">
        <f>IF(B8="","",SUMIF(项目基本情况!C$15:I$15,C8,项目基本情况!C$17:I$17))</f>
        <v>59479</v>
      </c>
      <c r="F8" s="167">
        <f>SUMIF(项目基本情况!C$15:I$15,C8,项目基本情况!C$19:I$19)</f>
        <v>39.590000000000003</v>
      </c>
      <c r="G8" s="168">
        <f t="shared" si="0"/>
        <v>0.92800000000000005</v>
      </c>
      <c r="H8" s="2498">
        <v>4.4999999999999998E-2</v>
      </c>
      <c r="I8" s="2498">
        <v>0.05</v>
      </c>
      <c r="J8" s="169">
        <v>8.5000000000000006E-2</v>
      </c>
      <c r="K8" s="172">
        <f>SUMIF('数据-汇总表'!C$19:C$33,'数据-取费表'!A8,'数据-汇总表'!E$19:E$33)</f>
        <v>9656.67</v>
      </c>
      <c r="L8" s="2499">
        <v>3000</v>
      </c>
      <c r="M8" s="170">
        <f>ROUND(K8*L8/10000,0)</f>
        <v>2897</v>
      </c>
      <c r="N8" s="2500">
        <v>0</v>
      </c>
      <c r="O8" s="170">
        <f t="shared" si="3"/>
        <v>0</v>
      </c>
      <c r="P8" s="171">
        <f t="shared" si="4"/>
        <v>2897</v>
      </c>
      <c r="Q8" s="2501">
        <v>0.05</v>
      </c>
      <c r="R8" s="172">
        <f>SUMIF('数据-汇总表'!C$19:C$33,A8,'数据-汇总表'!R$19:R$33)</f>
        <v>798.19999999999993</v>
      </c>
      <c r="S8" s="128">
        <f>IF('数据-汇总表'!$I$17="按面积比例",SUMIF('数据-汇总表'!C$19:C$33,A8,'数据-汇总表'!K$19:K$33),SUMIF('数据-汇总表'!C$19:C$33,A8,'数据-汇总表'!N$19:N$33))</f>
        <v>744.86</v>
      </c>
      <c r="T8" s="1952">
        <f t="shared" si="5"/>
        <v>186</v>
      </c>
      <c r="U8" s="173">
        <v>600</v>
      </c>
      <c r="V8" s="174">
        <v>0</v>
      </c>
      <c r="W8" s="174">
        <v>0.2</v>
      </c>
      <c r="X8" s="2039"/>
      <c r="Y8" s="175">
        <v>1</v>
      </c>
      <c r="Z8" s="176"/>
      <c r="AA8" s="169"/>
      <c r="AB8" s="169"/>
      <c r="AC8" s="2042"/>
      <c r="AD8" s="177"/>
      <c r="AE8" s="934">
        <f t="shared" ca="1" si="6"/>
        <v>36.590000000000003</v>
      </c>
      <c r="AF8" s="134"/>
      <c r="AG8" s="1111">
        <f t="shared" si="7"/>
        <v>0</v>
      </c>
      <c r="AH8" s="134">
        <v>275</v>
      </c>
      <c r="AI8" s="180">
        <v>12</v>
      </c>
      <c r="AJ8" s="181"/>
      <c r="AK8" s="182">
        <v>0.01</v>
      </c>
      <c r="AL8" s="183">
        <v>1.5E-3</v>
      </c>
      <c r="AM8" s="2510">
        <v>1.4999999999999999E-2</v>
      </c>
      <c r="AN8" s="2083" t="s">
        <v>3333</v>
      </c>
      <c r="AO8" s="2835"/>
      <c r="AP8" s="1102">
        <f t="shared" si="8"/>
        <v>0.82499999999999996</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1671</v>
      </c>
      <c r="B14" s="2024" t="s">
        <v>1213</v>
      </c>
      <c r="C14" s="2025" t="s">
        <v>1671</v>
      </c>
      <c r="D14" s="2026"/>
      <c r="E14" s="2027"/>
      <c r="F14" s="167"/>
      <c r="G14" s="168"/>
      <c r="H14" s="2028"/>
      <c r="I14" s="2028"/>
      <c r="J14" s="2028"/>
      <c r="K14" s="172">
        <f>SUMIF('数据-汇总表'!C$19:C$33,'数据-取费表'!A14,'数据-汇总表'!E$19:E$33)</f>
        <v>9136.83</v>
      </c>
      <c r="L14" s="186">
        <v>2500</v>
      </c>
      <c r="M14" s="170">
        <f t="shared" si="1"/>
        <v>2284</v>
      </c>
      <c r="N14" s="187">
        <v>0</v>
      </c>
      <c r="O14" s="170">
        <f t="shared" si="3"/>
        <v>0</v>
      </c>
      <c r="P14" s="171">
        <f t="shared" si="4"/>
        <v>2284</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f>ROUND(SUMPRODUCT(G6:G13,K6:K13)/SUMPRODUCT((G6:G13&gt;0)*(K6:K13)),3)</f>
        <v>0.93100000000000005</v>
      </c>
      <c r="H16" s="194">
        <f>ROUND(SUMPRODUCT(H6:H13,K6:K13)/SUMPRODUCT((H6:H13&gt;0)*(K6:K13)),3)</f>
        <v>0.05</v>
      </c>
      <c r="I16" s="195"/>
      <c r="J16" s="195"/>
      <c r="K16" s="196">
        <f>SUM(K6:K15)</f>
        <v>127591.06</v>
      </c>
      <c r="L16" s="197">
        <f>ROUND(M16*10000/SUM(K6:K14),0)</f>
        <v>4174</v>
      </c>
      <c r="M16" s="197">
        <f>SUM(M6:M14)</f>
        <v>53254</v>
      </c>
      <c r="N16" s="198">
        <f>ROUND(SUMPRODUCT(M6:M14,N6:N14)/M16,3)</f>
        <v>0</v>
      </c>
      <c r="O16" s="197">
        <f>SUM(O6:O14)</f>
        <v>0</v>
      </c>
      <c r="P16" s="197">
        <f>SUM(P6:P14)</f>
        <v>53254</v>
      </c>
      <c r="Q16" s="199">
        <f>ROUND(SUMPRODUCT(Q6:Q13,K6:K13)/SUMPRODUCT((Q6:Q13&gt;0)*(K6:K13)),2)</f>
        <v>0.14000000000000001</v>
      </c>
      <c r="R16" s="2029">
        <f>SUM(R6:R13)</f>
        <v>9791.1500000000015</v>
      </c>
      <c r="S16" s="200">
        <f>SUM(S6:S13)</f>
        <v>9136.83</v>
      </c>
      <c r="T16" s="201">
        <f>IF(SUMIF(T6:T13,"&lt;9E307")=M14,SUMIF(T6:T13,"&lt;9E307"),"有误，请检查")</f>
        <v>2284</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0.84399999999999997</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4">
      <c r="A19" s="208" t="s">
        <v>230</v>
      </c>
      <c r="B19" s="209">
        <v>0</v>
      </c>
      <c r="C19" s="2847" t="s">
        <v>2275</v>
      </c>
      <c r="D19" s="2836"/>
      <c r="E19" s="2835"/>
      <c r="F19" s="2835"/>
      <c r="G19" s="2835"/>
      <c r="H19" s="2835"/>
      <c r="I19" s="2835"/>
      <c r="J19" s="2835"/>
      <c r="K19" s="2834"/>
      <c r="L19" s="2834"/>
      <c r="M19" s="2832"/>
      <c r="N19" s="2832"/>
      <c r="O19" s="2832"/>
      <c r="P19" s="2832"/>
      <c r="Q19" s="2832"/>
      <c r="R19" s="2832"/>
      <c r="S19" s="2832"/>
      <c r="T19" s="2832"/>
      <c r="U19" s="1741"/>
      <c r="V19" s="3673" t="s">
        <v>3321</v>
      </c>
      <c r="W19" s="3673" t="s">
        <v>3322</v>
      </c>
      <c r="X19" s="3673" t="s">
        <v>3323</v>
      </c>
      <c r="Y19" s="3673" t="s">
        <v>3324</v>
      </c>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4">
      <c r="A20" s="210" t="s">
        <v>231</v>
      </c>
      <c r="B20" s="211">
        <v>3</v>
      </c>
      <c r="C20" s="2847" t="s">
        <v>1692</v>
      </c>
      <c r="D20" s="2836"/>
      <c r="E20" s="2835"/>
      <c r="F20" s="2835"/>
      <c r="G20" s="2835"/>
      <c r="H20" s="2835"/>
      <c r="I20" s="2835"/>
      <c r="J20" s="2835"/>
      <c r="K20" s="2834"/>
      <c r="L20" s="2834"/>
      <c r="M20" s="2832"/>
      <c r="N20" s="2832"/>
      <c r="O20" s="2832"/>
      <c r="P20" s="2832"/>
      <c r="Q20" s="2832"/>
      <c r="R20" s="2832"/>
      <c r="S20" s="2832"/>
      <c r="T20" s="2832"/>
      <c r="U20" s="1741">
        <v>1</v>
      </c>
      <c r="V20" s="1741">
        <f>ROUND('数据-汇总表'!F20/6,2)</f>
        <v>2777.46</v>
      </c>
      <c r="W20" s="1741">
        <v>9.5</v>
      </c>
      <c r="X20" s="1741">
        <v>1</v>
      </c>
      <c r="Y20" s="1741">
        <f>ROUND(V20/$V$27,4)</f>
        <v>0.15679999999999999</v>
      </c>
      <c r="Z20" s="2832">
        <f>V20*W20</f>
        <v>26385.87</v>
      </c>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4">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1741">
        <v>2</v>
      </c>
      <c r="V21" s="1741">
        <f>V20</f>
        <v>2777.46</v>
      </c>
      <c r="W21" s="1741">
        <f>W20*X21</f>
        <v>5.7</v>
      </c>
      <c r="X21" s="1741">
        <v>0.6</v>
      </c>
      <c r="Y21" s="1741">
        <f t="shared" ref="Y21:Y26" si="9">ROUND(V21/$V$27,4)</f>
        <v>0.15679999999999999</v>
      </c>
      <c r="Z21" s="2832">
        <f t="shared" ref="Z21:Z26" si="10">V21*W21</f>
        <v>15831.522000000001</v>
      </c>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4">
      <c r="A22" s="210" t="s">
        <v>233</v>
      </c>
      <c r="B22" s="213">
        <f>B19+B20</f>
        <v>3</v>
      </c>
      <c r="C22" s="2835"/>
      <c r="D22" s="2836"/>
      <c r="E22" s="2835"/>
      <c r="F22" s="2835"/>
      <c r="G22" s="2835"/>
      <c r="H22" s="2835"/>
      <c r="I22" s="2835"/>
      <c r="J22" s="2835"/>
      <c r="K22" s="2834"/>
      <c r="L22" s="2834"/>
      <c r="M22" s="2832"/>
      <c r="N22" s="2832"/>
      <c r="O22" s="2832"/>
      <c r="P22" s="2832"/>
      <c r="Q22" s="2832"/>
      <c r="R22" s="2832"/>
      <c r="S22" s="2832"/>
      <c r="T22" s="2832"/>
      <c r="U22" s="1741">
        <v>3</v>
      </c>
      <c r="V22" s="1741">
        <f>V20</f>
        <v>2777.46</v>
      </c>
      <c r="W22" s="1741">
        <f>W20*X22</f>
        <v>5.2250000000000005</v>
      </c>
      <c r="X22" s="1741">
        <v>0.55000000000000004</v>
      </c>
      <c r="Y22" s="1741">
        <f t="shared" si="9"/>
        <v>0.15679999999999999</v>
      </c>
      <c r="Z22" s="2832">
        <f t="shared" si="10"/>
        <v>14512.228500000001</v>
      </c>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4">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1741">
        <v>4</v>
      </c>
      <c r="V23" s="1748">
        <f>V22</f>
        <v>2777.46</v>
      </c>
      <c r="W23" s="1741">
        <f>W20*X23</f>
        <v>4.75</v>
      </c>
      <c r="X23" s="1741">
        <v>0.5</v>
      </c>
      <c r="Y23" s="1741">
        <f t="shared" si="9"/>
        <v>0.15679999999999999</v>
      </c>
      <c r="Z23" s="2832">
        <f t="shared" si="10"/>
        <v>13192.934999999999</v>
      </c>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3</v>
      </c>
      <c r="C24" s="2835"/>
      <c r="D24" s="2836"/>
      <c r="E24" s="2835"/>
      <c r="F24" s="2835"/>
      <c r="G24" s="2835"/>
      <c r="H24" s="2835"/>
      <c r="I24" s="2835"/>
      <c r="J24" s="2835"/>
      <c r="K24" s="2834"/>
      <c r="L24" s="2834"/>
      <c r="M24" s="2832"/>
      <c r="N24" s="2832"/>
      <c r="O24" s="2832"/>
      <c r="P24" s="2832"/>
      <c r="Q24" s="2832"/>
      <c r="R24" s="2832"/>
      <c r="S24" s="2832"/>
      <c r="T24" s="2832"/>
      <c r="U24" s="1748">
        <v>5</v>
      </c>
      <c r="V24" s="1748">
        <f>V23</f>
        <v>2777.46</v>
      </c>
      <c r="W24" s="1748">
        <f>W20*X24</f>
        <v>4.75</v>
      </c>
      <c r="X24" s="1748">
        <v>0.5</v>
      </c>
      <c r="Y24" s="1741">
        <f t="shared" si="9"/>
        <v>0.15679999999999999</v>
      </c>
      <c r="Z24" s="2832">
        <f t="shared" si="10"/>
        <v>13192.934999999999</v>
      </c>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4.4" thickBot="1">
      <c r="A25" s="1105"/>
      <c r="B25" s="1102"/>
      <c r="C25" s="2835"/>
      <c r="D25" s="2836"/>
      <c r="E25" s="2835"/>
      <c r="F25" s="2835"/>
      <c r="G25" s="2835"/>
      <c r="H25" s="2835"/>
      <c r="I25" s="2835"/>
      <c r="J25" s="2835"/>
      <c r="K25" s="2834"/>
      <c r="L25" s="2834"/>
      <c r="M25" s="2832"/>
      <c r="N25" s="2832"/>
      <c r="O25" s="2832"/>
      <c r="P25" s="2832"/>
      <c r="Q25" s="2832"/>
      <c r="R25" s="2832"/>
      <c r="S25" s="2832"/>
      <c r="T25" s="2832"/>
      <c r="U25" s="1748">
        <v>6</v>
      </c>
      <c r="V25" s="1741">
        <f>'数据-汇总表'!F20-'数据-取费表'!V20-'数据-取费表'!V21-'数据-取费表'!V22-V23-V24</f>
        <v>2777.4300000000021</v>
      </c>
      <c r="W25" s="1748">
        <f>X25*W20</f>
        <v>4.75</v>
      </c>
      <c r="X25" s="1748">
        <v>0.5</v>
      </c>
      <c r="Y25" s="1741">
        <f t="shared" si="9"/>
        <v>0.15679999999999999</v>
      </c>
      <c r="Z25" s="2832">
        <f t="shared" si="10"/>
        <v>13192.79250000001</v>
      </c>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1741">
        <v>-1</v>
      </c>
      <c r="V26" s="1741">
        <f>'数据-汇总表'!G20</f>
        <v>1052.44</v>
      </c>
      <c r="W26" s="1741">
        <f>W20*X26</f>
        <v>4.75</v>
      </c>
      <c r="X26" s="1741">
        <v>0.5</v>
      </c>
      <c r="Y26" s="1741">
        <f t="shared" si="9"/>
        <v>5.9400000000000001E-2</v>
      </c>
      <c r="Z26" s="2832">
        <f t="shared" si="10"/>
        <v>4999.09</v>
      </c>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8.8">
      <c r="A27" s="217" t="s">
        <v>1694</v>
      </c>
      <c r="B27" s="218"/>
      <c r="C27" s="2848" t="s">
        <v>2276</v>
      </c>
      <c r="D27" s="2839"/>
      <c r="E27" s="2840"/>
      <c r="F27" s="2840"/>
      <c r="G27" s="2835"/>
      <c r="H27" s="2835"/>
      <c r="I27" s="2835"/>
      <c r="J27" s="2835"/>
      <c r="K27" s="2834"/>
      <c r="L27" s="2834"/>
      <c r="M27" s="2832"/>
      <c r="N27" s="2832"/>
      <c r="O27" s="2832"/>
      <c r="P27" s="2832"/>
      <c r="Q27" s="2832"/>
      <c r="R27" s="2832"/>
      <c r="S27" s="2832"/>
      <c r="T27" s="2832"/>
      <c r="U27" s="1741"/>
      <c r="V27" s="1741">
        <f>V20+V21+V22+V25+V26+V23+V24</f>
        <v>17717.170000000002</v>
      </c>
      <c r="W27" s="1741">
        <f>W20*Y20+W21*Y21+W22*Y22+W23*Y23+W26*Y26+W24*Y24+W25*Y25</f>
        <v>5.7191899999999993</v>
      </c>
      <c r="X27" s="1741"/>
      <c r="Y27" s="1741"/>
      <c r="Z27" s="2832">
        <f>Z20+Z21+Z22+Z23+Z24+Z25+Z26</f>
        <v>101307.37300000001</v>
      </c>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1695</v>
      </c>
      <c r="B28" s="220">
        <v>200</v>
      </c>
      <c r="C28" s="2841"/>
      <c r="D28" s="2839"/>
      <c r="E28" s="2840"/>
      <c r="F28" s="2840"/>
      <c r="G28" s="2835"/>
      <c r="H28" s="2835"/>
      <c r="I28" s="2835"/>
      <c r="J28" s="2835"/>
      <c r="K28" s="2834"/>
      <c r="L28" s="2834"/>
      <c r="M28" s="2832"/>
      <c r="N28" s="2832"/>
      <c r="O28" s="2832"/>
      <c r="P28" s="2832"/>
      <c r="Q28" s="2832"/>
      <c r="R28" s="2832"/>
      <c r="S28" s="2832"/>
      <c r="T28" s="2832"/>
      <c r="U28" s="2832"/>
      <c r="V28" s="2832"/>
      <c r="W28" s="2832">
        <f>Z27/V27</f>
        <v>5.7180335798550219</v>
      </c>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200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v>0.03</v>
      </c>
      <c r="C33" s="2850" t="s">
        <v>2264</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v>0.05</v>
      </c>
      <c r="C34" s="2850" t="s">
        <v>2265</v>
      </c>
      <c r="D34" s="2851" t="s">
        <v>2272</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4">
      <c r="A35" s="219" t="s">
        <v>242</v>
      </c>
      <c r="B35" s="220">
        <v>200</v>
      </c>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2267</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4">
      <c r="A37" s="226" t="s">
        <v>246</v>
      </c>
      <c r="B37" s="227">
        <v>0.02</v>
      </c>
      <c r="C37" s="2850" t="s">
        <v>2268</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4">
      <c r="A38" s="219" t="s">
        <v>247</v>
      </c>
      <c r="B38" s="224">
        <v>0.02</v>
      </c>
      <c r="C38" s="2850" t="s">
        <v>2268</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4">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29.4" thickBot="1">
      <c r="A40" s="3021" t="s">
        <v>3320</v>
      </c>
      <c r="B40" s="2129">
        <f ca="1">IF(A40="利息：取LPR",存贷款利率!E2,存贷款利率!E2+C40)</f>
        <v>4.1499999999999995E-2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4">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4">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4">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4">
      <c r="A44" s="230" t="s">
        <v>251</v>
      </c>
      <c r="B44" s="233">
        <v>0.05</v>
      </c>
      <c r="C44" s="2850" t="s">
        <v>2273</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4">
      <c r="A45" s="230" t="s">
        <v>252</v>
      </c>
      <c r="B45" s="231">
        <v>0.03</v>
      </c>
      <c r="C45" s="2853" t="s">
        <v>2269</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4">
      <c r="A46" s="230" t="s">
        <v>253</v>
      </c>
      <c r="B46" s="231">
        <v>0.02</v>
      </c>
      <c r="C46" s="2853" t="s">
        <v>2270</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2277</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4">
      <c r="A48" s="236" t="s">
        <v>255</v>
      </c>
      <c r="B48" s="237">
        <v>0.03</v>
      </c>
      <c r="C48" s="2853" t="s">
        <v>2269</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2271</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4">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4">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8.8">
      <c r="A53" s="219" t="s">
        <v>260</v>
      </c>
      <c r="B53" s="242" t="s">
        <v>1153</v>
      </c>
      <c r="C53" s="2843" t="s">
        <v>2166</v>
      </c>
      <c r="D53" s="2854" t="s">
        <v>2274</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4">
      <c r="A54" s="2531" t="s">
        <v>2167</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4">
      <c r="A55" s="2531" t="s">
        <v>2168</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4">
      <c r="A56" s="2531" t="s">
        <v>2169</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4">
      <c r="A57" s="2531" t="s">
        <v>2170</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4">
      <c r="A58" s="2531" t="s">
        <v>2171</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4">
      <c r="A59" s="2531" t="s">
        <v>2172</v>
      </c>
      <c r="B59" s="17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4">
      <c r="A60" s="2531" t="s">
        <v>2173</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4">
      <c r="A61" s="2531" t="s">
        <v>2174</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4">
      <c r="A62" s="2531" t="s">
        <v>2175</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2176</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6" customWidth="1"/>
    <col min="2" max="2" width="23.44140625" style="2901" customWidth="1"/>
    <col min="3" max="3" width="32.21875" style="2903" customWidth="1"/>
    <col min="4" max="4" width="2.6640625" style="2903" customWidth="1"/>
    <col min="5" max="5" width="5.88671875" style="2903" customWidth="1"/>
    <col min="6" max="6" width="23.6640625" style="2901" customWidth="1"/>
    <col min="7" max="7" width="33.33203125" style="2902" customWidth="1"/>
    <col min="8" max="8" width="11.88671875" style="2901" customWidth="1"/>
    <col min="9" max="9" width="16.77734375" style="2902" customWidth="1"/>
    <col min="10" max="10" width="2.6640625" style="2903" customWidth="1"/>
    <col min="11" max="11" width="11.88671875" style="2901" customWidth="1"/>
    <col min="12" max="12" width="16.77734375" style="2902" customWidth="1"/>
    <col min="13" max="13" width="2.6640625" style="2903" customWidth="1"/>
    <col min="14" max="14" width="11.88671875" style="2901" customWidth="1"/>
    <col min="15" max="15" width="16.77734375" style="2902" customWidth="1"/>
    <col min="16" max="16" width="2.6640625" style="2903" customWidth="1"/>
    <col min="17" max="17" width="11.88671875" style="2901" customWidth="1"/>
    <col min="18" max="18" width="16.77734375" style="2904" customWidth="1"/>
    <col min="19" max="16384" width="9" style="2866"/>
  </cols>
  <sheetData>
    <row r="1" spans="1:18" s="2860" customFormat="1" ht="18" thickBot="1">
      <c r="A1" s="3769" t="s">
        <v>1198</v>
      </c>
      <c r="B1" s="3770"/>
      <c r="C1" s="3770"/>
      <c r="D1" s="3770"/>
      <c r="E1" s="3770"/>
      <c r="F1" s="3770"/>
      <c r="G1" s="3770"/>
      <c r="H1" s="2855"/>
      <c r="I1" s="2856"/>
      <c r="J1" s="2857"/>
      <c r="K1" s="2855"/>
      <c r="L1" s="2856"/>
      <c r="M1" s="2857"/>
      <c r="N1" s="2855"/>
      <c r="O1" s="2856"/>
      <c r="P1" s="2857"/>
      <c r="Q1" s="2858"/>
      <c r="R1" s="2859"/>
    </row>
    <row r="2" spans="1:18" ht="15" thickBot="1">
      <c r="A2" s="2861"/>
      <c r="B2" s="2862"/>
      <c r="C2" s="2863" t="s">
        <v>1199</v>
      </c>
      <c r="D2" s="2864"/>
      <c r="E2" s="2861"/>
      <c r="F2" s="2865"/>
      <c r="G2" s="2863" t="s">
        <v>1200</v>
      </c>
      <c r="H2" s="2866"/>
      <c r="I2" s="2866"/>
      <c r="J2" s="2866"/>
      <c r="K2" s="2866"/>
      <c r="L2" s="2866"/>
      <c r="M2" s="2866"/>
      <c r="N2" s="2866"/>
      <c r="O2" s="2866"/>
      <c r="P2" s="2866"/>
      <c r="Q2" s="2866"/>
      <c r="R2" s="2866"/>
    </row>
    <row r="3" spans="1:18" ht="43.2">
      <c r="A3" s="2867" t="s">
        <v>1201</v>
      </c>
      <c r="B3" s="2868" t="s">
        <v>1188</v>
      </c>
      <c r="C3" s="2869" t="s">
        <v>2183</v>
      </c>
      <c r="D3" s="2870"/>
      <c r="E3" s="2871" t="s">
        <v>1201</v>
      </c>
      <c r="F3" s="2872" t="s">
        <v>1189</v>
      </c>
      <c r="G3" s="2873" t="s">
        <v>2182</v>
      </c>
      <c r="H3" s="2866"/>
      <c r="I3" s="2866"/>
      <c r="J3" s="2866"/>
      <c r="K3" s="2866"/>
      <c r="L3" s="2866"/>
      <c r="M3" s="2866"/>
      <c r="N3" s="2866"/>
      <c r="O3" s="2866"/>
      <c r="P3" s="2866"/>
      <c r="Q3" s="2866"/>
      <c r="R3" s="2866"/>
    </row>
    <row r="4" spans="1:18" ht="43.2">
      <c r="A4" s="2871"/>
      <c r="B4" s="2874" t="s">
        <v>1202</v>
      </c>
      <c r="C4" s="2875" t="s">
        <v>2184</v>
      </c>
      <c r="D4" s="2870"/>
      <c r="E4" s="2876"/>
      <c r="F4" s="2877" t="s">
        <v>1203</v>
      </c>
      <c r="G4" s="2878" t="s">
        <v>2179</v>
      </c>
      <c r="H4" s="2866"/>
      <c r="I4" s="2866"/>
      <c r="J4" s="2866"/>
      <c r="K4" s="2866"/>
      <c r="L4" s="2866"/>
      <c r="M4" s="2866"/>
      <c r="N4" s="2866"/>
      <c r="O4" s="2866"/>
      <c r="P4" s="2866"/>
      <c r="Q4" s="2866"/>
      <c r="R4" s="2866"/>
    </row>
    <row r="5" spans="1:18" ht="43.2">
      <c r="A5" s="2871"/>
      <c r="B5" s="2874" t="s">
        <v>1204</v>
      </c>
      <c r="C5" s="2875" t="s">
        <v>2185</v>
      </c>
      <c r="D5" s="2870"/>
      <c r="E5" s="2876"/>
      <c r="F5" s="2874" t="s">
        <v>1829</v>
      </c>
      <c r="G5" s="2878" t="s">
        <v>2180</v>
      </c>
      <c r="H5" s="2866"/>
      <c r="I5" s="2866"/>
      <c r="J5" s="2866"/>
      <c r="K5" s="2866"/>
      <c r="L5" s="2866"/>
      <c r="M5" s="2866"/>
      <c r="N5" s="2866"/>
      <c r="O5" s="2866"/>
      <c r="P5" s="2866"/>
      <c r="Q5" s="2866"/>
      <c r="R5" s="2866"/>
    </row>
    <row r="6" spans="1:18" ht="43.2">
      <c r="A6" s="2871"/>
      <c r="B6" s="2874" t="s">
        <v>1190</v>
      </c>
      <c r="C6" s="2878" t="s">
        <v>2179</v>
      </c>
      <c r="D6" s="2870"/>
      <c r="E6" s="2876"/>
      <c r="F6" s="2874" t="s">
        <v>1830</v>
      </c>
      <c r="G6" s="2878" t="s">
        <v>2177</v>
      </c>
      <c r="H6" s="2866"/>
      <c r="I6" s="2866"/>
      <c r="J6" s="2866"/>
      <c r="K6" s="2866"/>
      <c r="L6" s="2866"/>
      <c r="M6" s="2866"/>
      <c r="N6" s="2866"/>
      <c r="O6" s="2866"/>
      <c r="P6" s="2866"/>
      <c r="Q6" s="2866"/>
      <c r="R6" s="2866"/>
    </row>
    <row r="7" spans="1:18" ht="29.4" thickBot="1">
      <c r="A7" s="2871"/>
      <c r="B7" s="2874" t="s">
        <v>1829</v>
      </c>
      <c r="C7" s="2878" t="s">
        <v>2180</v>
      </c>
      <c r="D7" s="2879"/>
      <c r="E7" s="2880"/>
      <c r="F7" s="2881" t="s">
        <v>1205</v>
      </c>
      <c r="G7" s="2882" t="s">
        <v>2181</v>
      </c>
      <c r="H7" s="2866"/>
      <c r="I7" s="2866"/>
      <c r="J7" s="2866"/>
      <c r="K7" s="2866"/>
      <c r="L7" s="2866"/>
      <c r="M7" s="2866"/>
      <c r="N7" s="2866"/>
      <c r="O7" s="2866"/>
      <c r="P7" s="2866"/>
      <c r="Q7" s="2866"/>
      <c r="R7" s="2866"/>
    </row>
    <row r="8" spans="1:18">
      <c r="A8" s="2871"/>
      <c r="B8" s="2874" t="s">
        <v>1830</v>
      </c>
      <c r="C8" s="2878" t="s">
        <v>2177</v>
      </c>
      <c r="D8" s="2879"/>
      <c r="E8" s="2879"/>
      <c r="F8" s="2883"/>
      <c r="G8" s="2883"/>
      <c r="H8" s="2866"/>
      <c r="I8" s="2866"/>
      <c r="J8" s="2866"/>
      <c r="K8" s="2866"/>
      <c r="L8" s="2866"/>
      <c r="M8" s="2866"/>
      <c r="N8" s="2866"/>
      <c r="O8" s="2866"/>
      <c r="P8" s="2866"/>
      <c r="Q8" s="2866"/>
      <c r="R8" s="2866"/>
    </row>
    <row r="9" spans="1:18" ht="28.8">
      <c r="A9" s="2871"/>
      <c r="B9" s="2874" t="s">
        <v>1191</v>
      </c>
      <c r="C9" s="2875" t="s">
        <v>2178</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7.399999999999999">
      <c r="A12" s="2891"/>
      <c r="B12" s="2879"/>
      <c r="C12" s="2870"/>
      <c r="D12" s="2893"/>
      <c r="E12" s="2870"/>
      <c r="F12" s="2879"/>
      <c r="G12" s="2892"/>
      <c r="H12" s="2894"/>
      <c r="I12" s="2895"/>
      <c r="J12" s="2894"/>
      <c r="K12" s="2894"/>
      <c r="L12" s="2896"/>
      <c r="M12" s="2894"/>
      <c r="N12" s="2897"/>
      <c r="O12" s="2898"/>
      <c r="P12" s="2899"/>
      <c r="Q12" s="2897"/>
      <c r="R12" s="2859"/>
    </row>
    <row r="13" spans="1:18" ht="18" thickBot="1">
      <c r="A13" s="2900" t="s">
        <v>1207</v>
      </c>
      <c r="B13" s="2893"/>
      <c r="C13" s="2893"/>
      <c r="D13" s="2864"/>
      <c r="E13" s="2893"/>
      <c r="F13" s="2893"/>
      <c r="G13" s="2893"/>
    </row>
    <row r="14" spans="1:18" ht="15" thickBot="1">
      <c r="A14" s="2905"/>
      <c r="B14" s="2905"/>
      <c r="C14" s="2906" t="s">
        <v>1199</v>
      </c>
      <c r="D14" s="2870"/>
      <c r="E14" s="2907"/>
      <c r="F14" s="2907"/>
      <c r="G14" s="2863" t="s">
        <v>1200</v>
      </c>
    </row>
    <row r="15" spans="1:18" ht="43.2">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3.2">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3.2">
      <c r="A17" s="2913"/>
      <c r="B17" s="2914" t="s">
        <v>1204</v>
      </c>
      <c r="C17" s="2915" t="str">
        <f>C5</f>
        <v>估价对象位于XX商圈，周边办公楼项目较多，入驻率高，办公集聚程度较好</v>
      </c>
      <c r="D17" s="2879"/>
      <c r="E17" s="2916"/>
      <c r="F17" s="2917" t="s">
        <v>1209</v>
      </c>
      <c r="G17" s="2919"/>
    </row>
    <row r="18" spans="1:7" ht="43.2">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8.8">
      <c r="A19" s="2913"/>
      <c r="B19" s="2917" t="s">
        <v>1194</v>
      </c>
      <c r="C19" s="2919"/>
      <c r="D19" s="2870"/>
      <c r="E19" s="2916"/>
      <c r="F19" s="2874" t="s">
        <v>1829</v>
      </c>
      <c r="G19" s="2918" t="str">
        <f>G5</f>
        <v>估价对象所在区域公共配套设施齐备情况</v>
      </c>
    </row>
    <row r="20" spans="1:7" ht="28.8">
      <c r="A20" s="2913"/>
      <c r="B20" s="2917" t="s">
        <v>1195</v>
      </c>
      <c r="C20" s="2915" t="str">
        <f>C9</f>
        <v>区域自然环境：；人文环境；综合评价环境状况一般</v>
      </c>
      <c r="D20" s="2879"/>
      <c r="E20" s="2916"/>
      <c r="F20" s="2874" t="s">
        <v>1830</v>
      </c>
      <c r="G20" s="2918" t="str">
        <f>G6</f>
        <v>估价对象所在区域基础设施水平</v>
      </c>
    </row>
    <row r="21" spans="1:7" ht="28.8">
      <c r="A21" s="2913"/>
      <c r="B21" s="2874" t="s">
        <v>1829</v>
      </c>
      <c r="C21" s="2918" t="str">
        <f>C7</f>
        <v>估价对象所在区域公共配套设施齐备情况</v>
      </c>
      <c r="D21" s="2870"/>
      <c r="E21" s="2916"/>
      <c r="F21" s="2917" t="s">
        <v>1196</v>
      </c>
      <c r="G21" s="2920"/>
    </row>
    <row r="22" spans="1:7">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G15" sqref="G15"/>
    </sheetView>
  </sheetViews>
  <sheetFormatPr defaultColWidth="14.6640625" defaultRowHeight="14.4"/>
  <cols>
    <col min="1" max="1" width="24.33203125" style="2929" customWidth="1"/>
    <col min="2" max="16384" width="14.6640625" style="2929"/>
  </cols>
  <sheetData>
    <row r="1" spans="1:10" ht="15.6">
      <c r="A1" s="2928" t="s">
        <v>2118</v>
      </c>
      <c r="B1" s="2928">
        <f>SUM(B14:B23)</f>
        <v>127591.06</v>
      </c>
      <c r="C1" s="2937"/>
      <c r="D1" s="2937"/>
      <c r="E1" s="2937"/>
      <c r="F1" s="2937"/>
      <c r="G1" s="2938"/>
      <c r="H1" s="2938"/>
      <c r="I1" s="2938"/>
      <c r="J1" s="2938"/>
    </row>
    <row r="2" spans="1:10" ht="15.6">
      <c r="A2" s="2928" t="s">
        <v>2119</v>
      </c>
      <c r="B2" s="2928">
        <f>SUM(C14:C23)</f>
        <v>9791.14</v>
      </c>
      <c r="C2" s="2937"/>
      <c r="D2" s="2937"/>
      <c r="E2" s="2937"/>
      <c r="F2" s="2937"/>
      <c r="G2" s="2938"/>
      <c r="H2" s="2938"/>
      <c r="I2" s="2938"/>
      <c r="J2" s="2938"/>
    </row>
    <row r="3" spans="1:10" ht="15.6">
      <c r="A3" s="2928" t="s">
        <v>2120</v>
      </c>
      <c r="B3" s="2930">
        <f>项目基本情况!D3</f>
        <v>45028</v>
      </c>
      <c r="C3" s="2937"/>
      <c r="D3" s="2937"/>
      <c r="E3" s="2937"/>
      <c r="F3" s="2937"/>
      <c r="G3" s="2938"/>
      <c r="H3" s="2938"/>
      <c r="I3" s="2938"/>
      <c r="J3" s="2938"/>
    </row>
    <row r="4" spans="1:10" ht="31.2">
      <c r="A4" s="2928" t="s">
        <v>2121</v>
      </c>
      <c r="B4" s="2928" t="s">
        <v>2122</v>
      </c>
      <c r="C4" s="2928" t="s">
        <v>2123</v>
      </c>
      <c r="D4" s="2928" t="s">
        <v>2124</v>
      </c>
      <c r="E4" s="2937"/>
      <c r="F4" s="2937"/>
      <c r="G4" s="2938"/>
      <c r="H4" s="2938"/>
      <c r="I4" s="2938"/>
      <c r="J4" s="2938"/>
    </row>
    <row r="5" spans="1:10" ht="15.6">
      <c r="A5" s="2928" t="s">
        <v>2125</v>
      </c>
      <c r="B5" s="2928">
        <f ca="1">SUM(D14:D23)</f>
        <v>143048</v>
      </c>
      <c r="C5" s="2928">
        <f ca="1">ROUND(B5*10000/$B$1,0)</f>
        <v>11211</v>
      </c>
      <c r="D5" s="2928">
        <f ca="1">ROUND(B5*10000/$B$2,0)</f>
        <v>146099</v>
      </c>
      <c r="E5" s="2937"/>
      <c r="F5" s="2937"/>
      <c r="G5" s="2938"/>
      <c r="H5" s="2938"/>
      <c r="I5" s="2938"/>
      <c r="J5" s="2938"/>
    </row>
    <row r="6" spans="1:10" ht="15.6">
      <c r="A6" s="2928" t="s">
        <v>2126</v>
      </c>
      <c r="B6" s="2928">
        <f ca="1">SUM(G14:G23)</f>
        <v>143048</v>
      </c>
      <c r="C6" s="2928">
        <f ca="1">ROUND(B6*10000/$B$1,0)</f>
        <v>11211</v>
      </c>
      <c r="D6" s="2928">
        <f ca="1">ROUND(B6*10000/$B$2,0)</f>
        <v>146099</v>
      </c>
      <c r="E6" s="2937"/>
      <c r="F6" s="2937"/>
      <c r="G6" s="2938"/>
      <c r="H6" s="2938"/>
      <c r="I6" s="2938"/>
      <c r="J6" s="2938"/>
    </row>
    <row r="7" spans="1:10" ht="15.6">
      <c r="A7" s="2928" t="s">
        <v>2127</v>
      </c>
      <c r="B7" s="2928">
        <f>SUM(H14:H23)</f>
        <v>0</v>
      </c>
      <c r="C7" s="2928">
        <f>ROUND(B7*10000/$B$1,0)</f>
        <v>0</v>
      </c>
      <c r="D7" s="2928">
        <f>ROUND(B7*10000/$B$2,0)</f>
        <v>0</v>
      </c>
      <c r="E7" s="2937"/>
      <c r="F7" s="2937"/>
      <c r="G7" s="2938"/>
      <c r="H7" s="2938"/>
      <c r="I7" s="2938"/>
      <c r="J7" s="2938"/>
    </row>
    <row r="8" spans="1:10" ht="15.6">
      <c r="A8" s="2928" t="s">
        <v>2128</v>
      </c>
      <c r="B8" s="2928">
        <f>SUM(I14:I23)</f>
        <v>0</v>
      </c>
      <c r="C8" s="2928">
        <f>ROUND(B8*10000/$B$1,0)</f>
        <v>0</v>
      </c>
      <c r="D8" s="2928">
        <f>ROUND(B8*10000/$B$2,0)</f>
        <v>0</v>
      </c>
      <c r="E8" s="2937"/>
      <c r="F8" s="2937"/>
      <c r="G8" s="2938"/>
      <c r="H8" s="2938"/>
      <c r="I8" s="2938"/>
      <c r="J8" s="2938"/>
    </row>
    <row r="9" spans="1:10" ht="15.6">
      <c r="A9" s="2928" t="s">
        <v>2129</v>
      </c>
      <c r="B9" s="2936"/>
      <c r="C9" s="2937"/>
      <c r="D9" s="2937"/>
      <c r="E9" s="2937"/>
      <c r="F9" s="2937"/>
      <c r="G9" s="2938"/>
      <c r="H9" s="2938"/>
      <c r="I9" s="2938"/>
      <c r="J9" s="2938"/>
    </row>
    <row r="10" spans="1:10" ht="15.6">
      <c r="A10" s="2928" t="s">
        <v>2130</v>
      </c>
      <c r="B10" s="2936"/>
      <c r="C10" s="2937"/>
      <c r="D10" s="2937"/>
      <c r="E10" s="2937"/>
      <c r="F10" s="2937"/>
      <c r="G10" s="2938"/>
      <c r="H10" s="2938"/>
      <c r="I10" s="2938"/>
      <c r="J10" s="2938"/>
    </row>
    <row r="11" spans="1:10" ht="15.6">
      <c r="A11" s="2928" t="s">
        <v>2147</v>
      </c>
      <c r="B11" s="2936"/>
      <c r="C11" s="2937"/>
      <c r="D11" s="2937"/>
      <c r="E11" s="2937"/>
      <c r="F11" s="2937"/>
      <c r="G11" s="2938"/>
      <c r="H11" s="2938"/>
      <c r="I11" s="2938"/>
      <c r="J11" s="2938"/>
    </row>
    <row r="12" spans="1:10" ht="15.6">
      <c r="A12" s="2937"/>
      <c r="B12" s="2937"/>
      <c r="C12" s="2937"/>
      <c r="D12" s="2937"/>
      <c r="E12" s="2937"/>
      <c r="F12" s="2937"/>
      <c r="G12" s="2938"/>
      <c r="H12" s="2938"/>
      <c r="I12" s="2938"/>
      <c r="J12" s="2938"/>
    </row>
    <row r="13" spans="1:10" ht="31.2">
      <c r="A13" s="2931" t="s">
        <v>2146</v>
      </c>
      <c r="B13" s="2932" t="s">
        <v>2118</v>
      </c>
      <c r="C13" s="2932" t="s">
        <v>2119</v>
      </c>
      <c r="D13" s="2932" t="s">
        <v>2131</v>
      </c>
      <c r="E13" s="2928" t="s">
        <v>2145</v>
      </c>
      <c r="F13" s="2928" t="s">
        <v>2124</v>
      </c>
      <c r="G13" s="2932" t="s">
        <v>2132</v>
      </c>
      <c r="H13" s="2932" t="s">
        <v>2133</v>
      </c>
      <c r="I13" s="2932" t="s">
        <v>2134</v>
      </c>
      <c r="J13" s="2938"/>
    </row>
    <row r="14" spans="1:10" ht="15.6">
      <c r="A14" s="2933" t="s">
        <v>2144</v>
      </c>
      <c r="B14" s="2934">
        <f>'数据-汇总表'!E3</f>
        <v>127591.06</v>
      </c>
      <c r="C14" s="2934">
        <f>'数据-汇总表'!D3</f>
        <v>9791.14</v>
      </c>
      <c r="D14" s="2934">
        <f ca="1">结果表!O43</f>
        <v>143048</v>
      </c>
      <c r="E14" s="2934">
        <f ca="1">ROUND(D14*10000/B14,0)</f>
        <v>11211</v>
      </c>
      <c r="F14" s="2934">
        <f ca="1">ROUND(D14*10000/C14,0)</f>
        <v>146099</v>
      </c>
      <c r="G14" s="2934">
        <f ca="1">结果表!O39</f>
        <v>143048</v>
      </c>
      <c r="H14" s="2934"/>
      <c r="I14" s="2934"/>
      <c r="J14" s="2938"/>
    </row>
    <row r="15" spans="1:10" ht="15.6">
      <c r="A15" s="2933" t="s">
        <v>2135</v>
      </c>
      <c r="B15" s="2935"/>
      <c r="C15" s="2935"/>
      <c r="D15" s="2935"/>
      <c r="E15" s="2934" t="e">
        <f t="shared" ref="E15:E23" si="0">ROUND(D15*10000/B15,0)</f>
        <v>#DIV/0!</v>
      </c>
      <c r="F15" s="2934" t="e">
        <f t="shared" ref="F15:F23" si="1">ROUND(D15*10000/C15,0)</f>
        <v>#DIV/0!</v>
      </c>
      <c r="G15" s="2514"/>
      <c r="H15" s="2514"/>
      <c r="I15" s="2935"/>
      <c r="J15" s="2938"/>
    </row>
    <row r="16" spans="1:10" ht="15.6">
      <c r="A16" s="2933" t="s">
        <v>2136</v>
      </c>
      <c r="B16" s="2935"/>
      <c r="C16" s="2935"/>
      <c r="D16" s="2935"/>
      <c r="E16" s="2934" t="e">
        <f t="shared" si="0"/>
        <v>#DIV/0!</v>
      </c>
      <c r="F16" s="2934" t="e">
        <f t="shared" si="1"/>
        <v>#DIV/0!</v>
      </c>
      <c r="G16" s="2514"/>
      <c r="H16" s="2514"/>
      <c r="I16" s="2935"/>
      <c r="J16" s="2938"/>
    </row>
    <row r="17" spans="1:10" ht="15.6">
      <c r="A17" s="2933" t="s">
        <v>2137</v>
      </c>
      <c r="B17" s="2935"/>
      <c r="C17" s="2935"/>
      <c r="D17" s="2935"/>
      <c r="E17" s="2934" t="e">
        <f t="shared" si="0"/>
        <v>#DIV/0!</v>
      </c>
      <c r="F17" s="2934" t="e">
        <f t="shared" si="1"/>
        <v>#DIV/0!</v>
      </c>
      <c r="G17" s="2514"/>
      <c r="H17" s="2514"/>
      <c r="I17" s="2935"/>
      <c r="J17" s="2938"/>
    </row>
    <row r="18" spans="1:10" ht="15.6">
      <c r="A18" s="2933" t="s">
        <v>2138</v>
      </c>
      <c r="B18" s="2935"/>
      <c r="C18" s="2935"/>
      <c r="D18" s="2935"/>
      <c r="E18" s="2934" t="e">
        <f t="shared" si="0"/>
        <v>#DIV/0!</v>
      </c>
      <c r="F18" s="2934" t="e">
        <f t="shared" si="1"/>
        <v>#DIV/0!</v>
      </c>
      <c r="G18" s="2935"/>
      <c r="H18" s="2935"/>
      <c r="I18" s="2935"/>
      <c r="J18" s="2938"/>
    </row>
    <row r="19" spans="1:10" ht="15.6">
      <c r="A19" s="2933" t="s">
        <v>2139</v>
      </c>
      <c r="B19" s="2935"/>
      <c r="C19" s="2935"/>
      <c r="D19" s="2935"/>
      <c r="E19" s="2934" t="e">
        <f t="shared" si="0"/>
        <v>#DIV/0!</v>
      </c>
      <c r="F19" s="2934" t="e">
        <f t="shared" si="1"/>
        <v>#DIV/0!</v>
      </c>
      <c r="G19" s="2935"/>
      <c r="H19" s="2935"/>
      <c r="I19" s="2935"/>
      <c r="J19" s="2938"/>
    </row>
    <row r="20" spans="1:10" ht="15.6">
      <c r="A20" s="2933" t="s">
        <v>2140</v>
      </c>
      <c r="B20" s="2935"/>
      <c r="C20" s="2935"/>
      <c r="D20" s="2935"/>
      <c r="E20" s="2934" t="e">
        <f t="shared" si="0"/>
        <v>#DIV/0!</v>
      </c>
      <c r="F20" s="2934" t="e">
        <f t="shared" si="1"/>
        <v>#DIV/0!</v>
      </c>
      <c r="G20" s="2935"/>
      <c r="H20" s="2935"/>
      <c r="I20" s="2935"/>
      <c r="J20" s="2938"/>
    </row>
    <row r="21" spans="1:10" ht="15.6">
      <c r="A21" s="2933" t="s">
        <v>2141</v>
      </c>
      <c r="B21" s="2935"/>
      <c r="C21" s="2935"/>
      <c r="D21" s="2935"/>
      <c r="E21" s="2934" t="e">
        <f t="shared" si="0"/>
        <v>#DIV/0!</v>
      </c>
      <c r="F21" s="2934" t="e">
        <f t="shared" si="1"/>
        <v>#DIV/0!</v>
      </c>
      <c r="G21" s="2935"/>
      <c r="H21" s="2935"/>
      <c r="I21" s="2935"/>
      <c r="J21" s="2938"/>
    </row>
    <row r="22" spans="1:10" ht="15.6">
      <c r="A22" s="2933" t="s">
        <v>2142</v>
      </c>
      <c r="B22" s="2935"/>
      <c r="C22" s="2935"/>
      <c r="D22" s="2935"/>
      <c r="E22" s="2934" t="e">
        <f t="shared" si="0"/>
        <v>#DIV/0!</v>
      </c>
      <c r="F22" s="2934" t="e">
        <f t="shared" si="1"/>
        <v>#DIV/0!</v>
      </c>
      <c r="G22" s="2935"/>
      <c r="H22" s="2935"/>
      <c r="I22" s="2935"/>
      <c r="J22" s="2938"/>
    </row>
    <row r="23" spans="1:10" ht="15.6">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G36" zoomScale="90" zoomScaleNormal="100" zoomScaleSheetLayoutView="90" zoomScalePageLayoutView="80" workbookViewId="0">
      <selection activeCell="N33" sqref="N33"/>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15" t="str">
        <f>项目基本情况!K2</f>
        <v>北京市出让国有建设用地使用权</v>
      </c>
      <c r="B2" s="3816"/>
      <c r="C2" s="3817"/>
      <c r="D2" s="3817"/>
      <c r="E2" s="3817"/>
      <c r="F2" s="3817"/>
      <c r="G2" s="3816"/>
      <c r="H2" s="3816"/>
      <c r="I2" s="3818"/>
      <c r="J2" s="1753"/>
      <c r="K2" s="1752"/>
      <c r="L2" s="1752"/>
      <c r="M2" s="1752"/>
      <c r="N2" s="1752"/>
      <c r="O2" s="1752"/>
      <c r="P2" s="1752"/>
      <c r="Q2" s="1752"/>
      <c r="R2" s="1752"/>
      <c r="S2" s="1752"/>
      <c r="T2" s="1752"/>
      <c r="U2" s="1752"/>
      <c r="V2" s="1752"/>
    </row>
    <row r="3" spans="1:22" ht="13.8">
      <c r="A3" s="3826" t="s">
        <v>264</v>
      </c>
      <c r="B3" s="3827"/>
      <c r="C3" s="3827"/>
      <c r="D3" s="3827"/>
      <c r="E3" s="3827"/>
      <c r="F3" s="3827"/>
      <c r="G3" s="3827"/>
      <c r="H3" s="3827"/>
      <c r="I3" s="3827"/>
      <c r="J3" s="1753"/>
      <c r="K3" s="1752"/>
      <c r="L3" s="1752"/>
      <c r="M3" s="1752"/>
      <c r="N3" s="1752"/>
      <c r="O3" s="1752"/>
      <c r="P3" s="1752"/>
      <c r="Q3" s="1752"/>
      <c r="R3" s="1752"/>
      <c r="S3" s="1752"/>
      <c r="T3" s="1752"/>
      <c r="U3" s="1752"/>
      <c r="V3" s="1752"/>
    </row>
    <row r="4" spans="1:22" ht="14.4">
      <c r="A4" s="249" t="s">
        <v>265</v>
      </c>
      <c r="B4" s="250" t="s">
        <v>266</v>
      </c>
      <c r="C4" s="251" t="s">
        <v>3337</v>
      </c>
      <c r="D4" s="251" t="s">
        <v>3338</v>
      </c>
      <c r="E4" s="3790" t="s">
        <v>267</v>
      </c>
      <c r="F4" s="3832"/>
      <c r="G4" s="3832"/>
      <c r="H4" s="3832"/>
      <c r="I4" s="3791"/>
      <c r="J4" s="1753"/>
      <c r="K4" s="1752"/>
      <c r="L4" s="2939"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3.8">
      <c r="A5" s="3819" t="s">
        <v>268</v>
      </c>
      <c r="B5" s="3820">
        <v>25</v>
      </c>
      <c r="C5" s="3828"/>
      <c r="D5" s="3831"/>
      <c r="E5" s="252" t="s">
        <v>269</v>
      </c>
      <c r="F5" s="253"/>
      <c r="G5" s="253"/>
      <c r="H5" s="253"/>
      <c r="I5" s="254"/>
      <c r="J5" s="1753"/>
      <c r="K5" s="1752"/>
      <c r="L5" s="1752"/>
      <c r="M5" s="1752"/>
      <c r="N5" s="1752"/>
      <c r="O5" s="1752"/>
      <c r="P5" s="1752"/>
      <c r="Q5" s="1752"/>
      <c r="R5" s="1752"/>
      <c r="S5" s="1752"/>
      <c r="T5" s="1752"/>
      <c r="U5" s="1752"/>
      <c r="V5" s="1752"/>
    </row>
    <row r="6" spans="1:22" ht="13.8">
      <c r="A6" s="3819"/>
      <c r="B6" s="3820"/>
      <c r="C6" s="3829"/>
      <c r="D6" s="3831"/>
      <c r="E6" s="252" t="s">
        <v>270</v>
      </c>
      <c r="F6" s="253"/>
      <c r="G6" s="253"/>
      <c r="H6" s="253"/>
      <c r="I6" s="254"/>
      <c r="J6" s="1753"/>
      <c r="K6" s="1752"/>
      <c r="L6" s="1752"/>
      <c r="M6" s="1752"/>
      <c r="N6" s="1752"/>
      <c r="O6" s="1752"/>
      <c r="P6" s="1752"/>
      <c r="Q6" s="1752"/>
      <c r="R6" s="1752"/>
      <c r="S6" s="1752"/>
      <c r="T6" s="1752"/>
      <c r="U6" s="1752"/>
      <c r="V6" s="1752"/>
    </row>
    <row r="7" spans="1:22" ht="13.8">
      <c r="A7" s="3819"/>
      <c r="B7" s="3820"/>
      <c r="C7" s="3830"/>
      <c r="D7" s="3831"/>
      <c r="E7" s="252" t="s">
        <v>271</v>
      </c>
      <c r="F7" s="253"/>
      <c r="G7" s="253"/>
      <c r="H7" s="253"/>
      <c r="I7" s="254"/>
      <c r="J7" s="1753"/>
      <c r="K7" s="1752"/>
      <c r="L7" s="1752"/>
      <c r="M7" s="1752"/>
      <c r="N7" s="1752"/>
      <c r="O7" s="1752"/>
      <c r="P7" s="1752"/>
      <c r="Q7" s="1752"/>
      <c r="R7" s="1752"/>
      <c r="S7" s="1752"/>
      <c r="T7" s="1752"/>
      <c r="U7" s="1752"/>
      <c r="V7" s="1752"/>
    </row>
    <row r="8" spans="1:22" ht="13.8">
      <c r="A8" s="3819" t="s">
        <v>272</v>
      </c>
      <c r="B8" s="3820">
        <v>15</v>
      </c>
      <c r="C8" s="3828"/>
      <c r="D8" s="3831"/>
      <c r="E8" s="252" t="s">
        <v>273</v>
      </c>
      <c r="F8" s="253"/>
      <c r="G8" s="253"/>
      <c r="H8" s="253"/>
      <c r="I8" s="254"/>
      <c r="J8" s="1753"/>
      <c r="K8" s="1752"/>
      <c r="L8" s="1752"/>
      <c r="M8" s="1752"/>
      <c r="N8" s="1752"/>
      <c r="O8" s="1752"/>
      <c r="P8" s="1752"/>
      <c r="Q8" s="1752"/>
      <c r="R8" s="1752"/>
      <c r="S8" s="1752"/>
      <c r="T8" s="1752"/>
      <c r="U8" s="1752"/>
      <c r="V8" s="1752"/>
    </row>
    <row r="9" spans="1:22" ht="13.8">
      <c r="A9" s="3819"/>
      <c r="B9" s="3820"/>
      <c r="C9" s="3830"/>
      <c r="D9" s="3831"/>
      <c r="E9" s="252" t="s">
        <v>274</v>
      </c>
      <c r="F9" s="253"/>
      <c r="G9" s="253"/>
      <c r="H9" s="253"/>
      <c r="I9" s="254"/>
      <c r="J9" s="1753"/>
      <c r="K9" s="1752"/>
      <c r="L9" s="1752"/>
      <c r="M9" s="1752"/>
      <c r="N9" s="1752"/>
      <c r="O9" s="1752"/>
      <c r="P9" s="1752"/>
      <c r="Q9" s="1752"/>
      <c r="R9" s="1752"/>
      <c r="S9" s="1752"/>
      <c r="T9" s="1752"/>
      <c r="U9" s="1752"/>
      <c r="V9" s="1752"/>
    </row>
    <row r="10" spans="1:22" ht="13.8">
      <c r="A10" s="3819" t="s">
        <v>275</v>
      </c>
      <c r="B10" s="3820">
        <v>15</v>
      </c>
      <c r="C10" s="3828"/>
      <c r="D10" s="3831"/>
      <c r="E10" s="252" t="s">
        <v>276</v>
      </c>
      <c r="F10" s="253"/>
      <c r="G10" s="253"/>
      <c r="H10" s="253"/>
      <c r="I10" s="254"/>
      <c r="J10" s="1753"/>
      <c r="K10" s="1752"/>
      <c r="L10" s="1752"/>
      <c r="M10" s="1752"/>
      <c r="N10" s="1752"/>
      <c r="O10" s="1752"/>
      <c r="P10" s="1752"/>
      <c r="Q10" s="1752"/>
      <c r="R10" s="1752"/>
      <c r="S10" s="1752"/>
      <c r="T10" s="1752"/>
      <c r="U10" s="1752"/>
      <c r="V10" s="1752"/>
    </row>
    <row r="11" spans="1:22" ht="13.8">
      <c r="A11" s="3819"/>
      <c r="B11" s="3820"/>
      <c r="C11" s="3830"/>
      <c r="D11" s="3831"/>
      <c r="E11" s="252" t="s">
        <v>277</v>
      </c>
      <c r="F11" s="253"/>
      <c r="G11" s="253"/>
      <c r="H11" s="253"/>
      <c r="I11" s="254"/>
      <c r="J11" s="1753"/>
      <c r="K11" s="1752"/>
      <c r="L11" s="1752"/>
      <c r="M11" s="1752"/>
      <c r="N11" s="1752"/>
      <c r="O11" s="1752"/>
      <c r="P11" s="1752"/>
      <c r="Q11" s="1752"/>
      <c r="R11" s="1752"/>
      <c r="S11" s="1752"/>
      <c r="T11" s="1752"/>
      <c r="U11" s="1752"/>
      <c r="V11" s="1752"/>
    </row>
    <row r="12" spans="1:22" ht="13.8">
      <c r="A12" s="3819" t="s">
        <v>278</v>
      </c>
      <c r="B12" s="3820">
        <v>15</v>
      </c>
      <c r="C12" s="3828"/>
      <c r="D12" s="3831"/>
      <c r="E12" s="252" t="s">
        <v>279</v>
      </c>
      <c r="F12" s="253"/>
      <c r="G12" s="253"/>
      <c r="H12" s="253"/>
      <c r="I12" s="254"/>
      <c r="J12" s="1753"/>
      <c r="K12" s="1752"/>
      <c r="L12" s="1752"/>
      <c r="M12" s="1752"/>
      <c r="N12" s="1752"/>
      <c r="O12" s="1752"/>
      <c r="P12" s="1752"/>
      <c r="Q12" s="1752"/>
      <c r="R12" s="1752"/>
      <c r="S12" s="1752"/>
      <c r="T12" s="1752"/>
      <c r="U12" s="1752"/>
      <c r="V12" s="1752"/>
    </row>
    <row r="13" spans="1:22" ht="13.8">
      <c r="A13" s="3819"/>
      <c r="B13" s="3820"/>
      <c r="C13" s="3830"/>
      <c r="D13" s="3831"/>
      <c r="E13" s="252" t="s">
        <v>280</v>
      </c>
      <c r="F13" s="253"/>
      <c r="G13" s="253"/>
      <c r="H13" s="253"/>
      <c r="I13" s="254"/>
      <c r="J13" s="1753"/>
      <c r="K13" s="1752"/>
      <c r="L13" s="1752"/>
      <c r="M13" s="1752"/>
      <c r="N13" s="1752"/>
      <c r="O13" s="1752"/>
      <c r="P13" s="1752"/>
      <c r="Q13" s="1752"/>
      <c r="R13" s="1752"/>
      <c r="S13" s="1752"/>
      <c r="T13" s="1752"/>
      <c r="U13" s="1752"/>
      <c r="V13" s="1752"/>
    </row>
    <row r="14" spans="1:22" ht="13.8">
      <c r="A14" s="3819" t="s">
        <v>281</v>
      </c>
      <c r="B14" s="3820">
        <v>30</v>
      </c>
      <c r="C14" s="3828">
        <v>5</v>
      </c>
      <c r="D14" s="3831">
        <v>5</v>
      </c>
      <c r="E14" s="252" t="s">
        <v>282</v>
      </c>
      <c r="F14" s="253"/>
      <c r="G14" s="253"/>
      <c r="H14" s="253"/>
      <c r="I14" s="254"/>
      <c r="J14" s="1753"/>
      <c r="K14" s="1752"/>
      <c r="L14" s="1752"/>
      <c r="M14" s="1752"/>
      <c r="N14" s="1752"/>
      <c r="O14" s="1752"/>
      <c r="P14" s="1752"/>
      <c r="Q14" s="1752"/>
      <c r="R14" s="1752"/>
      <c r="S14" s="1752"/>
      <c r="T14" s="1752"/>
      <c r="U14" s="1752"/>
      <c r="V14" s="1752"/>
    </row>
    <row r="15" spans="1:22" ht="13.8">
      <c r="A15" s="3819"/>
      <c r="B15" s="3820"/>
      <c r="C15" s="3829"/>
      <c r="D15" s="3831"/>
      <c r="E15" s="252" t="s">
        <v>283</v>
      </c>
      <c r="F15" s="253"/>
      <c r="G15" s="253"/>
      <c r="H15" s="253"/>
      <c r="I15" s="254"/>
      <c r="J15" s="1753"/>
      <c r="K15" s="1752"/>
      <c r="L15" s="1752"/>
      <c r="M15" s="1752"/>
      <c r="N15" s="1752"/>
      <c r="O15" s="1752"/>
      <c r="P15" s="1752"/>
      <c r="Q15" s="1752"/>
      <c r="R15" s="1752"/>
      <c r="S15" s="1752"/>
      <c r="T15" s="1752"/>
      <c r="U15" s="1752"/>
      <c r="V15" s="1752"/>
    </row>
    <row r="16" spans="1:22" ht="13.8">
      <c r="A16" s="3819"/>
      <c r="B16" s="3820"/>
      <c r="C16" s="3830"/>
      <c r="D16" s="3831"/>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f>ROUND(C17/SUM(C17:D17),2)</f>
        <v>0.5</v>
      </c>
      <c r="D18" s="258">
        <f>1-C18</f>
        <v>0.5</v>
      </c>
      <c r="E18" s="3833" t="s">
        <v>2253</v>
      </c>
      <c r="F18" s="3834"/>
      <c r="G18" s="3834"/>
      <c r="H18" s="3834"/>
      <c r="I18" s="3834"/>
      <c r="J18" s="1752"/>
      <c r="K18" s="1752"/>
      <c r="L18" s="1752"/>
      <c r="M18" s="1752"/>
      <c r="N18" s="1752"/>
      <c r="O18" s="1752"/>
      <c r="P18" s="1752"/>
      <c r="Q18" s="1752"/>
      <c r="R18" s="1752"/>
      <c r="S18" s="1752"/>
      <c r="T18" s="1752"/>
      <c r="U18" s="1752"/>
      <c r="V18" s="1752"/>
    </row>
    <row r="19" spans="1:26" ht="14.4">
      <c r="A19" s="259" t="s">
        <v>287</v>
      </c>
      <c r="B19" s="260" t="s">
        <v>288</v>
      </c>
      <c r="C19" s="261">
        <f ca="1">SUMIF(INDIRECT("'"&amp;C4&amp;"'"&amp;"!A:A"),结果表!B19,INDIRECT("'"&amp;C4&amp;"'"&amp;"!B:B"))</f>
        <v>171535</v>
      </c>
      <c r="D19" s="262">
        <f ca="1">SUMIF(INDIRECT("'"&amp;D4&amp;"'"&amp;"!A:A"),结果表!B19,INDIRECT("'"&amp;D4&amp;"'"&amp;"!B:B"))</f>
        <v>114560</v>
      </c>
      <c r="E19" s="259" t="s">
        <v>289</v>
      </c>
      <c r="F19" s="260" t="s">
        <v>288</v>
      </c>
      <c r="G19" s="263">
        <f ca="1">ROUND(C19*$C$18+D19*$D$18,0)</f>
        <v>143048</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f ca="1">SUMIF(INDIRECT("'"&amp;C4&amp;"'"&amp;"!A:A"),结果表!B20,INDIRECT("'"&amp;C4&amp;"'"&amp;"!B:B"))</f>
        <v>13444</v>
      </c>
      <c r="D20" s="268">
        <f ca="1">SUMIF(INDIRECT("'"&amp;D4&amp;"'"&amp;"!A:A"),结果表!B20,INDIRECT("'"&amp;D4&amp;"'"&amp;"!B:B"))</f>
        <v>8979</v>
      </c>
      <c r="E20" s="265"/>
      <c r="F20" s="266" t="s">
        <v>291</v>
      </c>
      <c r="G20" s="269">
        <f ca="1">ROUND(C20*$C$18+D20*$D$18,0)</f>
        <v>11212</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175194</v>
      </c>
      <c r="D21" s="144">
        <f ca="1">SUMIF(INDIRECT("'"&amp;D4&amp;"'"&amp;"!A:A"),结果表!B21,INDIRECT("'"&amp;D4&amp;"'"&amp;"!B:B"))</f>
        <v>117004</v>
      </c>
      <c r="E21" s="265"/>
      <c r="F21" s="271" t="s">
        <v>293</v>
      </c>
      <c r="G21" s="273">
        <f ca="1">ROUND(C21*$C$18+D21*$D$18,0)</f>
        <v>146099</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f ca="1">IF(C19&lt;D19,D19/C19-1,C19/D19-1)</f>
        <v>0.49733763966480438</v>
      </c>
      <c r="E22" s="275"/>
      <c r="F22" s="276"/>
      <c r="G22" s="277">
        <f ca="1">ROUND(G19/('数据-汇总表'!D3/666.67),0)</f>
        <v>9740</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92"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3839"/>
      <c r="B25" s="1190" t="s">
        <v>297</v>
      </c>
      <c r="C25" s="281">
        <f>IF(B30=0,0,C30)</f>
        <v>0</v>
      </c>
      <c r="D25" s="282"/>
      <c r="E25" s="302"/>
      <c r="F25" s="302"/>
      <c r="G25" s="302"/>
      <c r="H25" s="302"/>
      <c r="I25" s="302"/>
      <c r="J25" s="1752"/>
      <c r="K25" s="1124" t="str">
        <f ca="1">项目基本情况!A17&amp;"国有建设用地使用权价格："&amp;O38&amp;"万元"</f>
        <v>出让国有建设用地使用权价格：143048万元</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str">
        <f ca="1">"大写金额：人民币"&amp;NUMBERSTRING(INT(O38*10000),2)&amp;"元整"</f>
        <v>大写金额：人民币壹拾肆亿叁仟零肆拾捌万元整</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str">
        <f ca="1">"单位面积地价："&amp;M38&amp;"元/平方米"</f>
        <v>单位面积地价：146099元/平方米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楼面地价：11211元/平方米</v>
      </c>
      <c r="L28" s="1121"/>
      <c r="M28" s="1121"/>
      <c r="N28" s="1121"/>
      <c r="O28" s="1120"/>
      <c r="P28" s="1752"/>
      <c r="V28" s="1752"/>
    </row>
    <row r="29" spans="1:26" ht="17.399999999999999">
      <c r="A29" s="284"/>
      <c r="B29" s="285"/>
      <c r="C29" s="285"/>
      <c r="D29" s="286"/>
      <c r="E29" s="302"/>
      <c r="F29" s="302"/>
      <c r="G29" s="302"/>
      <c r="H29" s="302"/>
      <c r="I29" s="302"/>
      <c r="J29" s="1752"/>
      <c r="K29" s="1127" t="str">
        <f ca="1">IF(OR(项目基本情况!E8="抵押价格",项目基本情况!E8="已注销及未注销"),"抵押价格："&amp;O39&amp;"万元","——")</f>
        <v>抵押价格：143048万元</v>
      </c>
      <c r="L29" s="1121"/>
      <c r="M29" s="1121"/>
      <c r="N29" s="1121"/>
      <c r="O29" s="1120"/>
      <c r="P29" s="1752"/>
      <c r="V29" s="1752"/>
    </row>
    <row r="30" spans="1:26" ht="18" thickBot="1">
      <c r="A30" s="2555" t="s">
        <v>302</v>
      </c>
      <c r="B30" s="300"/>
      <c r="C30" s="300"/>
      <c r="D30" s="301"/>
      <c r="E30" s="2746" t="s">
        <v>2254</v>
      </c>
      <c r="F30" s="302"/>
      <c r="G30" s="302"/>
      <c r="H30" s="302"/>
      <c r="I30" s="302"/>
      <c r="J30" s="1752"/>
      <c r="K30" s="1127" t="str">
        <f ca="1">IF(K29="——","——","大写金额：人民币"&amp;NUMBERSTRING(INT(O39*10000),2)&amp;"元整")</f>
        <v>大写金额：人民币壹拾肆亿叁仟零肆拾捌万元整</v>
      </c>
      <c r="L30" s="1121"/>
      <c r="M30" s="1121"/>
      <c r="N30" s="1121"/>
      <c r="O30" s="1120"/>
      <c r="P30" s="1752"/>
      <c r="V30" s="1752"/>
    </row>
    <row r="31" spans="1:26" ht="24" customHeight="1" thickBot="1">
      <c r="A31" s="3835" t="s">
        <v>2255</v>
      </c>
      <c r="B31" s="3835"/>
      <c r="C31" s="3835"/>
      <c r="D31" s="3835"/>
      <c r="E31" s="3835"/>
      <c r="F31" s="3835"/>
      <c r="G31" s="3835"/>
      <c r="H31" s="3835"/>
      <c r="I31" s="3835"/>
      <c r="J31" s="1752"/>
      <c r="K31" s="2118" t="str">
        <f>IF(项目基本情况!E8="抵押价格","——","抵押担保权已注销时的抵押价格："&amp;O40&amp;"万元")</f>
        <v>——</v>
      </c>
      <c r="L31" s="2114"/>
      <c r="M31" s="2114"/>
      <c r="N31" s="2114"/>
      <c r="O31" s="2115"/>
      <c r="P31" s="1752"/>
      <c r="V31" s="1752"/>
    </row>
    <row r="32" spans="1:26" ht="18.600000000000001" thickTop="1" thickBot="1">
      <c r="A32" s="265" t="s">
        <v>303</v>
      </c>
      <c r="B32" s="2747" t="s">
        <v>1221</v>
      </c>
      <c r="C32" s="257">
        <f ca="1">G19-C24</f>
        <v>143048</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 thickBot="1">
      <c r="A33" s="289" t="s">
        <v>306</v>
      </c>
      <c r="B33" s="1239" t="s">
        <v>1223</v>
      </c>
      <c r="C33" s="255">
        <f ca="1">ROUND(C32*10000/'数据-汇总表'!E3,0)</f>
        <v>11211</v>
      </c>
      <c r="D33" s="1240" t="s">
        <v>1224</v>
      </c>
      <c r="E33" s="3792"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1225</v>
      </c>
      <c r="C34" s="255">
        <f ca="1">ROUND(C32*10000/'数据-汇总表'!D3,0)</f>
        <v>146099</v>
      </c>
      <c r="D34" s="1242" t="s">
        <v>1224</v>
      </c>
      <c r="E34" s="3793"/>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f ca="1">ROUND(C32/('数据-汇总表'!D3/666.67),0)</f>
        <v>9740</v>
      </c>
      <c r="D35" s="1245" t="s">
        <v>1226</v>
      </c>
      <c r="E35" s="3794"/>
      <c r="F35" s="292" t="s">
        <v>308</v>
      </c>
      <c r="G35" s="944"/>
      <c r="H35" s="943" t="s">
        <v>309</v>
      </c>
      <c r="I35" s="302"/>
      <c r="J35" s="1752"/>
      <c r="K35" s="3798" t="s">
        <v>316</v>
      </c>
      <c r="L35" s="3798" t="s">
        <v>317</v>
      </c>
      <c r="M35" s="1133" t="s">
        <v>318</v>
      </c>
      <c r="N35" s="3798" t="s">
        <v>319</v>
      </c>
      <c r="O35" s="3798" t="s">
        <v>320</v>
      </c>
      <c r="P35" s="1752"/>
      <c r="V35" s="1752"/>
    </row>
    <row r="36" spans="1:26" ht="16.5" customHeight="1">
      <c r="A36" s="294" t="s">
        <v>310</v>
      </c>
      <c r="B36" s="295" t="s">
        <v>299</v>
      </c>
      <c r="C36" s="296" t="s">
        <v>311</v>
      </c>
      <c r="D36" s="296" t="s">
        <v>312</v>
      </c>
      <c r="E36" s="297" t="s">
        <v>313</v>
      </c>
      <c r="F36" s="302"/>
      <c r="G36" s="302"/>
      <c r="H36" s="302"/>
      <c r="I36" s="302"/>
      <c r="J36" s="1754"/>
      <c r="K36" s="3799"/>
      <c r="L36" s="3799"/>
      <c r="M36" s="1135" t="s">
        <v>321</v>
      </c>
      <c r="N36" s="3799"/>
      <c r="O36" s="3799"/>
      <c r="P36" s="1752"/>
      <c r="V36" s="1752"/>
    </row>
    <row r="37" spans="1:26" ht="16.5" customHeight="1" thickBot="1">
      <c r="A37" s="1129" t="s">
        <v>314</v>
      </c>
      <c r="B37" s="298"/>
      <c r="C37" s="285"/>
      <c r="D37" s="285"/>
      <c r="E37" s="286"/>
      <c r="F37" s="302"/>
      <c r="G37" s="302"/>
      <c r="H37" s="302"/>
      <c r="I37" s="302"/>
      <c r="J37" s="1754"/>
      <c r="K37" s="3800"/>
      <c r="L37" s="3800"/>
      <c r="M37" s="1136"/>
      <c r="N37" s="3800"/>
      <c r="O37" s="3800"/>
      <c r="P37" s="1752"/>
      <c r="V37" s="1752"/>
    </row>
    <row r="38" spans="1:26" ht="16.5" customHeight="1" thickBot="1">
      <c r="A38" s="1129" t="s">
        <v>315</v>
      </c>
      <c r="B38" s="298"/>
      <c r="C38" s="285"/>
      <c r="D38" s="285"/>
      <c r="E38" s="286"/>
      <c r="F38" s="302"/>
      <c r="G38" s="302"/>
      <c r="H38" s="302"/>
      <c r="I38" s="302"/>
      <c r="J38" s="1754"/>
      <c r="K38" s="1137">
        <f>'数据-汇总表'!D3</f>
        <v>9791.14</v>
      </c>
      <c r="L38" s="1138">
        <f>'数据-汇总表'!E3</f>
        <v>127591.06</v>
      </c>
      <c r="M38" s="1138">
        <f ca="1">C34</f>
        <v>146099</v>
      </c>
      <c r="N38" s="1138">
        <f ca="1">C33</f>
        <v>11211</v>
      </c>
      <c r="O38" s="1139">
        <f ca="1">C32</f>
        <v>143048</v>
      </c>
      <c r="P38" s="1752"/>
      <c r="V38" s="1752"/>
    </row>
    <row r="39" spans="1:26" ht="16.5" customHeight="1" thickBot="1">
      <c r="A39" s="1134"/>
      <c r="B39" s="299"/>
      <c r="C39" s="300"/>
      <c r="D39" s="300"/>
      <c r="E39" s="301"/>
      <c r="F39" s="302"/>
      <c r="G39" s="302"/>
      <c r="H39" s="302"/>
      <c r="I39" s="302"/>
      <c r="J39" s="1754"/>
      <c r="K39" s="3811" t="str">
        <f>MID(A44,3,LEN(A44)-2)</f>
        <v>抵押价格</v>
      </c>
      <c r="L39" s="3812"/>
      <c r="M39" s="3812"/>
      <c r="N39" s="3813"/>
      <c r="O39" s="1247">
        <f ca="1">C44</f>
        <v>143048</v>
      </c>
      <c r="P39" s="1752"/>
      <c r="V39" s="1752"/>
    </row>
    <row r="40" spans="1:26" ht="18" thickBot="1">
      <c r="A40" s="100" t="s">
        <v>810</v>
      </c>
      <c r="B40" s="302"/>
      <c r="C40" s="302"/>
      <c r="D40" s="302"/>
      <c r="E40" s="302"/>
      <c r="F40" s="302"/>
      <c r="G40" s="302"/>
      <c r="H40" s="302"/>
      <c r="I40" s="302"/>
      <c r="J40" s="1754"/>
      <c r="K40" s="3811" t="str">
        <f>MID(A45,3,LEN(A45)-2)</f>
        <v/>
      </c>
      <c r="L40" s="3812"/>
      <c r="M40" s="3812"/>
      <c r="N40" s="3813"/>
      <c r="O40" s="1247" t="str">
        <f>C45</f>
        <v>——</v>
      </c>
      <c r="P40" s="1752"/>
      <c r="V40" s="1752"/>
    </row>
    <row r="41" spans="1:26" ht="16.2" thickBot="1">
      <c r="A41" s="303" t="s">
        <v>322</v>
      </c>
      <c r="B41" s="304"/>
      <c r="C41" s="305" t="s">
        <v>323</v>
      </c>
      <c r="D41" s="306" t="s">
        <v>324</v>
      </c>
      <c r="E41" s="306" t="s">
        <v>325</v>
      </c>
      <c r="F41" s="307" t="s">
        <v>326</v>
      </c>
      <c r="G41" s="302"/>
      <c r="H41" s="302"/>
      <c r="I41" s="302"/>
      <c r="J41" s="1754"/>
      <c r="K41" s="3811" t="str">
        <f>MID(A46,3,LEN(A46)-2)</f>
        <v/>
      </c>
      <c r="L41" s="3812"/>
      <c r="M41" s="3812"/>
      <c r="N41" s="3813"/>
      <c r="O41" s="1247" t="str">
        <f>C46</f>
        <v>——</v>
      </c>
      <c r="P41" s="1752"/>
      <c r="V41" s="1752"/>
    </row>
    <row r="42" spans="1:26" ht="31.2">
      <c r="A42" s="3840" t="s">
        <v>1585</v>
      </c>
      <c r="B42" s="3841"/>
      <c r="C42" s="255">
        <f ca="1">C32</f>
        <v>143048</v>
      </c>
      <c r="D42" s="308">
        <f ca="1">C33</f>
        <v>11211</v>
      </c>
      <c r="E42" s="308">
        <f ca="1">C34</f>
        <v>146099</v>
      </c>
      <c r="F42" s="309">
        <f ca="1">C35</f>
        <v>9740</v>
      </c>
      <c r="G42" s="302"/>
      <c r="H42" s="302"/>
      <c r="I42" s="310"/>
      <c r="J42" s="1754"/>
      <c r="K42" s="1140" t="s">
        <v>327</v>
      </c>
      <c r="L42" s="1771" t="s">
        <v>328</v>
      </c>
      <c r="M42" s="1141" t="s">
        <v>329</v>
      </c>
      <c r="N42" s="1772" t="s">
        <v>330</v>
      </c>
      <c r="O42" s="1773" t="s">
        <v>331</v>
      </c>
      <c r="P42" s="1752"/>
      <c r="V42" s="1752"/>
    </row>
    <row r="43" spans="1:26" ht="30">
      <c r="A43" s="3850" t="s">
        <v>2012</v>
      </c>
      <c r="B43" s="3851"/>
      <c r="C43" s="255">
        <f>IF(H33="正常操作",G33+G34+G35,G34+G35)</f>
        <v>0</v>
      </c>
      <c r="D43" s="308" t="s">
        <v>17</v>
      </c>
      <c r="E43" s="308" t="s">
        <v>18</v>
      </c>
      <c r="F43" s="309" t="s">
        <v>18</v>
      </c>
      <c r="G43" s="2346" t="s">
        <v>877</v>
      </c>
      <c r="H43" s="302"/>
      <c r="I43" s="310"/>
      <c r="J43" s="1754"/>
      <c r="K43" s="1142" t="str">
        <f>C4</f>
        <v>比较法-住宅、综合</v>
      </c>
      <c r="L43" s="1143">
        <f ca="1">IF(L42="估价结果/万元",C19,C20)</f>
        <v>171535</v>
      </c>
      <c r="M43" s="1144">
        <f>C18</f>
        <v>0.5</v>
      </c>
      <c r="N43" s="1145">
        <f ca="1">IF(N42="测算结果/万元",G19,G20)</f>
        <v>143048</v>
      </c>
      <c r="O43" s="1146">
        <f ca="1">IF(O42="最终结果/万元",C32,C33)</f>
        <v>143048</v>
      </c>
      <c r="P43" s="1752"/>
      <c r="V43" s="1752"/>
    </row>
    <row r="44" spans="1:26" ht="30.6" thickBot="1">
      <c r="A44" s="3840" t="str">
        <f>IF(OR(项目基本情况!E8="抵押价格",项目基本情况!E8="已注销及未注销"),"3.抵押价格","——")</f>
        <v>3.抵押价格</v>
      </c>
      <c r="B44" s="3841"/>
      <c r="C44" s="255">
        <f ca="1">IF(A44="——","——",C42-C43)</f>
        <v>143048</v>
      </c>
      <c r="D44" s="308">
        <f ca="1">ROUND(C44*10000/'数据-汇总表'!E3,0)</f>
        <v>11211</v>
      </c>
      <c r="E44" s="308">
        <f ca="1">ROUND(C44*10000/'数据-汇总表'!D3,0)</f>
        <v>146099</v>
      </c>
      <c r="F44" s="309">
        <f ca="1">ROUND(C44/('数据-汇总表'!D3/666.67),0)</f>
        <v>9740</v>
      </c>
      <c r="G44" s="302"/>
      <c r="H44" s="302"/>
      <c r="I44" s="310"/>
      <c r="J44" s="1754"/>
      <c r="K44" s="1147" t="str">
        <f>D4</f>
        <v>剩余法-待开发</v>
      </c>
      <c r="L44" s="1148">
        <f ca="1">IF(L42="估价结果/万元",D19,D20)</f>
        <v>114560</v>
      </c>
      <c r="M44" s="1149">
        <f>D18</f>
        <v>0.5</v>
      </c>
      <c r="N44" s="1150"/>
      <c r="O44" s="1151"/>
      <c r="P44" s="1752"/>
      <c r="V44" s="1752"/>
    </row>
    <row r="45" spans="1:26" ht="13.8">
      <c r="A45" s="3845" t="str">
        <f>IF(项目基本情况!E8="已注销及未注销","4.抵押担保权已注销时的抵押价格",IF(项目基本情况!E8="已注销","3.抵押担保权已注销时的抵押价格","——"))</f>
        <v>——</v>
      </c>
      <c r="B45" s="3846"/>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3842" t="str">
        <f>IF(项目基本情况!E9="抵押净值",IF(A45="——","4.抵押净值","5.抵押净值"),"——")</f>
        <v>——</v>
      </c>
      <c r="B46" s="3843"/>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03" t="s">
        <v>340</v>
      </c>
      <c r="B63" s="3804"/>
      <c r="C63" s="3805"/>
      <c r="D63" s="332">
        <f ca="1">ROUND(C42*F63,0)</f>
        <v>143048</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47" t="s">
        <v>344</v>
      </c>
      <c r="B64" s="3848"/>
      <c r="C64" s="3848"/>
      <c r="D64" s="3848"/>
      <c r="E64" s="3848"/>
      <c r="F64" s="3848"/>
      <c r="G64" s="3849"/>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3844" t="s">
        <v>352</v>
      </c>
      <c r="B66" s="3810"/>
      <c r="C66" s="3810"/>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771" t="s">
        <v>351</v>
      </c>
      <c r="M66" s="3772"/>
      <c r="N66" s="2110"/>
      <c r="O66" s="2111"/>
      <c r="P66" s="2112"/>
      <c r="Q66" s="1752"/>
      <c r="R66" s="1752"/>
      <c r="S66" s="1752"/>
      <c r="T66" s="1752"/>
      <c r="U66" s="1752"/>
      <c r="V66" s="1752"/>
    </row>
    <row r="67" spans="1:22" ht="25.5" customHeight="1">
      <c r="A67" s="343" t="s">
        <v>355</v>
      </c>
      <c r="B67" s="3822" t="s">
        <v>356</v>
      </c>
      <c r="C67" s="3822"/>
      <c r="D67" s="344">
        <v>0</v>
      </c>
      <c r="E67" s="39" t="s">
        <v>357</v>
      </c>
      <c r="F67" s="60" t="s">
        <v>15</v>
      </c>
      <c r="G67" s="3806"/>
      <c r="H67" s="2749" t="s">
        <v>2256</v>
      </c>
      <c r="I67" s="2751"/>
      <c r="J67" s="1759"/>
      <c r="K67" s="1731">
        <v>2</v>
      </c>
      <c r="L67" s="3776" t="s">
        <v>354</v>
      </c>
      <c r="M67" s="3776"/>
      <c r="N67" s="1194">
        <f>'数据-取费表'!B2</f>
        <v>45028</v>
      </c>
      <c r="O67" s="1194"/>
      <c r="P67" s="1194"/>
      <c r="Q67" s="1752"/>
      <c r="R67" s="1752"/>
      <c r="S67" s="1752"/>
      <c r="T67" s="1752"/>
      <c r="U67" s="1752"/>
      <c r="V67" s="1752"/>
    </row>
    <row r="68" spans="1:22" ht="25.5" customHeight="1">
      <c r="A68" s="345"/>
      <c r="B68" s="3822" t="s">
        <v>359</v>
      </c>
      <c r="C68" s="3822"/>
      <c r="D68" s="346"/>
      <c r="E68" s="75"/>
      <c r="F68" s="347"/>
      <c r="G68" s="3807"/>
      <c r="H68" s="2750" t="s">
        <v>2257</v>
      </c>
      <c r="I68" s="2751"/>
      <c r="J68" s="1759"/>
      <c r="K68" s="1731">
        <v>3</v>
      </c>
      <c r="L68" s="3776" t="s">
        <v>358</v>
      </c>
      <c r="M68" s="3776"/>
      <c r="N68" s="1162">
        <f ca="1">C42</f>
        <v>143048</v>
      </c>
      <c r="O68" s="1162"/>
      <c r="P68" s="1162"/>
      <c r="Q68" s="1752"/>
      <c r="R68" s="1752"/>
      <c r="S68" s="1752"/>
      <c r="T68" s="1752"/>
      <c r="U68" s="1752"/>
      <c r="V68" s="1752"/>
    </row>
    <row r="69" spans="1:22" ht="23.4" customHeight="1">
      <c r="A69" s="348"/>
      <c r="B69" s="3822" t="s">
        <v>360</v>
      </c>
      <c r="C69" s="3822"/>
      <c r="D69" s="349"/>
      <c r="E69" s="71"/>
      <c r="F69" s="347"/>
      <c r="G69" s="3808"/>
      <c r="H69" s="2750" t="s">
        <v>2258</v>
      </c>
      <c r="I69" s="2751"/>
      <c r="J69" s="1759"/>
      <c r="K69" s="1163">
        <v>4</v>
      </c>
      <c r="L69" s="3777" t="s">
        <v>2157</v>
      </c>
      <c r="M69" s="3778"/>
      <c r="N69" s="1164">
        <f ca="1">C44</f>
        <v>143048</v>
      </c>
      <c r="O69" s="1164"/>
      <c r="P69" s="1164"/>
      <c r="Q69" s="1752"/>
      <c r="R69" s="1752"/>
      <c r="S69" s="1752"/>
      <c r="T69" s="1752"/>
      <c r="U69" s="1752"/>
      <c r="V69" s="1752"/>
    </row>
    <row r="70" spans="1:22" ht="24" customHeight="1">
      <c r="A70" s="350" t="s">
        <v>361</v>
      </c>
      <c r="B70" s="3822" t="s">
        <v>362</v>
      </c>
      <c r="C70" s="3822"/>
      <c r="D70" s="349">
        <f ca="1">ROUND(D63*'数据-取费表'!B41/(1+'数据-取费表'!C42),0)</f>
        <v>7493</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21" t="s">
        <v>2285</v>
      </c>
      <c r="C71" s="3838"/>
      <c r="D71" s="349">
        <f ca="1">ROUND(D63*'数据-取费表'!B41/(1+'数据-取费表'!C42),0)</f>
        <v>7493</v>
      </c>
      <c r="E71" s="15" t="s">
        <v>363</v>
      </c>
      <c r="F71" s="351">
        <f>'数据-取费表'!B41</f>
        <v>5.5000000000000007E-2</v>
      </c>
      <c r="G71" s="352"/>
      <c r="H71" s="302"/>
      <c r="I71" s="1161"/>
      <c r="J71" s="1759"/>
      <c r="K71" s="2521" t="s">
        <v>364</v>
      </c>
      <c r="L71" s="3779" t="s">
        <v>365</v>
      </c>
      <c r="M71" s="3779"/>
      <c r="N71" s="2521" t="s">
        <v>366</v>
      </c>
      <c r="O71" s="2521" t="s">
        <v>367</v>
      </c>
      <c r="P71" s="2521" t="s">
        <v>368</v>
      </c>
      <c r="Q71" s="1752"/>
      <c r="R71" s="1752"/>
      <c r="S71" s="1752"/>
      <c r="T71" s="1752"/>
      <c r="U71" s="1752"/>
      <c r="V71" s="1752"/>
    </row>
    <row r="72" spans="1:22" ht="12" customHeight="1">
      <c r="A72" s="350" t="s">
        <v>371</v>
      </c>
      <c r="B72" s="3821" t="s">
        <v>2286</v>
      </c>
      <c r="C72" s="3838"/>
      <c r="D72" s="349">
        <f ca="1">C86</f>
        <v>7493</v>
      </c>
      <c r="E72" s="71" t="s">
        <v>372</v>
      </c>
      <c r="F72" s="351">
        <f>'数据-取费表'!B41</f>
        <v>5.5000000000000007E-2</v>
      </c>
      <c r="G72" s="352"/>
      <c r="H72" s="1167"/>
      <c r="I72" s="1161"/>
      <c r="J72" s="1759"/>
      <c r="K72" s="1731">
        <v>1</v>
      </c>
      <c r="L72" s="3775" t="s">
        <v>370</v>
      </c>
      <c r="M72" s="3775"/>
      <c r="N72" s="1165" t="b">
        <f>D66</f>
        <v>0</v>
      </c>
      <c r="O72" s="1636" t="str">
        <f>E66</f>
        <v>销售额×税（费）率</v>
      </c>
      <c r="P72" s="1166">
        <f>F66</f>
        <v>5.5000000000000007E-2</v>
      </c>
      <c r="Q72" s="1752"/>
      <c r="R72" s="1752"/>
      <c r="S72" s="1752"/>
      <c r="T72" s="1752"/>
      <c r="U72" s="1752"/>
      <c r="V72" s="1752"/>
    </row>
    <row r="73" spans="1:22" ht="24" customHeight="1">
      <c r="A73" s="3809" t="s">
        <v>374</v>
      </c>
      <c r="B73" s="3810"/>
      <c r="C73" s="3810"/>
      <c r="D73" s="353">
        <f ca="1">IF(H73="个人住宅",0,ROUND(D63*I73,0))</f>
        <v>72</v>
      </c>
      <c r="E73" s="15" t="s">
        <v>375</v>
      </c>
      <c r="F73" s="351" t="str">
        <f>IF(H73="正常",I73,"免征")</f>
        <v>免征</v>
      </c>
      <c r="G73" s="352"/>
      <c r="H73" s="184"/>
      <c r="I73" s="351">
        <f>'数据-取费表'!B49</f>
        <v>5.0000000000000001E-4</v>
      </c>
      <c r="J73" s="1759"/>
      <c r="K73" s="1731">
        <v>2</v>
      </c>
      <c r="L73" s="3775" t="s">
        <v>373</v>
      </c>
      <c r="M73" s="3775"/>
      <c r="N73" s="1165">
        <f t="shared" ref="N73:P74" ca="1" si="0">D73</f>
        <v>72</v>
      </c>
      <c r="O73" s="1636" t="str">
        <f t="shared" si="0"/>
        <v>销售额×税（费）率</v>
      </c>
      <c r="P73" s="1166" t="str">
        <f t="shared" si="0"/>
        <v>免征</v>
      </c>
      <c r="Q73" s="1752"/>
      <c r="R73" s="1752"/>
      <c r="S73" s="1752"/>
      <c r="T73" s="1752"/>
      <c r="U73" s="1752"/>
      <c r="V73" s="1752"/>
    </row>
    <row r="74" spans="1:22" ht="25.2">
      <c r="A74" s="3809" t="s">
        <v>377</v>
      </c>
      <c r="B74" s="3810"/>
      <c r="C74" s="3810"/>
      <c r="D74" s="353">
        <f ca="1">IF(H74="个人住宅",D75,D76)</f>
        <v>81095</v>
      </c>
      <c r="E74" s="15" t="s">
        <v>378</v>
      </c>
      <c r="F74" s="351" t="str">
        <f>IF(H74="正常",F76,"免征")</f>
        <v>免征</v>
      </c>
      <c r="G74" s="945" t="s">
        <v>379</v>
      </c>
      <c r="H74" s="354"/>
      <c r="I74" s="40"/>
      <c r="J74" s="1759"/>
      <c r="K74" s="1731">
        <v>3</v>
      </c>
      <c r="L74" s="3775" t="s">
        <v>376</v>
      </c>
      <c r="M74" s="3775"/>
      <c r="N74" s="1165">
        <f t="shared" ca="1" si="0"/>
        <v>81095</v>
      </c>
      <c r="O74" s="1636" t="str">
        <f t="shared" si="0"/>
        <v>增值额×税（费）率</v>
      </c>
      <c r="P74" s="1168" t="str">
        <f t="shared" si="0"/>
        <v>免征</v>
      </c>
      <c r="Q74" s="1752"/>
      <c r="R74" s="1752"/>
      <c r="S74" s="1752"/>
      <c r="T74" s="1752"/>
      <c r="U74" s="1752"/>
      <c r="V74" s="1752"/>
    </row>
    <row r="75" spans="1:22" ht="13.2">
      <c r="A75" s="350" t="s">
        <v>380</v>
      </c>
      <c r="B75" s="3790" t="s">
        <v>381</v>
      </c>
      <c r="C75" s="3791"/>
      <c r="D75" s="355">
        <v>0</v>
      </c>
      <c r="E75" s="39" t="s">
        <v>382</v>
      </c>
      <c r="F75" s="356"/>
      <c r="G75" s="352"/>
      <c r="H75" s="40"/>
      <c r="I75" s="40"/>
      <c r="J75" s="1759"/>
      <c r="K75" s="2515">
        <f>IF(H77="非个人房产","",4)</f>
        <v>4</v>
      </c>
      <c r="L75" s="3775" t="str">
        <f>IF(H77="非个人房产","——","个人所得税")</f>
        <v>个人所得税</v>
      </c>
      <c r="M75" s="3775"/>
      <c r="N75" s="1169">
        <f>D77</f>
        <v>0</v>
      </c>
      <c r="O75" s="1637" t="str">
        <f>E77</f>
        <v>差额计税</v>
      </c>
      <c r="P75" s="1170">
        <f>F77</f>
        <v>0.01</v>
      </c>
      <c r="Q75" s="1752"/>
      <c r="R75" s="1752"/>
      <c r="S75" s="1752"/>
      <c r="T75" s="1752"/>
      <c r="U75" s="1752"/>
      <c r="V75" s="1752"/>
    </row>
    <row r="76" spans="1:22" ht="25.2">
      <c r="A76" s="350" t="s">
        <v>361</v>
      </c>
      <c r="B76" s="3790" t="s">
        <v>384</v>
      </c>
      <c r="C76" s="3832"/>
      <c r="D76" s="353">
        <f ca="1">IF(H76="转让取得",C99,C115)</f>
        <v>81095</v>
      </c>
      <c r="E76" s="15" t="s">
        <v>385</v>
      </c>
      <c r="F76" s="51" t="s">
        <v>15</v>
      </c>
      <c r="G76" s="352"/>
      <c r="H76" s="354"/>
      <c r="I76" s="40"/>
      <c r="J76" s="1759"/>
      <c r="K76" s="2515" t="str">
        <f>IF(项目基本情况!K6="上海银行",IF(K75="",4,K75+1),"")</f>
        <v/>
      </c>
      <c r="L76" s="3786" t="str">
        <f>IF(项目基本情况!K6="上海银行","其他处置费用","")</f>
        <v/>
      </c>
      <c r="M76" s="3787"/>
      <c r="N76" s="1165" t="str">
        <f>IF(项目基本情况!K6="上海银行",N89,"")</f>
        <v/>
      </c>
      <c r="O76" s="3788" t="str">
        <f>IF(项目基本情况!K6="上海银行","包含处置中涉及的律师、诉讼、拍卖、评估等费用","")</f>
        <v/>
      </c>
      <c r="P76" s="3789"/>
      <c r="Q76" s="1752"/>
      <c r="R76" s="1752"/>
      <c r="S76" s="1752"/>
      <c r="T76" s="1752"/>
      <c r="U76" s="1752"/>
      <c r="V76" s="1752"/>
    </row>
    <row r="77" spans="1:22" ht="24.6" thickBot="1">
      <c r="A77" s="3801" t="s">
        <v>387</v>
      </c>
      <c r="B77" s="3802"/>
      <c r="C77" s="3802"/>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2259</v>
      </c>
      <c r="J77" s="1759"/>
      <c r="K77" s="3797">
        <f>IF(AND(K75="",K76=""),4,IF(项目基本情况!K6="上海银行",K76+1,K75+1))</f>
        <v>5</v>
      </c>
      <c r="L77" s="3775" t="s">
        <v>2158</v>
      </c>
      <c r="M77" s="2520" t="s">
        <v>383</v>
      </c>
      <c r="N77" s="1171"/>
      <c r="O77" s="1172">
        <f ca="1">SUMIF(N72:N76,"&lt;9e307")</f>
        <v>81167</v>
      </c>
      <c r="P77" s="1173"/>
      <c r="Q77" s="2518">
        <f ca="1">O77/N69</f>
        <v>0.56741093898551531</v>
      </c>
      <c r="R77" s="1752"/>
      <c r="S77" s="1752"/>
      <c r="T77" s="1752"/>
      <c r="U77" s="1752"/>
      <c r="V77" s="1752"/>
    </row>
    <row r="78" spans="1:22" ht="12" customHeight="1">
      <c r="A78" s="1174"/>
      <c r="B78" s="302"/>
      <c r="C78" s="302"/>
      <c r="D78" s="302"/>
      <c r="E78" s="40"/>
      <c r="F78" s="40"/>
      <c r="G78" s="40"/>
      <c r="H78" s="965"/>
      <c r="I78" s="302"/>
      <c r="J78" s="1759"/>
      <c r="K78" s="3797"/>
      <c r="L78" s="3775"/>
      <c r="M78" s="2520" t="s">
        <v>386</v>
      </c>
      <c r="N78" s="1171"/>
      <c r="O78" s="1172" t="str">
        <f ca="1">NUMBERSTRING(INT(O77*10000),2)&amp;"元整"</f>
        <v>捌亿壹仟壹佰陆拾柒万元整</v>
      </c>
      <c r="P78" s="1173"/>
      <c r="Q78" s="1752"/>
      <c r="R78" s="1752"/>
      <c r="S78" s="1752"/>
      <c r="T78" s="1752"/>
      <c r="U78" s="1752"/>
      <c r="V78" s="1752"/>
    </row>
    <row r="79" spans="1:22" ht="13.8" thickBot="1">
      <c r="A79" s="3852" t="s">
        <v>388</v>
      </c>
      <c r="B79" s="3852"/>
      <c r="C79" s="3852"/>
      <c r="D79" s="3852"/>
      <c r="E79" s="3852"/>
      <c r="F79" s="40"/>
      <c r="G79" s="40"/>
      <c r="H79" s="965"/>
      <c r="I79" s="302"/>
      <c r="J79" s="1759"/>
      <c r="K79" s="3773">
        <f>K77+1</f>
        <v>6</v>
      </c>
      <c r="L79" s="3775" t="s">
        <v>2159</v>
      </c>
      <c r="M79" s="2520" t="s">
        <v>383</v>
      </c>
      <c r="N79" s="1171"/>
      <c r="O79" s="1172">
        <f ca="1">N69-O77</f>
        <v>61881</v>
      </c>
      <c r="P79" s="1173"/>
      <c r="Q79" s="1752"/>
      <c r="R79" s="1752"/>
      <c r="S79" s="1752"/>
      <c r="T79" s="1752"/>
      <c r="U79" s="1752"/>
      <c r="V79" s="1752"/>
    </row>
    <row r="80" spans="1:22" ht="26.4">
      <c r="A80" s="3783" t="s">
        <v>389</v>
      </c>
      <c r="B80" s="3784"/>
      <c r="C80" s="956"/>
      <c r="D80" s="956" t="s">
        <v>390</v>
      </c>
      <c r="E80" s="357" t="s">
        <v>391</v>
      </c>
      <c r="F80" s="40"/>
      <c r="G80" s="40"/>
      <c r="H80" s="965"/>
      <c r="I80" s="302"/>
      <c r="J80" s="1752"/>
      <c r="K80" s="3774"/>
      <c r="L80" s="3775"/>
      <c r="M80" s="2520" t="s">
        <v>386</v>
      </c>
      <c r="N80" s="1171"/>
      <c r="O80" s="1172" t="str">
        <f ca="1">NUMBERSTRING(INT(O79*10000),2)&amp;"元整"</f>
        <v>陆亿壹仟捌佰捌拾壹万元整</v>
      </c>
      <c r="P80" s="1173"/>
      <c r="Q80" s="1752"/>
      <c r="R80" s="1752"/>
      <c r="S80" s="1752"/>
      <c r="T80" s="1752"/>
      <c r="U80" s="1752"/>
      <c r="V80" s="1752"/>
    </row>
    <row r="81" spans="1:26" ht="13.8" thickBot="1">
      <c r="A81" s="368" t="s">
        <v>1352</v>
      </c>
      <c r="B81" s="358" t="s">
        <v>392</v>
      </c>
      <c r="C81" s="359">
        <f ca="1">ROUND((C82+C83)/(1+'数据-取费表'!C42),0)</f>
        <v>136236</v>
      </c>
      <c r="D81" s="360"/>
      <c r="E81" s="361"/>
      <c r="F81" s="40"/>
      <c r="G81" s="40"/>
      <c r="H81" s="965"/>
      <c r="I81" s="302"/>
      <c r="J81" s="1752"/>
      <c r="K81" s="2515">
        <f>K79+1</f>
        <v>7</v>
      </c>
      <c r="L81" s="3795" t="s">
        <v>2160</v>
      </c>
      <c r="M81" s="3796"/>
      <c r="N81" s="1175"/>
      <c r="O81" s="1176">
        <f ca="1">ROUND(O79*10000/'数据-汇总表'!E3,0)</f>
        <v>4850</v>
      </c>
      <c r="P81" s="1177"/>
      <c r="Q81" s="1752"/>
      <c r="R81" s="1752"/>
      <c r="S81" s="1752"/>
      <c r="T81" s="1752"/>
      <c r="U81" s="1752"/>
      <c r="V81" s="1752"/>
    </row>
    <row r="82" spans="1:26" ht="13.8" thickTop="1">
      <c r="A82" s="362" t="s">
        <v>1353</v>
      </c>
      <c r="B82" s="363" t="s">
        <v>393</v>
      </c>
      <c r="C82" s="364">
        <f ca="1">D63</f>
        <v>143048</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1354</v>
      </c>
      <c r="B83" s="363" t="s">
        <v>394</v>
      </c>
      <c r="C83" s="367"/>
      <c r="D83" s="365"/>
      <c r="E83" s="366"/>
      <c r="F83" s="40"/>
      <c r="G83" s="40"/>
      <c r="H83" s="965"/>
      <c r="I83" s="302"/>
      <c r="J83" s="1752"/>
      <c r="K83" s="3785" t="s">
        <v>2148</v>
      </c>
      <c r="L83" s="2526" t="s">
        <v>2149</v>
      </c>
      <c r="M83" s="2516">
        <f ca="1">IF(N69&gt;10000,N69*0.5%,IF(AND(N69&gt;1000,N69&lt;=10000),N69*1%,IF(AND(N69&gt;100,N69&lt;=1000),N69*3%,IF(AND(N69&gt;10,N69&lt;=100),N69*5%,N69*8%))))</f>
        <v>715.24</v>
      </c>
      <c r="N83" s="51">
        <f ca="1">ROUND(M83,1)</f>
        <v>715.2</v>
      </c>
      <c r="O83" s="2519"/>
      <c r="P83" s="1752"/>
      <c r="Q83" s="1752"/>
      <c r="R83" s="1752"/>
      <c r="S83" s="1752"/>
      <c r="T83" s="1752"/>
      <c r="U83" s="1752"/>
      <c r="V83" s="1752"/>
    </row>
    <row r="84" spans="1:26" ht="25.2">
      <c r="A84" s="368" t="s">
        <v>1355</v>
      </c>
      <c r="B84" s="369" t="s">
        <v>395</v>
      </c>
      <c r="C84" s="370"/>
      <c r="D84" s="371" t="s">
        <v>13</v>
      </c>
      <c r="E84" s="2542" t="s">
        <v>2202</v>
      </c>
      <c r="F84" s="40"/>
      <c r="G84" s="40"/>
      <c r="H84" s="965"/>
      <c r="I84" s="302"/>
      <c r="J84" s="1752"/>
      <c r="K84" s="3785"/>
      <c r="L84" s="2526" t="s">
        <v>2150</v>
      </c>
      <c r="M84" s="2516">
        <f ca="1">IF(N69&gt;2000,N69*0.5%,IF(AND(N69&gt;1000,N69&lt;=2000),N69*0.6%,IF(AND(N69&gt;500,N69&lt;=1000),N69*0.7%,IF(AND(N69&gt;200,N69&lt;=500),N69*0.8%,IF(AND(N69&gt;100,N69&lt;=200),N69*0.9%,IF(AND(N69&gt;50,N69&lt;=100),N69*1%,IF(AND(N69&gt;20,N69&lt;=50),N69*1.5%,IF(AND(N69&gt;10,N69&lt;=20),N69*2%,IF(AND(N69&gt;1,N69&lt;=10),N69*2.5%)))))))))</f>
        <v>715.24</v>
      </c>
      <c r="N84" s="51">
        <f ca="1">ROUND(M84,1)</f>
        <v>715.2</v>
      </c>
      <c r="O84" s="1752" t="s">
        <v>2151</v>
      </c>
      <c r="P84" s="1752"/>
      <c r="Q84" s="1752"/>
      <c r="R84" s="1752"/>
      <c r="S84" s="1752"/>
      <c r="T84" s="1752"/>
      <c r="U84" s="1752"/>
      <c r="V84" s="1752"/>
    </row>
    <row r="85" spans="1:26" ht="13.2">
      <c r="A85" s="368" t="s">
        <v>1356</v>
      </c>
      <c r="B85" s="369" t="s">
        <v>396</v>
      </c>
      <c r="C85" s="372">
        <f ca="1">C81-C84</f>
        <v>136236</v>
      </c>
      <c r="D85" s="365" t="s">
        <v>13</v>
      </c>
      <c r="E85" s="366"/>
      <c r="F85" s="40"/>
      <c r="G85" s="40"/>
      <c r="H85" s="965"/>
      <c r="I85" s="302"/>
      <c r="J85" s="1752"/>
      <c r="K85" s="3785"/>
      <c r="L85" s="2526" t="s">
        <v>2152</v>
      </c>
      <c r="M85" s="2516">
        <f ca="1">IF(N69&gt;1000,N69*0.1%,IF(AND(N69&gt;500,N69&lt;=1000),N69*0.5%,IF(AND(N69&gt;50,N69&lt;=500),N69*1%,IF(AND(N69&gt;1,N69&lt;=50),N69*1.5%))))</f>
        <v>143.048</v>
      </c>
      <c r="N85" s="51">
        <f ca="1">ROUND(M85,1)</f>
        <v>143</v>
      </c>
      <c r="O85" s="1752" t="s">
        <v>2151</v>
      </c>
      <c r="P85" s="1752"/>
      <c r="Q85" s="1752"/>
      <c r="R85" s="1752"/>
      <c r="S85" s="1752"/>
      <c r="T85" s="1752"/>
      <c r="U85" s="1752"/>
      <c r="V85" s="1752"/>
    </row>
    <row r="86" spans="1:26" ht="13.8" thickBot="1">
      <c r="A86" s="373" t="s">
        <v>1357</v>
      </c>
      <c r="B86" s="374" t="s">
        <v>397</v>
      </c>
      <c r="C86" s="375">
        <f ca="1">IF(C85&lt;=0,0,ROUND(C85*D86,0))</f>
        <v>7493</v>
      </c>
      <c r="D86" s="376">
        <f>'数据-取费表'!B41</f>
        <v>5.5000000000000007E-2</v>
      </c>
      <c r="E86" s="377"/>
      <c r="F86" s="40"/>
      <c r="G86" s="40"/>
      <c r="H86" s="965"/>
      <c r="I86" s="302"/>
      <c r="J86" s="1752"/>
      <c r="K86" s="3785"/>
      <c r="L86" s="2526" t="s">
        <v>2153</v>
      </c>
      <c r="M86" s="2516">
        <f ca="1">N69*0.5%</f>
        <v>715.24</v>
      </c>
      <c r="N86" s="51">
        <f ca="1">IF(M86&gt;0.5,0.5,ROUND(M86,0))</f>
        <v>0.5</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85"/>
      <c r="L87" s="2526" t="s">
        <v>2155</v>
      </c>
      <c r="M87" s="2516">
        <f ca="1">IF(N69&gt;=10000,(8.25+(N69-10000)*0.01%),IF(AND(N69&gt;=8000,N69&lt;10000),(7.85+(N69-8000)*0.02%),IF(AND(N69&gt;=5000,N69&lt;8000),(6.65+(N69-5000)*0.04%),IF(AND(N69&gt;=2000,N69&lt;5000),(4.25+(PN69-2000)*0.08%),IF(AND(N69&gt;=1000,N69&lt;2000),(2.75+(N69-1000)*0.15%),IF(AND(N69&gt;=100,N69&lt;1000),(0.5+(N69-100)*0.25%),IF(AND(N69&gt;0,N69&lt;100),N69*0.5%)))))))</f>
        <v>21.5548</v>
      </c>
      <c r="N87" s="51">
        <f ca="1">ROUND(M87*0.9,1)</f>
        <v>19.399999999999999</v>
      </c>
      <c r="O87" s="2519"/>
      <c r="P87" s="1752"/>
      <c r="Q87" s="1752"/>
      <c r="R87" s="1752"/>
      <c r="S87" s="1752"/>
      <c r="T87" s="1752"/>
      <c r="U87" s="1752"/>
      <c r="V87" s="1752"/>
      <c r="W87" s="283"/>
      <c r="X87" s="283"/>
      <c r="Y87" s="283"/>
      <c r="Z87" s="283"/>
    </row>
    <row r="88" spans="1:26" s="1183" customFormat="1" ht="14.4" thickBot="1">
      <c r="A88" s="3824" t="s">
        <v>398</v>
      </c>
      <c r="B88" s="3825"/>
      <c r="C88" s="3825"/>
      <c r="D88" s="3825"/>
      <c r="E88" s="3825"/>
      <c r="F88" s="3825"/>
      <c r="G88" s="3825"/>
      <c r="H88" s="3825"/>
      <c r="I88" s="1184"/>
      <c r="J88" s="1760"/>
      <c r="K88" s="3785"/>
      <c r="L88" s="2526" t="s">
        <v>2156</v>
      </c>
      <c r="M88" s="2516">
        <f ca="1">IF(N69&gt;10000,N69*0.5%,IF(AND(N69&gt;5000,N69&lt;=10000),N69*1%,IF(AND(N69&gt;1000,N69&lt;=5000),N69*2%,IF(AND(N69&gt;200,N69&lt;=1000),N69*3%,N69*5%))))</f>
        <v>715.24</v>
      </c>
      <c r="N88" s="51">
        <f ca="1">ROUND(M88,1)</f>
        <v>715.2</v>
      </c>
      <c r="O88" s="2519"/>
      <c r="P88" s="1757"/>
      <c r="Q88" s="1757"/>
      <c r="R88" s="1757"/>
      <c r="S88" s="1757"/>
      <c r="T88" s="1757"/>
      <c r="U88" s="1757"/>
      <c r="V88" s="1757"/>
      <c r="W88" s="1761"/>
      <c r="X88" s="1761"/>
      <c r="Y88" s="1761"/>
      <c r="Z88" s="1761"/>
    </row>
    <row r="89" spans="1:26" s="1183" customFormat="1" ht="13.8">
      <c r="A89" s="3783" t="s">
        <v>389</v>
      </c>
      <c r="B89" s="3784"/>
      <c r="C89" s="956"/>
      <c r="D89" s="956" t="s">
        <v>390</v>
      </c>
      <c r="E89" s="378" t="s">
        <v>399</v>
      </c>
      <c r="F89" s="379"/>
      <c r="G89" s="379"/>
      <c r="H89" s="380"/>
      <c r="I89" s="1185"/>
      <c r="J89" s="1762"/>
      <c r="K89" s="3785"/>
      <c r="L89" s="2526" t="s">
        <v>16</v>
      </c>
      <c r="M89" s="2517"/>
      <c r="N89" s="51">
        <f ca="1">ROUND(SUM(N83:N88),0)</f>
        <v>2309</v>
      </c>
      <c r="O89" s="2527">
        <f ca="1">N89/N69</f>
        <v>1.6141435042782842E-2</v>
      </c>
      <c r="P89" s="1757"/>
      <c r="Q89" s="1757"/>
      <c r="R89" s="1757"/>
      <c r="S89" s="1757"/>
      <c r="T89" s="1757"/>
      <c r="U89" s="1757"/>
      <c r="V89" s="1757"/>
      <c r="W89" s="1761"/>
      <c r="X89" s="1761"/>
      <c r="Y89" s="1761"/>
      <c r="Z89" s="1761"/>
    </row>
    <row r="90" spans="1:26" s="1183" customFormat="1" ht="13.8">
      <c r="A90" s="368" t="s">
        <v>1352</v>
      </c>
      <c r="B90" s="369" t="s">
        <v>400</v>
      </c>
      <c r="C90" s="372">
        <f ca="1">ROUND(D63/(1+'数据-取费表'!C42),0)</f>
        <v>136236</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1358</v>
      </c>
      <c r="B91" s="339" t="s">
        <v>401</v>
      </c>
      <c r="C91" s="372">
        <f ca="1">C92+C96</f>
        <v>681</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21" t="s">
        <v>407</v>
      </c>
      <c r="F94" s="3822"/>
      <c r="G94" s="3822"/>
      <c r="H94" s="3823"/>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681</v>
      </c>
      <c r="D96" s="393">
        <f>'数据-取费表'!B43</f>
        <v>5.000000000000001E-3</v>
      </c>
      <c r="E96" s="3780" t="s">
        <v>1780</v>
      </c>
      <c r="F96" s="3781"/>
      <c r="G96" s="3781"/>
      <c r="H96" s="3782"/>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1364</v>
      </c>
      <c r="B97" s="369" t="s">
        <v>411</v>
      </c>
      <c r="C97" s="372">
        <f ca="1">C90-C91</f>
        <v>135555</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199.05286343612335</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1366</v>
      </c>
      <c r="B99" s="374" t="s">
        <v>413</v>
      </c>
      <c r="C99" s="395">
        <f ca="1">ROUND(IF(C97&lt;=0,0,IF(C98&gt;=200%,C97*60%-C91*35%,IF(C98&gt;=100%,C97*50%-C91*15%,IF(C98&gt;=50%,C97*40%-C91*5%,IF(C98&lt;50%,C97*30%,0))))),0)</f>
        <v>81095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3824" t="s">
        <v>414</v>
      </c>
      <c r="B101" s="3825"/>
      <c r="C101" s="3825"/>
      <c r="D101" s="3825"/>
      <c r="E101" s="3825"/>
      <c r="F101" s="3825"/>
      <c r="G101" s="3825"/>
      <c r="H101" s="3825"/>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3783" t="s">
        <v>389</v>
      </c>
      <c r="B102" s="3784"/>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1352</v>
      </c>
      <c r="B103" s="369" t="s">
        <v>400</v>
      </c>
      <c r="C103" s="372">
        <f ca="1">ROUND(D63/(1+'数据-取费表'!C42),0)</f>
        <v>136236</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1358</v>
      </c>
      <c r="B104" s="339" t="s">
        <v>401</v>
      </c>
      <c r="C104" s="372">
        <f ca="1">IF(H106="仅含出让金",C105+C108+C109+C110+C111+C112,C105+C109+C110+C111+C112)</f>
        <v>681</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1360</v>
      </c>
      <c r="B106" s="363" t="s">
        <v>416</v>
      </c>
      <c r="C106" s="403"/>
      <c r="D106" s="393"/>
      <c r="E106" s="404" t="s">
        <v>417</v>
      </c>
      <c r="F106" s="948"/>
      <c r="G106" s="405" t="s">
        <v>418</v>
      </c>
      <c r="H106" s="406"/>
      <c r="I106" s="9"/>
      <c r="J106" s="1757"/>
      <c r="K106" s="2986" t="s">
        <v>2279</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1363</v>
      </c>
      <c r="B108" s="363" t="s">
        <v>420</v>
      </c>
      <c r="C108" s="403"/>
      <c r="D108" s="393"/>
      <c r="E108" s="404" t="str">
        <f>IF(H106="-","土地取得成本中已包含该笔费用"," ")</f>
        <v xml:space="preserve"> </v>
      </c>
      <c r="F108" s="948"/>
      <c r="G108" s="3836" t="s">
        <v>2251</v>
      </c>
      <c r="H108" s="3837"/>
      <c r="I108" s="2612"/>
      <c r="J108" s="1757"/>
      <c r="K108" s="2986" t="s">
        <v>2280</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14" t="s">
        <v>422</v>
      </c>
      <c r="F109" s="3781"/>
      <c r="G109" s="3781"/>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14" t="s">
        <v>424</v>
      </c>
      <c r="F110" s="3781"/>
      <c r="G110" s="3781"/>
      <c r="H110" s="3782"/>
      <c r="I110" s="9"/>
      <c r="J110" s="1757"/>
      <c r="K110" s="2987" t="s">
        <v>2281</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681</v>
      </c>
      <c r="D111" s="393">
        <f>'数据-取费表'!B43</f>
        <v>5.000000000000001E-3</v>
      </c>
      <c r="E111" s="3780" t="s">
        <v>1780</v>
      </c>
      <c r="F111" s="3781"/>
      <c r="G111" s="3781"/>
      <c r="H111" s="3782"/>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14" t="s">
        <v>1799</v>
      </c>
      <c r="F112" s="3781"/>
      <c r="G112" s="3781"/>
      <c r="H112" s="3782"/>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1364</v>
      </c>
      <c r="B113" s="369" t="s">
        <v>411</v>
      </c>
      <c r="C113" s="372">
        <f ca="1">ROUND(C103-C104,0)</f>
        <v>135555</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199.05286343612335</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1366</v>
      </c>
      <c r="B115" s="374" t="s">
        <v>413</v>
      </c>
      <c r="C115" s="395">
        <f ca="1">ROUND(IF(C113&lt;=0,0,IF(C114&gt;=200%,C113*60%-C104*35%,IF(C114&gt;=100%,C113*50%-C104*15%,IF(C114&gt;=50%,C113*40%-C104*5%,IF(C114&lt;50%,C113*30%,0))))),0)</f>
        <v>81095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B1" zoomScale="70" zoomScaleNormal="95" zoomScaleSheetLayoutView="70" workbookViewId="0">
      <selection activeCell="E62" sqref="E62"/>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f>F67</f>
        <v>171535</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f>ROUND(B2*10000/'数据-汇总表'!E3,0)</f>
        <v>13444</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f>IF(B48="单位面积地价",C50,ROUND(B2*10000/'数据-汇总表'!D3,0))</f>
        <v>175194</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f>ROUND(B2/('数据-汇总表'!D3/666.67),0)</f>
        <v>11680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3876" t="s">
        <v>471</v>
      </c>
      <c r="D6" s="3877"/>
      <c r="E6" s="3876" t="s">
        <v>472</v>
      </c>
      <c r="F6" s="3877"/>
      <c r="G6" s="3876" t="s">
        <v>473</v>
      </c>
      <c r="H6" s="3877"/>
      <c r="I6" s="3876" t="s">
        <v>474</v>
      </c>
      <c r="J6" s="3877"/>
      <c r="K6" s="484" t="s">
        <v>475</v>
      </c>
      <c r="L6" s="1856"/>
      <c r="M6" s="1855"/>
      <c r="N6" s="1855"/>
      <c r="O6" s="1857"/>
      <c r="P6" s="3878" t="s">
        <v>476</v>
      </c>
      <c r="Q6" s="3879"/>
      <c r="R6" s="3862" t="s">
        <v>472</v>
      </c>
      <c r="S6" s="3863"/>
      <c r="T6" s="3862" t="s">
        <v>473</v>
      </c>
      <c r="U6" s="3863"/>
      <c r="V6" s="3884" t="s">
        <v>474</v>
      </c>
      <c r="W6" s="3884"/>
      <c r="X6" s="1380"/>
      <c r="Y6" s="3862" t="s">
        <v>476</v>
      </c>
      <c r="Z6" s="3863"/>
      <c r="AA6" s="3857" t="s">
        <v>472</v>
      </c>
      <c r="AB6" s="3858" t="s">
        <v>473</v>
      </c>
      <c r="AC6" s="3857" t="s">
        <v>474</v>
      </c>
    </row>
    <row r="7" spans="1:30" ht="21">
      <c r="A7" s="485"/>
      <c r="B7" s="486"/>
      <c r="C7" s="3887" t="s">
        <v>2191</v>
      </c>
      <c r="D7" s="3888"/>
      <c r="E7" s="3887" t="str">
        <f>Sheet1!A3</f>
        <v>北京市通州经济开发区西区南扩区*三、五、六期棚户区改造项目*FZX-1102-6002地块*F3其他类多功能用地</v>
      </c>
      <c r="F7" s="3888"/>
      <c r="G7" s="3887" t="str">
        <f>Sheet1!A5</f>
        <v>北京城市副中心0101街区FZX-0101-0902地块F3其他类多功能用地</v>
      </c>
      <c r="H7" s="3888"/>
      <c r="I7" s="3887" t="str">
        <f>Sheet1!A7</f>
        <v>北京城市副中心FZX-0902-0229、0230地块</v>
      </c>
      <c r="J7" s="3888"/>
      <c r="K7" s="484"/>
      <c r="L7" s="1856"/>
      <c r="M7" s="1855"/>
      <c r="N7" s="1855"/>
      <c r="O7" s="1857"/>
      <c r="P7" s="3880"/>
      <c r="Q7" s="3881"/>
      <c r="R7" s="3864"/>
      <c r="S7" s="3865"/>
      <c r="T7" s="3864"/>
      <c r="U7" s="3865"/>
      <c r="V7" s="3884"/>
      <c r="W7" s="3884"/>
      <c r="X7" s="1380"/>
      <c r="Y7" s="3864"/>
      <c r="Z7" s="3865"/>
      <c r="AA7" s="3858"/>
      <c r="AB7" s="3858"/>
      <c r="AC7" s="3858"/>
    </row>
    <row r="8" spans="1:30" ht="21.6" thickBot="1">
      <c r="A8" s="485"/>
      <c r="B8" s="486"/>
      <c r="C8" s="3889" t="s">
        <v>2195</v>
      </c>
      <c r="D8" s="3890"/>
      <c r="E8" s="3889" t="s">
        <v>2195</v>
      </c>
      <c r="F8" s="3890"/>
      <c r="G8" s="3885" t="s">
        <v>2195</v>
      </c>
      <c r="H8" s="3886"/>
      <c r="I8" s="3885" t="s">
        <v>2195</v>
      </c>
      <c r="J8" s="3886"/>
      <c r="K8" s="484" t="s">
        <v>477</v>
      </c>
      <c r="L8" s="1856"/>
      <c r="M8" s="1855"/>
      <c r="N8" s="1855"/>
      <c r="O8" s="1857"/>
      <c r="P8" s="3882"/>
      <c r="Q8" s="3883"/>
      <c r="R8" s="3864"/>
      <c r="S8" s="3865"/>
      <c r="T8" s="3866"/>
      <c r="U8" s="3867"/>
      <c r="V8" s="3884"/>
      <c r="W8" s="3884"/>
      <c r="X8" s="1380"/>
      <c r="Y8" s="3866"/>
      <c r="Z8" s="3867"/>
      <c r="AA8" s="3859"/>
      <c r="AB8" s="3859"/>
      <c r="AC8" s="3859"/>
    </row>
    <row r="9" spans="1:30" s="1118" customFormat="1" ht="21.6" thickBot="1">
      <c r="A9" s="2392"/>
      <c r="B9" s="2399" t="s">
        <v>478</v>
      </c>
      <c r="C9" s="2391">
        <f>'数据-取费表'!B2</f>
        <v>45028</v>
      </c>
      <c r="D9" s="490">
        <v>100</v>
      </c>
      <c r="E9" s="491" t="str">
        <f>Sheet1!K3</f>
        <v>2022-08-22</v>
      </c>
      <c r="F9" s="492">
        <f>SUMIF(71:71,YEAR(E9)&amp;"-"&amp;INT((MONTH(E9)+2)/3),72:72)</f>
        <v>98.5</v>
      </c>
      <c r="G9" s="493" t="str">
        <f>Sheet1!K5</f>
        <v>2022-01-05</v>
      </c>
      <c r="H9" s="490">
        <f>SUMIF(71:71,YEAR(G9)&amp;"-"&amp;INT((MONTH(G9)+2)/3),72:72)</f>
        <v>97.5</v>
      </c>
      <c r="I9" s="493" t="str">
        <f>Sheet1!K7</f>
        <v>2021-05-19</v>
      </c>
      <c r="J9" s="490">
        <f>SUMIF(71:71,YEAR(I9)&amp;"-"&amp;INT((MONTH(I9)+2)/3),72:72)</f>
        <v>96</v>
      </c>
      <c r="K9" s="494"/>
      <c r="L9" s="1858"/>
      <c r="M9" s="1855"/>
      <c r="N9" s="1855"/>
      <c r="O9" s="1859"/>
      <c r="P9" s="3860" t="s">
        <v>479</v>
      </c>
      <c r="Q9" s="3869"/>
      <c r="R9" s="1381" t="s">
        <v>5</v>
      </c>
      <c r="S9" s="1382">
        <f t="shared" ref="S9:S17" si="0">F9</f>
        <v>98.5</v>
      </c>
      <c r="T9" s="1381" t="s">
        <v>5</v>
      </c>
      <c r="U9" s="1382">
        <f t="shared" ref="U9:U17" si="1">H9</f>
        <v>97.5</v>
      </c>
      <c r="V9" s="1381" t="s">
        <v>5</v>
      </c>
      <c r="W9" s="1382">
        <f t="shared" ref="W9:W17" si="2">J9</f>
        <v>96</v>
      </c>
      <c r="X9" s="1383"/>
      <c r="Y9" s="3860" t="s">
        <v>479</v>
      </c>
      <c r="Z9" s="3861"/>
      <c r="AA9" s="1384">
        <f>D9/F9</f>
        <v>1.015228426395939</v>
      </c>
      <c r="AB9" s="1384">
        <f>D9/H9</f>
        <v>1.0256410256410255</v>
      </c>
      <c r="AC9" s="1384">
        <f>D9/J9</f>
        <v>1.0416666666666667</v>
      </c>
    </row>
    <row r="10" spans="1:30" s="1118" customFormat="1" ht="21.6" thickBot="1">
      <c r="A10" s="2393"/>
      <c r="B10" s="2400" t="s">
        <v>480</v>
      </c>
      <c r="C10" s="821" t="s">
        <v>481</v>
      </c>
      <c r="D10" s="490">
        <v>100</v>
      </c>
      <c r="E10" s="3672" t="s">
        <v>3307</v>
      </c>
      <c r="F10" s="492">
        <f>SUMIF(74:74,E10,75:75)-SUMIF(74:74,C10,75:75)+100</f>
        <v>100</v>
      </c>
      <c r="G10" s="3672" t="s">
        <v>3307</v>
      </c>
      <c r="H10" s="490">
        <f>SUMIF(74:74,G10,75:75)-SUMIF(74:74,C10,75:75)+100</f>
        <v>100</v>
      </c>
      <c r="I10" s="3672" t="s">
        <v>3307</v>
      </c>
      <c r="J10" s="490">
        <f>SUMIF(74:74,I10,75:75)-SUMIF(74:74,C10,75:75)+100</f>
        <v>100</v>
      </c>
      <c r="K10" s="494"/>
      <c r="L10" s="1858"/>
      <c r="M10" s="1855"/>
      <c r="N10" s="1855"/>
      <c r="O10" s="1859"/>
      <c r="P10" s="3860" t="s">
        <v>482</v>
      </c>
      <c r="Q10" s="3861"/>
      <c r="R10" s="1381" t="s">
        <v>5</v>
      </c>
      <c r="S10" s="1382">
        <f t="shared" si="0"/>
        <v>100</v>
      </c>
      <c r="T10" s="1381" t="s">
        <v>5</v>
      </c>
      <c r="U10" s="1382">
        <f t="shared" si="1"/>
        <v>100</v>
      </c>
      <c r="V10" s="1381" t="s">
        <v>5</v>
      </c>
      <c r="W10" s="1382">
        <f t="shared" si="2"/>
        <v>100</v>
      </c>
      <c r="X10" s="1383"/>
      <c r="Y10" s="3860" t="s">
        <v>482</v>
      </c>
      <c r="Z10" s="3861"/>
      <c r="AA10" s="1384">
        <f t="shared" ref="AA10:AA47" si="3">D10/F10</f>
        <v>1</v>
      </c>
      <c r="AB10" s="1384">
        <f t="shared" ref="AB10:AB47" si="4">D10/H10</f>
        <v>1</v>
      </c>
      <c r="AC10" s="1384">
        <f t="shared" ref="AC10:AC47" si="5">D10/J10</f>
        <v>1</v>
      </c>
    </row>
    <row r="11" spans="1:30" s="1118" customFormat="1" ht="21">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68" t="s">
        <v>484</v>
      </c>
      <c r="Q11" s="1050" t="str">
        <f t="shared" ref="Q11:Q17" si="6">B11</f>
        <v>用途</v>
      </c>
      <c r="R11" s="1381" t="s">
        <v>5</v>
      </c>
      <c r="S11" s="1382">
        <f t="shared" si="0"/>
        <v>100</v>
      </c>
      <c r="T11" s="1381" t="s">
        <v>5</v>
      </c>
      <c r="U11" s="1382">
        <f t="shared" si="1"/>
        <v>100</v>
      </c>
      <c r="V11" s="1381" t="s">
        <v>5</v>
      </c>
      <c r="W11" s="1382">
        <f t="shared" si="2"/>
        <v>100</v>
      </c>
      <c r="X11" s="1383"/>
      <c r="Y11" s="3820" t="s">
        <v>485</v>
      </c>
      <c r="Z11" s="1049" t="str">
        <f t="shared" ref="Z11:Z17" si="7">Q11</f>
        <v>用途</v>
      </c>
      <c r="AA11" s="1384">
        <f t="shared" si="3"/>
        <v>1</v>
      </c>
      <c r="AB11" s="1384">
        <f t="shared" si="4"/>
        <v>1</v>
      </c>
      <c r="AC11" s="1384">
        <f t="shared" si="5"/>
        <v>1</v>
      </c>
    </row>
    <row r="12" spans="1:30" s="1199" customFormat="1" ht="28.8">
      <c r="A12" s="2395"/>
      <c r="B12" s="2400" t="s">
        <v>2039</v>
      </c>
      <c r="C12" s="873"/>
      <c r="D12" s="246">
        <v>100</v>
      </c>
      <c r="E12" s="499"/>
      <c r="F12" s="246">
        <f>ROUND(100/'数据-取费表'!G16,0)</f>
        <v>107</v>
      </c>
      <c r="G12" s="500"/>
      <c r="H12" s="246">
        <f>ROUND(100/'数据-取费表'!G16,0)</f>
        <v>107</v>
      </c>
      <c r="I12" s="500"/>
      <c r="J12" s="246">
        <f>ROUND(100/'数据-取费表'!G16,0)</f>
        <v>107</v>
      </c>
      <c r="K12" s="501"/>
      <c r="L12" s="1861"/>
      <c r="M12" s="1855"/>
      <c r="N12" s="1855"/>
      <c r="O12" s="1862"/>
      <c r="P12" s="3868"/>
      <c r="Q12" s="1050" t="str">
        <f t="shared" si="6"/>
        <v>土地使用年限（年）</v>
      </c>
      <c r="R12" s="1381" t="s">
        <v>5</v>
      </c>
      <c r="S12" s="1382">
        <f t="shared" si="0"/>
        <v>107</v>
      </c>
      <c r="T12" s="1381" t="s">
        <v>5</v>
      </c>
      <c r="U12" s="1382">
        <f t="shared" si="1"/>
        <v>107</v>
      </c>
      <c r="V12" s="1381" t="s">
        <v>5</v>
      </c>
      <c r="W12" s="1382">
        <f t="shared" si="2"/>
        <v>107</v>
      </c>
      <c r="X12" s="1383"/>
      <c r="Y12" s="3820"/>
      <c r="Z12" s="1049" t="str">
        <f t="shared" si="7"/>
        <v>土地使用年限（年）</v>
      </c>
      <c r="AA12" s="1384">
        <f t="shared" si="3"/>
        <v>0.93457943925233644</v>
      </c>
      <c r="AB12" s="1384">
        <f t="shared" si="4"/>
        <v>0.93457943925233644</v>
      </c>
      <c r="AC12" s="1384">
        <f t="shared" si="5"/>
        <v>0.93457943925233644</v>
      </c>
    </row>
    <row r="13" spans="1:30" ht="21">
      <c r="A13" s="2396"/>
      <c r="B13" s="2400" t="s">
        <v>2040</v>
      </c>
      <c r="C13" s="504">
        <f>'数据-汇总表'!I6</f>
        <v>11.23</v>
      </c>
      <c r="D13" s="246">
        <v>100</v>
      </c>
      <c r="E13" s="503">
        <v>2.2000000000000002</v>
      </c>
      <c r="F13" s="246">
        <f>LOOKUP(E13,81:81,82:82)-LOOKUP(C13,81:81,82:82)+100</f>
        <v>108</v>
      </c>
      <c r="G13" s="504">
        <v>4</v>
      </c>
      <c r="H13" s="246">
        <f>LOOKUP(G13,81:81,82:82)-LOOKUP(C13,81:81,82:82)+100</f>
        <v>106</v>
      </c>
      <c r="I13" s="503">
        <v>3.1</v>
      </c>
      <c r="J13" s="246">
        <f>LOOKUP(I13,81:81,82:82)-LOOKUP(C13,81:81,82:82)+100</f>
        <v>108</v>
      </c>
      <c r="K13" s="505">
        <v>2</v>
      </c>
      <c r="L13" s="1863"/>
      <c r="M13" s="1855"/>
      <c r="N13" s="1855"/>
      <c r="O13" s="1864"/>
      <c r="P13" s="3868"/>
      <c r="Q13" s="1050" t="str">
        <f t="shared" si="6"/>
        <v>容积率</v>
      </c>
      <c r="R13" s="1381" t="s">
        <v>5</v>
      </c>
      <c r="S13" s="1382">
        <f t="shared" si="0"/>
        <v>108</v>
      </c>
      <c r="T13" s="1381" t="s">
        <v>5</v>
      </c>
      <c r="U13" s="1382">
        <f t="shared" si="1"/>
        <v>106</v>
      </c>
      <c r="V13" s="1381" t="s">
        <v>5</v>
      </c>
      <c r="W13" s="1382">
        <f t="shared" si="2"/>
        <v>108</v>
      </c>
      <c r="X13" s="1383"/>
      <c r="Y13" s="3820"/>
      <c r="Z13" s="1049" t="str">
        <f t="shared" si="7"/>
        <v>容积率</v>
      </c>
      <c r="AA13" s="1384">
        <f t="shared" si="3"/>
        <v>0.92592592592592593</v>
      </c>
      <c r="AB13" s="1384">
        <f t="shared" si="4"/>
        <v>0.94339622641509435</v>
      </c>
      <c r="AC13" s="1384">
        <f t="shared" si="5"/>
        <v>0.92592592592592593</v>
      </c>
    </row>
    <row r="14" spans="1:30" s="1118" customFormat="1" ht="21">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68"/>
      <c r="Q14" s="1050" t="str">
        <f t="shared" si="6"/>
        <v>配建</v>
      </c>
      <c r="R14" s="1381" t="s">
        <v>5</v>
      </c>
      <c r="S14" s="1382">
        <f t="shared" si="0"/>
        <v>100</v>
      </c>
      <c r="T14" s="1381" t="s">
        <v>5</v>
      </c>
      <c r="U14" s="1382">
        <f t="shared" si="1"/>
        <v>100</v>
      </c>
      <c r="V14" s="1381" t="s">
        <v>5</v>
      </c>
      <c r="W14" s="1382">
        <f t="shared" si="2"/>
        <v>100</v>
      </c>
      <c r="X14" s="1383"/>
      <c r="Y14" s="3820"/>
      <c r="Z14" s="1049" t="str">
        <f t="shared" si="7"/>
        <v>配建</v>
      </c>
      <c r="AA14" s="1384">
        <f>D14/F14</f>
        <v>1</v>
      </c>
      <c r="AB14" s="1384">
        <f>D14/H14</f>
        <v>1</v>
      </c>
      <c r="AC14" s="1384">
        <f>D14/J14</f>
        <v>1</v>
      </c>
    </row>
    <row r="15" spans="1:30" ht="2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68"/>
      <c r="Q15" s="1050">
        <f t="shared" si="6"/>
        <v>111</v>
      </c>
      <c r="R15" s="1381" t="s">
        <v>5</v>
      </c>
      <c r="S15" s="1382">
        <f t="shared" si="0"/>
        <v>100</v>
      </c>
      <c r="T15" s="1381" t="s">
        <v>5</v>
      </c>
      <c r="U15" s="1382">
        <f t="shared" si="1"/>
        <v>100</v>
      </c>
      <c r="V15" s="1381" t="s">
        <v>5</v>
      </c>
      <c r="W15" s="1382">
        <f t="shared" si="2"/>
        <v>100</v>
      </c>
      <c r="X15" s="1383"/>
      <c r="Y15" s="3820"/>
      <c r="Z15" s="1049">
        <f t="shared" si="7"/>
        <v>111</v>
      </c>
      <c r="AA15" s="1384">
        <f>D15/F15</f>
        <v>1</v>
      </c>
      <c r="AB15" s="1384">
        <f>D15/H15</f>
        <v>1</v>
      </c>
      <c r="AC15" s="1384">
        <f>D15/J15</f>
        <v>1</v>
      </c>
    </row>
    <row r="16" spans="1:30" ht="21.6"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68"/>
      <c r="Q16" s="1050">
        <f t="shared" si="6"/>
        <v>111</v>
      </c>
      <c r="R16" s="1381" t="s">
        <v>5</v>
      </c>
      <c r="S16" s="1382">
        <f t="shared" si="0"/>
        <v>100</v>
      </c>
      <c r="T16" s="1381" t="s">
        <v>5</v>
      </c>
      <c r="U16" s="1382">
        <f t="shared" si="1"/>
        <v>100</v>
      </c>
      <c r="V16" s="1381" t="s">
        <v>5</v>
      </c>
      <c r="W16" s="1382">
        <f t="shared" si="2"/>
        <v>100</v>
      </c>
      <c r="X16" s="1383"/>
      <c r="Y16" s="3820"/>
      <c r="Z16" s="1049">
        <f t="shared" si="7"/>
        <v>111</v>
      </c>
      <c r="AA16" s="1384">
        <f>D16/F16</f>
        <v>1</v>
      </c>
      <c r="AB16" s="1384">
        <f>D16/H16</f>
        <v>1</v>
      </c>
      <c r="AC16" s="1384">
        <f>D16/J16</f>
        <v>1</v>
      </c>
    </row>
    <row r="17" spans="1:29" ht="96.6" hidden="1">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0" t="s">
        <v>489</v>
      </c>
      <c r="Q17" s="1385" t="str">
        <f t="shared" si="6"/>
        <v>居住社区成熟度</v>
      </c>
      <c r="R17" s="1386" t="s">
        <v>5</v>
      </c>
      <c r="S17" s="1387">
        <f t="shared" si="0"/>
        <v>100</v>
      </c>
      <c r="T17" s="1386" t="s">
        <v>5</v>
      </c>
      <c r="U17" s="1387">
        <f t="shared" si="1"/>
        <v>100</v>
      </c>
      <c r="V17" s="1386" t="s">
        <v>5</v>
      </c>
      <c r="W17" s="1387">
        <f t="shared" si="2"/>
        <v>100</v>
      </c>
      <c r="X17" s="1380"/>
      <c r="Y17" s="3870" t="s">
        <v>489</v>
      </c>
      <c r="Z17" s="1388" t="str">
        <f t="shared" si="7"/>
        <v>居住社区成熟度</v>
      </c>
      <c r="AA17" s="1389">
        <f t="shared" si="3"/>
        <v>1</v>
      </c>
      <c r="AB17" s="1389">
        <f t="shared" si="4"/>
        <v>1</v>
      </c>
      <c r="AC17" s="1389">
        <f t="shared" si="5"/>
        <v>1</v>
      </c>
    </row>
    <row r="18" spans="1:29" ht="21" hidden="1">
      <c r="A18" s="502"/>
      <c r="B18" s="523"/>
      <c r="C18" s="524"/>
      <c r="D18" s="527"/>
      <c r="E18" s="528"/>
      <c r="F18" s="525"/>
      <c r="G18" s="526"/>
      <c r="H18" s="529"/>
      <c r="I18" s="528"/>
      <c r="J18" s="525"/>
      <c r="K18" s="501"/>
      <c r="L18" s="1865"/>
      <c r="M18" s="1855"/>
      <c r="N18" s="1855"/>
      <c r="O18" s="1864"/>
      <c r="P18" s="3871"/>
      <c r="Q18" s="1385"/>
      <c r="R18" s="1386"/>
      <c r="S18" s="1387"/>
      <c r="T18" s="1386"/>
      <c r="U18" s="1387"/>
      <c r="V18" s="1386"/>
      <c r="W18" s="1387"/>
      <c r="X18" s="1380"/>
      <c r="Y18" s="3871"/>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90</v>
      </c>
      <c r="G19" s="532"/>
      <c r="H19" s="535">
        <f>SUMIF(91:91,G20,92:92)-SUMIF(91:91,C20,92:92)+100</f>
        <v>90</v>
      </c>
      <c r="I19" s="534"/>
      <c r="J19" s="535">
        <f>SUMIF(91:91,I20,92:92)-SUMIF(91:91,C20,92:92)+100</f>
        <v>90</v>
      </c>
      <c r="K19" s="505">
        <v>5</v>
      </c>
      <c r="L19" s="1865"/>
      <c r="M19" s="1855"/>
      <c r="N19" s="1855"/>
      <c r="O19" s="1864"/>
      <c r="P19" s="3871"/>
      <c r="Q19" s="1385" t="str">
        <f>B19</f>
        <v>商业繁华度</v>
      </c>
      <c r="R19" s="1386" t="s">
        <v>5</v>
      </c>
      <c r="S19" s="1387">
        <f>F19</f>
        <v>90</v>
      </c>
      <c r="T19" s="1386" t="s">
        <v>5</v>
      </c>
      <c r="U19" s="1387">
        <f>H19</f>
        <v>90</v>
      </c>
      <c r="V19" s="1386" t="s">
        <v>5</v>
      </c>
      <c r="W19" s="1387">
        <f>J19</f>
        <v>90</v>
      </c>
      <c r="X19" s="1380"/>
      <c r="Y19" s="3871"/>
      <c r="Z19" s="1388" t="str">
        <f>Q19</f>
        <v>商业繁华度</v>
      </c>
      <c r="AA19" s="1389">
        <f t="shared" si="3"/>
        <v>1.1111111111111112</v>
      </c>
      <c r="AB19" s="1389">
        <f t="shared" si="4"/>
        <v>1.1111111111111112</v>
      </c>
      <c r="AC19" s="1389">
        <f t="shared" si="5"/>
        <v>1.1111111111111112</v>
      </c>
    </row>
    <row r="20" spans="1:29" ht="21">
      <c r="A20" s="502"/>
      <c r="B20" s="536"/>
      <c r="C20" s="3674" t="s">
        <v>3334</v>
      </c>
      <c r="D20" s="533"/>
      <c r="E20" s="3675" t="s">
        <v>3342</v>
      </c>
      <c r="F20" s="529"/>
      <c r="G20" s="3676" t="s">
        <v>3342</v>
      </c>
      <c r="H20" s="525"/>
      <c r="I20" s="3675" t="s">
        <v>3342</v>
      </c>
      <c r="J20" s="525"/>
      <c r="K20" s="501"/>
      <c r="L20" s="1865"/>
      <c r="M20" s="1855"/>
      <c r="N20" s="1855"/>
      <c r="O20" s="1864"/>
      <c r="P20" s="3871"/>
      <c r="Q20" s="1385"/>
      <c r="R20" s="1386"/>
      <c r="S20" s="1387"/>
      <c r="T20" s="1386"/>
      <c r="U20" s="1387"/>
      <c r="V20" s="1386"/>
      <c r="W20" s="1387"/>
      <c r="X20" s="1380"/>
      <c r="Y20" s="3871"/>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90</v>
      </c>
      <c r="G21" s="540"/>
      <c r="H21" s="529">
        <f>SUMIF(93:93,G22,94:94)-SUMIF(93:93,C22,94:94)+100</f>
        <v>90</v>
      </c>
      <c r="I21" s="542"/>
      <c r="J21" s="529">
        <f>SUMIF(93:93,I22,94:94)-SUMIF(93:93,C22,94:94)+100</f>
        <v>90</v>
      </c>
      <c r="K21" s="505">
        <v>5</v>
      </c>
      <c r="L21" s="1865"/>
      <c r="M21" s="1855"/>
      <c r="N21" s="1855"/>
      <c r="O21" s="1864"/>
      <c r="P21" s="3871"/>
      <c r="Q21" s="1385" t="str">
        <f>B21</f>
        <v>办公集聚程度</v>
      </c>
      <c r="R21" s="1386" t="s">
        <v>5</v>
      </c>
      <c r="S21" s="1387">
        <f>F21</f>
        <v>90</v>
      </c>
      <c r="T21" s="1386" t="s">
        <v>5</v>
      </c>
      <c r="U21" s="1387">
        <f>H21</f>
        <v>90</v>
      </c>
      <c r="V21" s="1386" t="s">
        <v>5</v>
      </c>
      <c r="W21" s="1387">
        <f>J21</f>
        <v>90</v>
      </c>
      <c r="X21" s="1380"/>
      <c r="Y21" s="3871"/>
      <c r="Z21" s="1388" t="str">
        <f>Q21</f>
        <v>办公集聚程度</v>
      </c>
      <c r="AA21" s="1389">
        <f t="shared" si="3"/>
        <v>1.1111111111111112</v>
      </c>
      <c r="AB21" s="1389">
        <f t="shared" si="4"/>
        <v>1.1111111111111112</v>
      </c>
      <c r="AC21" s="1389">
        <f t="shared" si="5"/>
        <v>1.1111111111111112</v>
      </c>
    </row>
    <row r="22" spans="1:29" ht="21">
      <c r="A22" s="502"/>
      <c r="B22" s="536"/>
      <c r="C22" s="3677" t="s">
        <v>3334</v>
      </c>
      <c r="D22" s="527"/>
      <c r="E22" s="3678" t="s">
        <v>3342</v>
      </c>
      <c r="F22" s="525"/>
      <c r="G22" s="3679" t="s">
        <v>3343</v>
      </c>
      <c r="H22" s="525"/>
      <c r="I22" s="3678" t="s">
        <v>3342</v>
      </c>
      <c r="J22" s="525"/>
      <c r="K22" s="501"/>
      <c r="L22" s="1865"/>
      <c r="M22" s="1855"/>
      <c r="N22" s="1855"/>
      <c r="O22" s="1864"/>
      <c r="P22" s="3871"/>
      <c r="Q22" s="1385"/>
      <c r="R22" s="1386"/>
      <c r="S22" s="1387"/>
      <c r="T22" s="1386"/>
      <c r="U22" s="1387"/>
      <c r="V22" s="1386"/>
      <c r="W22" s="1387"/>
      <c r="X22" s="1380"/>
      <c r="Y22" s="3871"/>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97</v>
      </c>
      <c r="G23" s="532"/>
      <c r="H23" s="529">
        <f>SUMIF(95:95,G24,96:96)-SUMIF(95:95,C24,96:96)+100</f>
        <v>100</v>
      </c>
      <c r="I23" s="534"/>
      <c r="J23" s="529">
        <f>SUMIF(95:95,I24,96:96)-SUMIF(95:95,C24,96:96)+100</f>
        <v>100</v>
      </c>
      <c r="K23" s="505">
        <v>3</v>
      </c>
      <c r="L23" s="1865"/>
      <c r="M23" s="1855"/>
      <c r="N23" s="1855"/>
      <c r="O23" s="1864"/>
      <c r="P23" s="3871"/>
      <c r="Q23" s="1385" t="str">
        <f>B23</f>
        <v>交通便捷度</v>
      </c>
      <c r="R23" s="1386" t="s">
        <v>5</v>
      </c>
      <c r="S23" s="1387">
        <f>F23</f>
        <v>97</v>
      </c>
      <c r="T23" s="1386" t="s">
        <v>5</v>
      </c>
      <c r="U23" s="1387">
        <f>H23</f>
        <v>100</v>
      </c>
      <c r="V23" s="1386" t="s">
        <v>5</v>
      </c>
      <c r="W23" s="1387">
        <f>J23</f>
        <v>100</v>
      </c>
      <c r="X23" s="1380"/>
      <c r="Y23" s="3871"/>
      <c r="Z23" s="1388" t="str">
        <f>Q23</f>
        <v>交通便捷度</v>
      </c>
      <c r="AA23" s="1389">
        <f t="shared" si="3"/>
        <v>1.0309278350515463</v>
      </c>
      <c r="AB23" s="1389">
        <f t="shared" si="4"/>
        <v>1</v>
      </c>
      <c r="AC23" s="1389">
        <f t="shared" si="5"/>
        <v>1</v>
      </c>
    </row>
    <row r="24" spans="1:29" ht="21">
      <c r="A24" s="502"/>
      <c r="B24" s="548"/>
      <c r="C24" s="3677" t="s">
        <v>3334</v>
      </c>
      <c r="D24" s="527"/>
      <c r="E24" s="3678" t="s">
        <v>3335</v>
      </c>
      <c r="F24" s="525"/>
      <c r="G24" s="3679" t="s">
        <v>3334</v>
      </c>
      <c r="H24" s="525"/>
      <c r="I24" s="3678" t="s">
        <v>3334</v>
      </c>
      <c r="J24" s="525"/>
      <c r="K24" s="501"/>
      <c r="L24" s="1865"/>
      <c r="M24" s="1855"/>
      <c r="N24" s="1855"/>
      <c r="O24" s="1864"/>
      <c r="P24" s="3871"/>
      <c r="Q24" s="1385"/>
      <c r="R24" s="1386"/>
      <c r="S24" s="1387"/>
      <c r="T24" s="1386"/>
      <c r="U24" s="1387"/>
      <c r="V24" s="1386"/>
      <c r="W24" s="1387"/>
      <c r="X24" s="1380"/>
      <c r="Y24" s="3871"/>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1"/>
      <c r="Q25" s="1385" t="str">
        <f t="shared" ref="Q25:Q39" si="8">B25</f>
        <v>区域土地利用方向</v>
      </c>
      <c r="R25" s="1386" t="s">
        <v>5</v>
      </c>
      <c r="S25" s="1387">
        <f>F25</f>
        <v>100</v>
      </c>
      <c r="T25" s="1386" t="s">
        <v>5</v>
      </c>
      <c r="U25" s="1387">
        <f>H25</f>
        <v>100</v>
      </c>
      <c r="V25" s="1386" t="s">
        <v>5</v>
      </c>
      <c r="W25" s="1387">
        <f>J25</f>
        <v>100</v>
      </c>
      <c r="X25" s="1380"/>
      <c r="Y25" s="3871"/>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3871"/>
      <c r="Q26" s="1385"/>
      <c r="R26" s="1386"/>
      <c r="S26" s="1387"/>
      <c r="T26" s="1386"/>
      <c r="U26" s="1387"/>
      <c r="V26" s="1386"/>
      <c r="W26" s="1387"/>
      <c r="X26" s="1380"/>
      <c r="Y26" s="3871"/>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1"/>
      <c r="Q27" s="1385" t="str">
        <f t="shared" si="8"/>
        <v>自然及人文环境状况</v>
      </c>
      <c r="R27" s="1386" t="s">
        <v>5</v>
      </c>
      <c r="S27" s="1387">
        <f>F27</f>
        <v>100</v>
      </c>
      <c r="T27" s="1386" t="s">
        <v>5</v>
      </c>
      <c r="U27" s="1387">
        <f>H27</f>
        <v>100</v>
      </c>
      <c r="V27" s="1386" t="s">
        <v>5</v>
      </c>
      <c r="W27" s="1387">
        <f>J27</f>
        <v>100</v>
      </c>
      <c r="X27" s="1380"/>
      <c r="Y27" s="3871"/>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3871"/>
      <c r="Q28" s="1385"/>
      <c r="R28" s="1386"/>
      <c r="S28" s="1387"/>
      <c r="T28" s="1386"/>
      <c r="U28" s="1387"/>
      <c r="V28" s="1386"/>
      <c r="W28" s="1387"/>
      <c r="X28" s="1380"/>
      <c r="Y28" s="3871"/>
      <c r="Z28" s="1388"/>
      <c r="AA28" s="1389">
        <v>1</v>
      </c>
      <c r="AB28" s="1389">
        <v>1</v>
      </c>
      <c r="AC28" s="1389">
        <v>1</v>
      </c>
    </row>
    <row r="29" spans="1:29" s="1118" customFormat="1" ht="41.4">
      <c r="A29" s="547"/>
      <c r="B29" s="2199" t="s">
        <v>1831</v>
      </c>
      <c r="C29" s="543" t="str">
        <f>估价对象房地状况!C21</f>
        <v>估价对象所在区域公共配套设施齐备情况</v>
      </c>
      <c r="D29" s="533">
        <v>100</v>
      </c>
      <c r="E29" s="534"/>
      <c r="F29" s="529">
        <f>SUMIF(101:101,E30,102:102)-SUMIF(101:101,C30,102:102)+100</f>
        <v>98</v>
      </c>
      <c r="G29" s="532"/>
      <c r="H29" s="529">
        <f>SUMIF(101:101,G30,102:102)-SUMIF(101:101,C30,102:102)+100</f>
        <v>98</v>
      </c>
      <c r="I29" s="534"/>
      <c r="J29" s="529">
        <f>SUMIF(101:101,I30,102:102)-SUMIF(101:101,C30,102:102)+100</f>
        <v>98</v>
      </c>
      <c r="K29" s="505">
        <v>2</v>
      </c>
      <c r="L29" s="1858"/>
      <c r="M29" s="1855"/>
      <c r="N29" s="1855"/>
      <c r="O29" s="1860"/>
      <c r="P29" s="3871"/>
      <c r="Q29" s="1050" t="str">
        <f t="shared" si="8"/>
        <v>公共配套设施</v>
      </c>
      <c r="R29" s="1381" t="s">
        <v>5</v>
      </c>
      <c r="S29" s="1382">
        <f>F29</f>
        <v>98</v>
      </c>
      <c r="T29" s="1381" t="s">
        <v>5</v>
      </c>
      <c r="U29" s="1382">
        <f>H29</f>
        <v>98</v>
      </c>
      <c r="V29" s="1381" t="s">
        <v>5</v>
      </c>
      <c r="W29" s="1382">
        <f>J29</f>
        <v>98</v>
      </c>
      <c r="X29" s="1383"/>
      <c r="Y29" s="3871"/>
      <c r="Z29" s="1049" t="str">
        <f>Q29</f>
        <v>公共配套设施</v>
      </c>
      <c r="AA29" s="1389">
        <f>D29/F29</f>
        <v>1.0204081632653061</v>
      </c>
      <c r="AB29" s="1389">
        <f>D29/H29</f>
        <v>1.0204081632653061</v>
      </c>
      <c r="AC29" s="1389">
        <f>D29/J29</f>
        <v>1.0204081632653061</v>
      </c>
    </row>
    <row r="30" spans="1:29" s="1118" customFormat="1" ht="21">
      <c r="A30" s="547"/>
      <c r="B30" s="536"/>
      <c r="C30" s="3680" t="s">
        <v>3334</v>
      </c>
      <c r="D30" s="527"/>
      <c r="E30" s="3681" t="s">
        <v>3336</v>
      </c>
      <c r="F30" s="525"/>
      <c r="G30" s="3677" t="s">
        <v>3336</v>
      </c>
      <c r="H30" s="525"/>
      <c r="I30" s="3681" t="s">
        <v>3336</v>
      </c>
      <c r="J30" s="525"/>
      <c r="K30" s="501"/>
      <c r="L30" s="1858"/>
      <c r="M30" s="1855"/>
      <c r="N30" s="1855"/>
      <c r="O30" s="1860"/>
      <c r="P30" s="3871"/>
      <c r="Q30" s="1050"/>
      <c r="R30" s="1381"/>
      <c r="S30" s="1382"/>
      <c r="T30" s="1381"/>
      <c r="U30" s="1382"/>
      <c r="V30" s="1381"/>
      <c r="W30" s="1382"/>
      <c r="X30" s="1383"/>
      <c r="Y30" s="3871"/>
      <c r="Z30" s="1049"/>
      <c r="AA30" s="1389">
        <v>1</v>
      </c>
      <c r="AB30" s="1389">
        <v>1</v>
      </c>
      <c r="AC30" s="1389">
        <v>1</v>
      </c>
    </row>
    <row r="31" spans="1:29" s="1118" customFormat="1" ht="27.6">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71"/>
      <c r="Q31" s="2192" t="str">
        <f>B31</f>
        <v>基础设施水平</v>
      </c>
      <c r="R31" s="1381" t="s">
        <v>5</v>
      </c>
      <c r="S31" s="1382">
        <f>F31</f>
        <v>100</v>
      </c>
      <c r="T31" s="1381" t="s">
        <v>5</v>
      </c>
      <c r="U31" s="1382">
        <f>H31</f>
        <v>100</v>
      </c>
      <c r="V31" s="1381" t="s">
        <v>5</v>
      </c>
      <c r="W31" s="1382">
        <f>J31</f>
        <v>100</v>
      </c>
      <c r="X31" s="1383"/>
      <c r="Y31" s="3871"/>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3871"/>
      <c r="Q32" s="2192"/>
      <c r="R32" s="1381"/>
      <c r="S32" s="1382"/>
      <c r="T32" s="1381"/>
      <c r="U32" s="1382"/>
      <c r="V32" s="1381"/>
      <c r="W32" s="1382"/>
      <c r="X32" s="1383"/>
      <c r="Y32" s="3871"/>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1"/>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1"/>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1"/>
      <c r="Q34" s="1385" t="str">
        <f t="shared" si="8"/>
        <v>毗邻道路的类型与等级</v>
      </c>
      <c r="R34" s="1386" t="s">
        <v>5</v>
      </c>
      <c r="S34" s="1387">
        <f t="shared" si="9"/>
        <v>100</v>
      </c>
      <c r="T34" s="1386" t="s">
        <v>5</v>
      </c>
      <c r="U34" s="1387">
        <f t="shared" si="10"/>
        <v>100</v>
      </c>
      <c r="V34" s="1386" t="s">
        <v>5</v>
      </c>
      <c r="W34" s="1387">
        <f t="shared" si="11"/>
        <v>100</v>
      </c>
      <c r="X34" s="1380"/>
      <c r="Y34" s="3871"/>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3871"/>
      <c r="Q35" s="1385"/>
      <c r="R35" s="1386"/>
      <c r="S35" s="1387"/>
      <c r="T35" s="1386"/>
      <c r="U35" s="1387"/>
      <c r="V35" s="1386"/>
      <c r="W35" s="1387"/>
      <c r="X35" s="1380"/>
      <c r="Y35" s="3871"/>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1"/>
      <c r="Q36" s="1385" t="str">
        <f t="shared" si="8"/>
        <v>土地级别</v>
      </c>
      <c r="R36" s="1386" t="s">
        <v>5</v>
      </c>
      <c r="S36" s="1387">
        <f t="shared" si="9"/>
        <v>100</v>
      </c>
      <c r="T36" s="1386" t="s">
        <v>5</v>
      </c>
      <c r="U36" s="1387">
        <f t="shared" si="10"/>
        <v>100</v>
      </c>
      <c r="V36" s="1386" t="s">
        <v>5</v>
      </c>
      <c r="W36" s="1387">
        <f t="shared" si="11"/>
        <v>100</v>
      </c>
      <c r="X36" s="1380"/>
      <c r="Y36" s="3871"/>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1"/>
      <c r="Q37" s="1385">
        <f t="shared" si="8"/>
        <v>111</v>
      </c>
      <c r="R37" s="1386" t="s">
        <v>5</v>
      </c>
      <c r="S37" s="1387">
        <f t="shared" si="9"/>
        <v>100</v>
      </c>
      <c r="T37" s="1386" t="s">
        <v>5</v>
      </c>
      <c r="U37" s="1387">
        <f t="shared" si="10"/>
        <v>100</v>
      </c>
      <c r="V37" s="1386" t="s">
        <v>5</v>
      </c>
      <c r="W37" s="1387">
        <f t="shared" si="11"/>
        <v>100</v>
      </c>
      <c r="X37" s="1380"/>
      <c r="Y37" s="3871"/>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2" t="s">
        <v>499</v>
      </c>
      <c r="Q38" s="1385">
        <f t="shared" si="8"/>
        <v>111</v>
      </c>
      <c r="R38" s="1386" t="s">
        <v>5</v>
      </c>
      <c r="S38" s="1387">
        <f t="shared" si="9"/>
        <v>100</v>
      </c>
      <c r="T38" s="1386" t="s">
        <v>5</v>
      </c>
      <c r="U38" s="1387">
        <f t="shared" si="10"/>
        <v>100</v>
      </c>
      <c r="V38" s="1386" t="s">
        <v>5</v>
      </c>
      <c r="W38" s="1387">
        <f t="shared" si="11"/>
        <v>100</v>
      </c>
      <c r="X38" s="1380"/>
      <c r="Y38" s="3873"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73"/>
      <c r="Q39" s="1385">
        <f t="shared" si="8"/>
        <v>111</v>
      </c>
      <c r="R39" s="1390" t="s">
        <v>5</v>
      </c>
      <c r="S39" s="1391">
        <f t="shared" si="9"/>
        <v>100</v>
      </c>
      <c r="T39" s="1390" t="s">
        <v>5</v>
      </c>
      <c r="U39" s="1391">
        <f t="shared" si="10"/>
        <v>100</v>
      </c>
      <c r="V39" s="1390" t="s">
        <v>5</v>
      </c>
      <c r="W39" s="1391">
        <f t="shared" si="11"/>
        <v>100</v>
      </c>
      <c r="X39" s="1392"/>
      <c r="Y39" s="3873"/>
      <c r="Z39" s="1393">
        <f t="shared" si="12"/>
        <v>111</v>
      </c>
      <c r="AA39" s="1389">
        <f t="shared" si="3"/>
        <v>1</v>
      </c>
      <c r="AB39" s="1389">
        <f t="shared" si="4"/>
        <v>1</v>
      </c>
      <c r="AC39" s="1389">
        <f t="shared" si="5"/>
        <v>1</v>
      </c>
    </row>
    <row r="40" spans="1:29" ht="21">
      <c r="A40" s="2387" t="s">
        <v>2037</v>
      </c>
      <c r="B40" s="565" t="s">
        <v>501</v>
      </c>
      <c r="C40" s="566">
        <f>'数据-基础表'!A3</f>
        <v>11349</v>
      </c>
      <c r="D40" s="567">
        <v>100</v>
      </c>
      <c r="E40" s="566">
        <f>Sheet1!D3</f>
        <v>10000</v>
      </c>
      <c r="F40" s="567">
        <f>LOOKUP(E40,118:118,119:119)-LOOKUP(C40,118:118,119:119)+100</f>
        <v>100</v>
      </c>
      <c r="G40" s="566">
        <f>Sheet1!D5</f>
        <v>29991.73</v>
      </c>
      <c r="H40" s="567">
        <f>LOOKUP(G40,118:118,119:119)-LOOKUP(C40,118:118,119:119)+100</f>
        <v>102</v>
      </c>
      <c r="I40" s="568">
        <f>Sheet1!D7</f>
        <v>17147.95</v>
      </c>
      <c r="J40" s="567">
        <f>LOOKUP(I40,118:118,119:119)-LOOKUP(C40,118:118,119:119)+100</f>
        <v>100</v>
      </c>
      <c r="K40" s="551"/>
      <c r="L40" s="1865"/>
      <c r="M40" s="1855"/>
      <c r="N40" s="1855"/>
      <c r="O40" s="1864"/>
      <c r="P40" s="3873"/>
      <c r="Q40" s="1385" t="str">
        <f>B40</f>
        <v>宗地面积</v>
      </c>
      <c r="R40" s="1386" t="s">
        <v>5</v>
      </c>
      <c r="S40" s="1387">
        <f t="shared" si="9"/>
        <v>100</v>
      </c>
      <c r="T40" s="1386" t="s">
        <v>5</v>
      </c>
      <c r="U40" s="1387">
        <f t="shared" si="10"/>
        <v>102</v>
      </c>
      <c r="V40" s="1386" t="s">
        <v>5</v>
      </c>
      <c r="W40" s="1387">
        <f t="shared" si="11"/>
        <v>100</v>
      </c>
      <c r="X40" s="1380"/>
      <c r="Y40" s="3873"/>
      <c r="Z40" s="1388" t="str">
        <f t="shared" si="12"/>
        <v>宗地面积</v>
      </c>
      <c r="AA40" s="1389">
        <f t="shared" si="3"/>
        <v>1</v>
      </c>
      <c r="AB40" s="1389">
        <f t="shared" si="4"/>
        <v>0.98039215686274506</v>
      </c>
      <c r="AC40" s="1389">
        <f t="shared" si="5"/>
        <v>1</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73"/>
      <c r="Q41" s="1385" t="str">
        <f t="shared" ref="Q41:Q47" si="13">B41</f>
        <v>宗地形状</v>
      </c>
      <c r="R41" s="1386" t="s">
        <v>5</v>
      </c>
      <c r="S41" s="1387">
        <f t="shared" si="9"/>
        <v>100</v>
      </c>
      <c r="T41" s="1386" t="s">
        <v>5</v>
      </c>
      <c r="U41" s="1387">
        <f t="shared" si="10"/>
        <v>100</v>
      </c>
      <c r="V41" s="1386" t="s">
        <v>5</v>
      </c>
      <c r="W41" s="1387">
        <f t="shared" si="11"/>
        <v>100</v>
      </c>
      <c r="X41" s="1380"/>
      <c r="Y41" s="3873"/>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73"/>
      <c r="Q42" s="1385" t="str">
        <f t="shared" si="13"/>
        <v>临街宽度及深度</v>
      </c>
      <c r="R42" s="1386" t="s">
        <v>5</v>
      </c>
      <c r="S42" s="1387">
        <f t="shared" si="9"/>
        <v>100</v>
      </c>
      <c r="T42" s="1386" t="s">
        <v>5</v>
      </c>
      <c r="U42" s="1387">
        <f t="shared" si="10"/>
        <v>100</v>
      </c>
      <c r="V42" s="1386" t="s">
        <v>5</v>
      </c>
      <c r="W42" s="1387">
        <f t="shared" si="11"/>
        <v>100</v>
      </c>
      <c r="X42" s="1380"/>
      <c r="Y42" s="3873"/>
      <c r="Z42" s="1388" t="str">
        <f t="shared" si="12"/>
        <v>临街宽度及深度</v>
      </c>
      <c r="AA42" s="1389">
        <f t="shared" si="3"/>
        <v>1</v>
      </c>
      <c r="AB42" s="1389">
        <f t="shared" si="4"/>
        <v>1</v>
      </c>
      <c r="AC42" s="1389">
        <f t="shared" si="5"/>
        <v>1</v>
      </c>
    </row>
    <row r="43" spans="1:29" s="1118" customFormat="1" ht="21">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73"/>
      <c r="Q43" s="1385" t="str">
        <f t="shared" si="13"/>
        <v>宗地开发程度</v>
      </c>
      <c r="R43" s="1381" t="s">
        <v>5</v>
      </c>
      <c r="S43" s="1382">
        <f t="shared" si="9"/>
        <v>100</v>
      </c>
      <c r="T43" s="1381" t="s">
        <v>5</v>
      </c>
      <c r="U43" s="1382">
        <f t="shared" si="10"/>
        <v>100</v>
      </c>
      <c r="V43" s="1381" t="s">
        <v>5</v>
      </c>
      <c r="W43" s="1382">
        <f t="shared" si="11"/>
        <v>100</v>
      </c>
      <c r="X43" s="1383"/>
      <c r="Y43" s="3873"/>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73" t="s">
        <v>499</v>
      </c>
      <c r="Q44" s="1385" t="str">
        <f t="shared" si="13"/>
        <v>工程地质条件</v>
      </c>
      <c r="R44" s="1386" t="s">
        <v>5</v>
      </c>
      <c r="S44" s="1387">
        <f t="shared" si="9"/>
        <v>100</v>
      </c>
      <c r="T44" s="1386" t="s">
        <v>5</v>
      </c>
      <c r="U44" s="1387">
        <f t="shared" si="10"/>
        <v>100</v>
      </c>
      <c r="V44" s="1386" t="s">
        <v>5</v>
      </c>
      <c r="W44" s="1387">
        <f t="shared" si="11"/>
        <v>100</v>
      </c>
      <c r="X44" s="1380"/>
      <c r="Y44" s="3873"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73"/>
      <c r="Q45" s="1385">
        <f t="shared" si="13"/>
        <v>111</v>
      </c>
      <c r="R45" s="1386" t="s">
        <v>5</v>
      </c>
      <c r="S45" s="1387">
        <f t="shared" si="9"/>
        <v>100</v>
      </c>
      <c r="T45" s="1386" t="s">
        <v>5</v>
      </c>
      <c r="U45" s="1387">
        <f t="shared" si="10"/>
        <v>100</v>
      </c>
      <c r="V45" s="1386" t="s">
        <v>5</v>
      </c>
      <c r="W45" s="1387">
        <f t="shared" si="11"/>
        <v>100</v>
      </c>
      <c r="X45" s="1380"/>
      <c r="Y45" s="3873"/>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73"/>
      <c r="Q46" s="1385">
        <f t="shared" si="13"/>
        <v>111</v>
      </c>
      <c r="R46" s="1386" t="s">
        <v>5</v>
      </c>
      <c r="S46" s="1387">
        <f t="shared" si="9"/>
        <v>100</v>
      </c>
      <c r="T46" s="1386" t="s">
        <v>5</v>
      </c>
      <c r="U46" s="1387">
        <f t="shared" si="10"/>
        <v>100</v>
      </c>
      <c r="V46" s="1386" t="s">
        <v>5</v>
      </c>
      <c r="W46" s="1387">
        <f t="shared" si="11"/>
        <v>100</v>
      </c>
      <c r="X46" s="1380"/>
      <c r="Y46" s="3873"/>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73"/>
      <c r="Q47" s="1385">
        <f t="shared" si="13"/>
        <v>111</v>
      </c>
      <c r="R47" s="1390" t="s">
        <v>5</v>
      </c>
      <c r="S47" s="1391">
        <f t="shared" si="9"/>
        <v>100</v>
      </c>
      <c r="T47" s="1390" t="s">
        <v>5</v>
      </c>
      <c r="U47" s="1391">
        <f t="shared" si="10"/>
        <v>100</v>
      </c>
      <c r="V47" s="1390" t="s">
        <v>5</v>
      </c>
      <c r="W47" s="1391">
        <f t="shared" si="11"/>
        <v>100</v>
      </c>
      <c r="X47" s="1392"/>
      <c r="Y47" s="3873"/>
      <c r="Z47" s="1393">
        <f t="shared" si="12"/>
        <v>111</v>
      </c>
      <c r="AA47" s="1389">
        <f t="shared" si="3"/>
        <v>1</v>
      </c>
      <c r="AB47" s="1389">
        <f t="shared" si="4"/>
        <v>1</v>
      </c>
      <c r="AC47" s="1389">
        <f t="shared" si="5"/>
        <v>1</v>
      </c>
    </row>
    <row r="48" spans="1:29" ht="21">
      <c r="A48" s="577" t="s">
        <v>505</v>
      </c>
      <c r="B48" s="578" t="s">
        <v>3339</v>
      </c>
      <c r="C48" s="579" t="s">
        <v>0</v>
      </c>
      <c r="D48" s="580"/>
      <c r="E48" s="581">
        <v>16545</v>
      </c>
      <c r="F48" s="582"/>
      <c r="G48" s="583">
        <v>13779</v>
      </c>
      <c r="H48" s="584"/>
      <c r="I48" s="581">
        <v>13018</v>
      </c>
      <c r="J48" s="584"/>
      <c r="K48" s="1201"/>
      <c r="L48" s="1867"/>
      <c r="M48" s="1855"/>
      <c r="N48" s="1855"/>
      <c r="O48" s="1868"/>
      <c r="P48" s="3868" t="str">
        <f>A48</f>
        <v>成交单价</v>
      </c>
      <c r="Q48" s="3868"/>
      <c r="R48" s="3884">
        <f>E48</f>
        <v>16545</v>
      </c>
      <c r="S48" s="3884"/>
      <c r="T48" s="3884">
        <f>G48</f>
        <v>13779</v>
      </c>
      <c r="U48" s="3884"/>
      <c r="V48" s="3884">
        <f>I48</f>
        <v>13018</v>
      </c>
      <c r="W48" s="3884"/>
      <c r="X48" s="1375"/>
      <c r="Y48" s="1394"/>
      <c r="Z48" s="1375"/>
      <c r="AA48" s="1375"/>
      <c r="AB48" s="1375"/>
      <c r="AC48" s="1375"/>
    </row>
    <row r="49" spans="1:29" ht="21.6" thickBot="1">
      <c r="A49" s="585" t="s">
        <v>1975</v>
      </c>
      <c r="B49" s="586"/>
      <c r="C49" s="587">
        <f>R50</f>
        <v>15844</v>
      </c>
      <c r="D49" s="2757" t="s">
        <v>2261</v>
      </c>
      <c r="E49" s="587">
        <f>R49</f>
        <v>18877</v>
      </c>
      <c r="F49" s="2758">
        <v>0.2</v>
      </c>
      <c r="G49" s="588">
        <f>T49</f>
        <v>15389</v>
      </c>
      <c r="H49" s="2758">
        <v>0.4</v>
      </c>
      <c r="I49" s="587">
        <f>V49</f>
        <v>14783</v>
      </c>
      <c r="J49" s="2758">
        <v>0.4</v>
      </c>
      <c r="K49" s="2759">
        <f>F49+H49+J49</f>
        <v>1</v>
      </c>
      <c r="L49" s="1867"/>
      <c r="M49" s="1855"/>
      <c r="N49" s="1855"/>
      <c r="O49" s="1868"/>
      <c r="P49" s="3868" t="str">
        <f>A49</f>
        <v>比较价格（元/平方米）</v>
      </c>
      <c r="Q49" s="3868"/>
      <c r="R49" s="3892">
        <f>ROUND(PRODUCT(R48,AA9:AA47),0)</f>
        <v>18877</v>
      </c>
      <c r="S49" s="3892"/>
      <c r="T49" s="3892">
        <f>ROUND(PRODUCT(T48,AB9:AB47),0)</f>
        <v>15389</v>
      </c>
      <c r="U49" s="3892"/>
      <c r="V49" s="3892">
        <f>ROUND(PRODUCT(V48,AC9:AC47),0)</f>
        <v>14783</v>
      </c>
      <c r="W49" s="3892"/>
      <c r="X49" s="1375"/>
      <c r="Y49" s="1375"/>
      <c r="Z49" s="1375"/>
      <c r="AA49" s="1375"/>
      <c r="AB49" s="1375"/>
      <c r="AC49" s="1375"/>
    </row>
    <row r="50" spans="1:29" ht="21.6" thickBot="1">
      <c r="A50" s="589" t="s">
        <v>2197</v>
      </c>
      <c r="B50" s="590"/>
      <c r="C50" s="591">
        <f>R50</f>
        <v>15844</v>
      </c>
      <c r="D50" s="591"/>
      <c r="E50" s="591"/>
      <c r="F50" s="591"/>
      <c r="G50" s="591"/>
      <c r="H50" s="591"/>
      <c r="I50" s="591"/>
      <c r="J50" s="591"/>
      <c r="K50" s="1202"/>
      <c r="L50" s="1867"/>
      <c r="M50" s="1855"/>
      <c r="N50" s="1855"/>
      <c r="O50" s="1868"/>
      <c r="P50" s="3874" t="str">
        <f>A50</f>
        <v>估价对象XX用房的比较价格（楼面单价，元/平方米）</v>
      </c>
      <c r="Q50" s="3875"/>
      <c r="R50" s="3891">
        <f>ROUND(IF(D49="简单平均",AVERAGE(R49:W49),R49*F49+T49*H49+V49*J49),0)</f>
        <v>15844</v>
      </c>
      <c r="S50" s="3891"/>
      <c r="T50" s="3891"/>
      <c r="U50" s="3891"/>
      <c r="V50" s="3891"/>
      <c r="W50" s="3891"/>
      <c r="X50" s="1375"/>
      <c r="Y50" s="1375"/>
      <c r="Z50" s="1375"/>
      <c r="AA50" s="1375"/>
      <c r="AB50" s="1375"/>
      <c r="AC50" s="1375"/>
    </row>
    <row r="51" spans="1:29" ht="21">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1">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f>IF(E48&lt;E49,E49/E48-1,E48/E49-1)</f>
        <v>0.14094892716832885</v>
      </c>
      <c r="F53" s="595" t="str">
        <f>IF(OR(E53&gt;=0.3,E53&lt;=-0.3),"超过30%","")</f>
        <v/>
      </c>
      <c r="G53" s="594">
        <f>IF(G48&lt;G49,G49/G48-1,G48/G49-1)</f>
        <v>0.11684447347412719</v>
      </c>
      <c r="H53" s="595" t="str">
        <f>IF(OR(G53&gt;=0.3,G53&lt;=-0.3),"超过30%","")</f>
        <v/>
      </c>
      <c r="I53" s="594">
        <f>IF(I48&lt;I49,I49/I48-1,I48/I49-1)</f>
        <v>0.1355815025349516</v>
      </c>
      <c r="J53" s="595" t="str">
        <f>IF(OR(I53&gt;=0.3,I53&lt;=-0.3),"超过30%","")</f>
        <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f>IF(E49&lt;G49,G49/E49-1,E49/G49-1)</f>
        <v>0.22665540321008515</v>
      </c>
      <c r="F54" s="595" t="str">
        <f>IF(OR(E54&gt;=0.2,E54&lt;=-0.2),"超过20%","")</f>
        <v>超过20%</v>
      </c>
      <c r="G54" s="594">
        <f>IF(G49&lt;I49,I49/G49-1,G49/I49-1)</f>
        <v>4.0993032537373963E-2</v>
      </c>
      <c r="H54" s="595" t="str">
        <f>IF(OR(G54&gt;=0.2,G54&lt;=-0.2),"超过20%","")</f>
        <v/>
      </c>
      <c r="I54" s="594">
        <f>IF(I49&lt;E49,E49/I49-1,I49/E49-1)</f>
        <v>0.27693972806602174</v>
      </c>
      <c r="J54" s="595" t="str">
        <f>IF(OR(I54&gt;=0.2,I54&lt;=-0.2),"超过20%","")</f>
        <v>超过20%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f>IF(E48&lt;G48,G48/E48-1,E48/G48-1)</f>
        <v>0.20074025691269326</v>
      </c>
      <c r="F55" s="595" t="str">
        <f>IF(OR(E55&gt;=0.3,E55&lt;=-0.3),"超过30%","")</f>
        <v/>
      </c>
      <c r="G55" s="594">
        <f>IF(G48&lt;I48,I48/G48-1,G48/I48-1)</f>
        <v>5.8457520356429482E-2</v>
      </c>
      <c r="H55" s="595" t="str">
        <f>IF(OR(G55&gt;=0.3,G55&lt;=-0.3),"超过30%","")</f>
        <v/>
      </c>
      <c r="I55" s="594">
        <f>IF(I48&lt;E48,E48/I48-1,I48/E48-1)</f>
        <v>0.27093255492395141</v>
      </c>
      <c r="J55" s="595" t="str">
        <f>IF(OR(I55&gt;=0.3,I55&lt;=-0.3),"超过30%","")</f>
        <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53" t="s">
        <v>1639</v>
      </c>
      <c r="H57" s="3854"/>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f>C50</f>
        <v>15844</v>
      </c>
      <c r="C58" s="603">
        <v>1</v>
      </c>
      <c r="D58" s="1947">
        <v>1</v>
      </c>
      <c r="E58" s="603">
        <f>'数据-汇总表'!E8+'数据-汇总表'!E9</f>
        <v>107745.12</v>
      </c>
      <c r="F58" s="604">
        <f t="shared" ref="F58:F66" si="14">ROUND(B58*E58/10000,0)</f>
        <v>170711</v>
      </c>
      <c r="G58" s="3855"/>
      <c r="H58" s="3856"/>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f>ROUND($C$50*C59*D59,0)</f>
        <v>2377</v>
      </c>
      <c r="C59" s="365">
        <f t="shared" ref="C59:C66" si="15">IF($C$57="北京市系数",I59,J59)</f>
        <v>0.6</v>
      </c>
      <c r="D59" s="1948">
        <v>0.25</v>
      </c>
      <c r="E59" s="607">
        <f>'数据-取费表'!V26</f>
        <v>1052.44</v>
      </c>
      <c r="F59" s="604">
        <f t="shared" si="14"/>
        <v>250</v>
      </c>
      <c r="G59" s="3277" t="s">
        <v>1640</v>
      </c>
      <c r="H59" s="1704" t="str">
        <f>项目基本情况!B43</f>
        <v>四级</v>
      </c>
      <c r="I59" s="1373">
        <f>SUMIF(修正!$A$57:$A$68,H59,修正!B57:B68)</f>
        <v>0.6</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f t="shared" ref="B60:B66" si="16">ROUND($C$50*C60*D60,0)</f>
        <v>1188</v>
      </c>
      <c r="C60" s="365">
        <f t="shared" si="15"/>
        <v>0.3</v>
      </c>
      <c r="D60" s="1948">
        <v>0.25</v>
      </c>
      <c r="E60" s="607">
        <v>0</v>
      </c>
      <c r="F60" s="604">
        <f t="shared" si="14"/>
        <v>0</v>
      </c>
      <c r="G60" s="3278"/>
      <c r="H60" s="1704" t="str">
        <f>项目基本情况!B43</f>
        <v>四级</v>
      </c>
      <c r="I60" s="1373">
        <f>SUMIF(修正!$A$57:$A$68,H60,修正!C57:C68)</f>
        <v>0.3</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f t="shared" si="16"/>
        <v>990</v>
      </c>
      <c r="C61" s="365">
        <f t="shared" si="15"/>
        <v>0.25</v>
      </c>
      <c r="D61" s="1948">
        <v>0.25</v>
      </c>
      <c r="E61" s="607">
        <v>0</v>
      </c>
      <c r="F61" s="604">
        <f t="shared" si="14"/>
        <v>0</v>
      </c>
      <c r="G61" s="3278"/>
      <c r="H61" s="1704" t="str">
        <f>项目基本情况!B43</f>
        <v>四级</v>
      </c>
      <c r="I61" s="1373">
        <f>SUMIF(修正!$A$57:$A$68,H61,修正!D57:D68)</f>
        <v>0.25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1685</v>
      </c>
      <c r="B62" s="606">
        <f t="shared" si="16"/>
        <v>990</v>
      </c>
      <c r="C62" s="365">
        <f t="shared" si="15"/>
        <v>0.25</v>
      </c>
      <c r="D62" s="1948">
        <v>0.25</v>
      </c>
      <c r="E62" s="609">
        <f>'数据-汇总表'!E11</f>
        <v>0</v>
      </c>
      <c r="F62" s="604">
        <f t="shared" si="14"/>
        <v>0</v>
      </c>
      <c r="G62" s="1701" t="s">
        <v>1641</v>
      </c>
      <c r="H62" s="1704" t="str">
        <f>项目基本情况!C43</f>
        <v>四级</v>
      </c>
      <c r="I62" s="1373">
        <f>SUMIF(修正!$A$57:$A$68,H62,修正!E57:E68)</f>
        <v>0.25</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f t="shared" si="16"/>
        <v>990</v>
      </c>
      <c r="C63" s="365">
        <f t="shared" si="15"/>
        <v>0.25</v>
      </c>
      <c r="D63" s="1948">
        <v>0.25</v>
      </c>
      <c r="E63" s="609">
        <f>'数据-汇总表'!E12</f>
        <v>0</v>
      </c>
      <c r="F63" s="604">
        <f t="shared" si="14"/>
        <v>0</v>
      </c>
      <c r="G63" s="1702" t="s">
        <v>1212</v>
      </c>
      <c r="H63" s="1700" t="str">
        <f>IF(G63="商业",项目基本情况!B43,IF(G63="办公",项目基本情况!C43,IF(G63="住宅",项目基本情况!D43,项目基本情况!E43)))</f>
        <v>四级</v>
      </c>
      <c r="I63" s="1373">
        <f>SUMIF(修正!$A$57:$A$68,H63,修正!F57:F68)</f>
        <v>0.25</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f t="shared" si="16"/>
        <v>0</v>
      </c>
      <c r="C64" s="365">
        <f t="shared" si="15"/>
        <v>0</v>
      </c>
      <c r="D64" s="1948">
        <v>0.25</v>
      </c>
      <c r="E64" s="609">
        <f>'数据-汇总表'!E13</f>
        <v>0</v>
      </c>
      <c r="F64" s="604">
        <f t="shared" si="14"/>
        <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f t="shared" si="16"/>
        <v>594</v>
      </c>
      <c r="C65" s="365">
        <f t="shared" si="15"/>
        <v>0.15</v>
      </c>
      <c r="D65" s="1948">
        <v>0.25</v>
      </c>
      <c r="E65" s="609">
        <f>'数据-汇总表'!E14</f>
        <v>0</v>
      </c>
      <c r="F65" s="604">
        <f t="shared" si="14"/>
        <v>0</v>
      </c>
      <c r="G65" s="1701" t="s">
        <v>1640</v>
      </c>
      <c r="H65" s="1704" t="str">
        <f>项目基本情况!B43</f>
        <v>四级</v>
      </c>
      <c r="I65" s="1373">
        <f>SUMIF(修正!$A$57:$A$68,H65,修正!G57:G68)</f>
        <v>0.15</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f t="shared" si="16"/>
        <v>594</v>
      </c>
      <c r="C66" s="365">
        <f t="shared" si="15"/>
        <v>0.15</v>
      </c>
      <c r="D66" s="1948">
        <v>0.25</v>
      </c>
      <c r="E66" s="609">
        <f>'数据-汇总表'!E15</f>
        <v>9656.67</v>
      </c>
      <c r="F66" s="604">
        <f t="shared" si="14"/>
        <v>574</v>
      </c>
      <c r="G66" s="1703" t="s">
        <v>1641</v>
      </c>
      <c r="H66" s="1705" t="str">
        <f>项目基本情况!C43</f>
        <v>四级</v>
      </c>
      <c r="I66" s="1373">
        <f>SUMIF(修正!$A$57:$A$68,H66,修正!G57:G68)</f>
        <v>0.15</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1651</v>
      </c>
      <c r="E67" s="611">
        <f>IF(B48="楼面地价",SUM(E58:E66),'数据-汇总表'!D3)</f>
        <v>118454.23</v>
      </c>
      <c r="F67" s="612">
        <f>IF(B48="楼面地价",SUM(F58:F66),ROUND(C50*E67/10000,0))</f>
        <v>171535</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2023-4-1</v>
      </c>
      <c r="D69" s="2279">
        <f>EDATE(C69,-3)</f>
        <v>44927</v>
      </c>
      <c r="E69" s="2279">
        <f t="shared" ref="E69:N69" si="17">EDATE(D69,-3)</f>
        <v>44835</v>
      </c>
      <c r="F69" s="2279">
        <f t="shared" si="17"/>
        <v>44743</v>
      </c>
      <c r="G69" s="2279">
        <f t="shared" si="17"/>
        <v>44652</v>
      </c>
      <c r="H69" s="2279">
        <f t="shared" si="17"/>
        <v>44562</v>
      </c>
      <c r="I69" s="2279">
        <f t="shared" si="17"/>
        <v>44470</v>
      </c>
      <c r="J69" s="2279">
        <f t="shared" si="17"/>
        <v>44378</v>
      </c>
      <c r="K69" s="2279">
        <f t="shared" si="17"/>
        <v>44287</v>
      </c>
      <c r="L69" s="2279">
        <f t="shared" si="17"/>
        <v>44197</v>
      </c>
      <c r="M69" s="2279">
        <f t="shared" si="17"/>
        <v>44105</v>
      </c>
      <c r="N69" s="2279">
        <f t="shared" si="17"/>
        <v>44013</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1815</v>
      </c>
      <c r="B71" s="2186"/>
      <c r="C71" s="2276" t="str">
        <f>YEAR(C69)&amp;"-"&amp;ROUNDUP(MONTH(C69)/3,0)</f>
        <v>2023-2</v>
      </c>
      <c r="D71" s="2281" t="str">
        <f>YEAR(D69)&amp;"-"&amp;ROUNDUP(MONTH(D69)/3,0)</f>
        <v>2023-1</v>
      </c>
      <c r="E71" s="2281" t="str">
        <f t="shared" ref="E71:N71" si="18">YEAR(E69)&amp;"-"&amp;ROUNDUP(MONTH(E69)/3,0)</f>
        <v>2022-4</v>
      </c>
      <c r="F71" s="2281" t="str">
        <f t="shared" si="18"/>
        <v>2022-3</v>
      </c>
      <c r="G71" s="2281" t="str">
        <f t="shared" si="18"/>
        <v>2022-2</v>
      </c>
      <c r="H71" s="2281" t="str">
        <f t="shared" si="18"/>
        <v>2022-1</v>
      </c>
      <c r="I71" s="2281" t="str">
        <f t="shared" si="18"/>
        <v>2021-4</v>
      </c>
      <c r="J71" s="2281" t="str">
        <f t="shared" si="18"/>
        <v>2021-3</v>
      </c>
      <c r="K71" s="2281" t="str">
        <f t="shared" si="18"/>
        <v>2021-2</v>
      </c>
      <c r="L71" s="2281" t="str">
        <f t="shared" si="18"/>
        <v>2021-1</v>
      </c>
      <c r="M71" s="2281" t="str">
        <f t="shared" si="18"/>
        <v>2020-4</v>
      </c>
      <c r="N71" s="2281" t="str">
        <f t="shared" si="18"/>
        <v>2020-3</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v>99.5</v>
      </c>
      <c r="E72" s="698">
        <v>99</v>
      </c>
      <c r="F72" s="698">
        <v>98.5</v>
      </c>
      <c r="G72" s="698">
        <v>98</v>
      </c>
      <c r="H72" s="698">
        <v>97.5</v>
      </c>
      <c r="I72" s="698">
        <v>97</v>
      </c>
      <c r="J72" s="698">
        <v>96.5</v>
      </c>
      <c r="K72" s="698">
        <v>96</v>
      </c>
      <c r="L72" s="698">
        <v>95.5</v>
      </c>
      <c r="M72" s="698">
        <v>95</v>
      </c>
      <c r="N72" s="698">
        <v>94.5</v>
      </c>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0（含）-2</v>
      </c>
      <c r="D80" s="650" t="str">
        <f t="shared" ref="D80:L80" si="19">D81&amp;"（含）"&amp;"-"&amp;E81</f>
        <v>2（含）-4</v>
      </c>
      <c r="E80" s="650" t="str">
        <f t="shared" si="19"/>
        <v>4（含）-6</v>
      </c>
      <c r="F80" s="650" t="str">
        <f t="shared" si="19"/>
        <v>6（含）-8</v>
      </c>
      <c r="G80" s="650" t="str">
        <f t="shared" si="19"/>
        <v>8（含）-10</v>
      </c>
      <c r="H80" s="650" t="str">
        <f t="shared" si="19"/>
        <v>10（含）-12</v>
      </c>
      <c r="I80" s="650" t="str">
        <f t="shared" si="19"/>
        <v>12（含）-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v>0</v>
      </c>
      <c r="D81" s="511">
        <v>2</v>
      </c>
      <c r="E81" s="511">
        <v>4</v>
      </c>
      <c r="F81" s="511">
        <v>6</v>
      </c>
      <c r="G81" s="511">
        <v>8</v>
      </c>
      <c r="H81" s="511">
        <v>10</v>
      </c>
      <c r="I81" s="511">
        <v>12</v>
      </c>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98</v>
      </c>
      <c r="E82" s="647">
        <f t="shared" si="20"/>
        <v>96</v>
      </c>
      <c r="F82" s="647">
        <f t="shared" si="20"/>
        <v>94</v>
      </c>
      <c r="G82" s="647">
        <f t="shared" si="20"/>
        <v>92</v>
      </c>
      <c r="H82" s="647">
        <f t="shared" si="20"/>
        <v>90</v>
      </c>
      <c r="I82" s="647">
        <f t="shared" si="20"/>
        <v>88</v>
      </c>
      <c r="J82" s="647">
        <f t="shared" si="20"/>
        <v>86</v>
      </c>
      <c r="K82" s="647">
        <f t="shared" si="20"/>
        <v>84</v>
      </c>
      <c r="L82" s="647">
        <f t="shared" si="20"/>
        <v>82</v>
      </c>
      <c r="M82" s="647">
        <f t="shared" si="20"/>
        <v>80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95</v>
      </c>
      <c r="E92" s="647">
        <f>D92-$K19</f>
        <v>90</v>
      </c>
      <c r="F92" s="647">
        <f>E92-$K19</f>
        <v>85</v>
      </c>
      <c r="G92" s="647">
        <f>F92-$K19</f>
        <v>80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95</v>
      </c>
      <c r="E94" s="647">
        <f>D94-$K21</f>
        <v>90</v>
      </c>
      <c r="F94" s="647">
        <f>E94-$K21</f>
        <v>85</v>
      </c>
      <c r="G94" s="647">
        <f>F94-$K21</f>
        <v>80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97</v>
      </c>
      <c r="E96" s="647">
        <f>D96-$K23</f>
        <v>94</v>
      </c>
      <c r="F96" s="647">
        <f>E96-$K23</f>
        <v>91</v>
      </c>
      <c r="G96" s="647">
        <f>F96-$K23</f>
        <v>88</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98</v>
      </c>
      <c r="E102" s="647">
        <f>D102-$K29</f>
        <v>96</v>
      </c>
      <c r="F102" s="647">
        <f>E102-$K29</f>
        <v>94</v>
      </c>
      <c r="G102" s="647">
        <f>F102-$K29</f>
        <v>92</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27.6">
      <c r="A117" s="632" t="s">
        <v>500</v>
      </c>
      <c r="B117" s="633" t="s">
        <v>541</v>
      </c>
      <c r="C117" s="672" t="str">
        <f t="shared" ref="C117:L117" si="24">C118&amp;"(含)"&amp;"-"&amp;D118</f>
        <v>0(含)-10000</v>
      </c>
      <c r="D117" s="672" t="str">
        <f t="shared" si="24"/>
        <v>10000(含)-20000</v>
      </c>
      <c r="E117" s="672" t="str">
        <f t="shared" si="24"/>
        <v>20000(含)-30000</v>
      </c>
      <c r="F117" s="672" t="str">
        <f t="shared" si="24"/>
        <v>30000(含)-40000</v>
      </c>
      <c r="G117" s="672" t="str">
        <f t="shared" si="24"/>
        <v>40000(含)-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v>0</v>
      </c>
      <c r="D118" s="698">
        <v>10000</v>
      </c>
      <c r="E118" s="698">
        <v>20000</v>
      </c>
      <c r="F118" s="698">
        <v>30000</v>
      </c>
      <c r="G118" s="698">
        <v>40000</v>
      </c>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v>100</v>
      </c>
      <c r="D119" s="694">
        <v>102</v>
      </c>
      <c r="E119" s="694">
        <v>104</v>
      </c>
      <c r="F119" s="694">
        <v>106</v>
      </c>
      <c r="G119" s="694">
        <v>108</v>
      </c>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workbookViewId="0">
      <selection activeCell="A16" sqref="A16"/>
    </sheetView>
  </sheetViews>
  <sheetFormatPr defaultColWidth="9" defaultRowHeight="14.4"/>
  <cols>
    <col min="1" max="1" width="42.33203125" customWidth="1"/>
  </cols>
  <sheetData>
    <row r="1" spans="1:17">
      <c r="A1" s="3669" t="s">
        <v>3259</v>
      </c>
      <c r="B1" s="3669" t="s">
        <v>3260</v>
      </c>
      <c r="C1" s="3669" t="s">
        <v>3261</v>
      </c>
      <c r="D1" s="3669" t="s">
        <v>3262</v>
      </c>
      <c r="E1" s="3669" t="s">
        <v>3263</v>
      </c>
      <c r="F1" s="3669" t="s">
        <v>1550</v>
      </c>
      <c r="G1" s="3669" t="s">
        <v>3264</v>
      </c>
      <c r="H1" s="3669" t="s">
        <v>3265</v>
      </c>
      <c r="I1" s="3669" t="s">
        <v>3266</v>
      </c>
      <c r="J1" s="3669" t="s">
        <v>3267</v>
      </c>
      <c r="K1" s="3669" t="s">
        <v>3268</v>
      </c>
      <c r="L1" s="3669" t="s">
        <v>3269</v>
      </c>
      <c r="M1" s="3669" t="s">
        <v>3270</v>
      </c>
      <c r="N1" s="3669" t="s">
        <v>3271</v>
      </c>
      <c r="O1" s="3669" t="s">
        <v>3272</v>
      </c>
      <c r="P1" s="3669" t="s">
        <v>3273</v>
      </c>
      <c r="Q1" s="3669" t="s">
        <v>3274</v>
      </c>
    </row>
    <row r="2" spans="1:17">
      <c r="A2" s="3669" t="s">
        <v>3275</v>
      </c>
      <c r="B2" s="3669" t="s">
        <v>1465</v>
      </c>
      <c r="C2" s="3669" t="s">
        <v>3276</v>
      </c>
      <c r="D2" s="3669">
        <v>5500</v>
      </c>
      <c r="E2" s="3669">
        <v>12100</v>
      </c>
      <c r="F2" s="3669" t="s">
        <v>3277</v>
      </c>
      <c r="G2" s="3669" t="s">
        <v>3278</v>
      </c>
      <c r="H2" s="3669" t="s">
        <v>3279</v>
      </c>
      <c r="I2" s="3669">
        <v>0</v>
      </c>
      <c r="J2" s="3669" t="s">
        <v>3280</v>
      </c>
      <c r="K2" s="3669" t="s">
        <v>3280</v>
      </c>
      <c r="L2" s="3669">
        <v>20000</v>
      </c>
      <c r="M2" s="3669">
        <v>20000</v>
      </c>
      <c r="N2" s="3669">
        <v>16528.93</v>
      </c>
      <c r="O2" s="3669">
        <v>0</v>
      </c>
      <c r="P2" s="3669" t="s">
        <v>3281</v>
      </c>
      <c r="Q2" s="3669" t="s">
        <v>3282</v>
      </c>
    </row>
    <row r="3" spans="1:17" s="3671" customFormat="1">
      <c r="A3" s="3670" t="s">
        <v>3283</v>
      </c>
      <c r="B3" s="3670" t="s">
        <v>1465</v>
      </c>
      <c r="C3" s="3670" t="s">
        <v>3276</v>
      </c>
      <c r="D3" s="3670">
        <v>10000</v>
      </c>
      <c r="E3" s="3670">
        <v>22000</v>
      </c>
      <c r="F3" s="3670" t="s">
        <v>3277</v>
      </c>
      <c r="G3" s="3670" t="s">
        <v>3278</v>
      </c>
      <c r="H3" s="3670" t="s">
        <v>3279</v>
      </c>
      <c r="I3" s="3670">
        <v>0</v>
      </c>
      <c r="J3" s="3670" t="s">
        <v>3284</v>
      </c>
      <c r="K3" s="3670" t="s">
        <v>3284</v>
      </c>
      <c r="L3" s="3670">
        <v>36400</v>
      </c>
      <c r="M3" s="3670">
        <v>36400</v>
      </c>
      <c r="N3" s="3670">
        <v>16545.45</v>
      </c>
      <c r="O3" s="3670">
        <v>0</v>
      </c>
      <c r="P3" s="3670" t="s">
        <v>3285</v>
      </c>
      <c r="Q3" s="3670" t="s">
        <v>3282</v>
      </c>
    </row>
    <row r="4" spans="1:17">
      <c r="A4" s="3669" t="s">
        <v>3286</v>
      </c>
      <c r="B4" s="3669" t="s">
        <v>1465</v>
      </c>
      <c r="C4" s="3669" t="s">
        <v>3276</v>
      </c>
      <c r="D4" s="3669">
        <v>16122.82</v>
      </c>
      <c r="E4" s="3669">
        <v>45143.91</v>
      </c>
      <c r="F4" s="3669" t="s">
        <v>3287</v>
      </c>
      <c r="G4" s="3669" t="s">
        <v>3278</v>
      </c>
      <c r="H4" s="3669" t="s">
        <v>3279</v>
      </c>
      <c r="I4" s="3669">
        <v>0</v>
      </c>
      <c r="J4" s="3669" t="s">
        <v>3288</v>
      </c>
      <c r="K4" s="3669" t="s">
        <v>3288</v>
      </c>
      <c r="L4" s="3669">
        <v>76000</v>
      </c>
      <c r="M4" s="3669">
        <v>76000</v>
      </c>
      <c r="N4" s="3669">
        <v>16835.05</v>
      </c>
      <c r="O4" s="3669">
        <v>0</v>
      </c>
      <c r="P4" s="3669" t="s">
        <v>3289</v>
      </c>
      <c r="Q4" s="3669" t="s">
        <v>3290</v>
      </c>
    </row>
    <row r="5" spans="1:17" s="3671" customFormat="1">
      <c r="A5" s="3670" t="s">
        <v>3291</v>
      </c>
      <c r="B5" s="3670" t="s">
        <v>1465</v>
      </c>
      <c r="C5" s="3670" t="s">
        <v>3276</v>
      </c>
      <c r="D5" s="3670">
        <v>29991.73</v>
      </c>
      <c r="E5" s="3670">
        <v>119966.93</v>
      </c>
      <c r="F5" s="3670">
        <v>4</v>
      </c>
      <c r="G5" s="3670" t="s">
        <v>3278</v>
      </c>
      <c r="H5" s="3670" t="s">
        <v>3279</v>
      </c>
      <c r="I5" s="3670">
        <v>0</v>
      </c>
      <c r="J5" s="3670" t="s">
        <v>3292</v>
      </c>
      <c r="K5" s="3670" t="s">
        <v>3292</v>
      </c>
      <c r="L5" s="3670">
        <v>165300</v>
      </c>
      <c r="M5" s="3670">
        <v>165300</v>
      </c>
      <c r="N5" s="3670">
        <v>13778.8</v>
      </c>
      <c r="O5" s="3670">
        <v>0</v>
      </c>
      <c r="P5" s="3670" t="s">
        <v>3293</v>
      </c>
      <c r="Q5" s="3670" t="s">
        <v>3290</v>
      </c>
    </row>
    <row r="6" spans="1:17">
      <c r="A6" s="3669" t="s">
        <v>3294</v>
      </c>
      <c r="B6" s="3669" t="s">
        <v>1465</v>
      </c>
      <c r="C6" s="3669" t="s">
        <v>3276</v>
      </c>
      <c r="D6" s="3669">
        <v>204418.11</v>
      </c>
      <c r="E6" s="3669">
        <v>302000</v>
      </c>
      <c r="F6" s="3669">
        <v>1.5</v>
      </c>
      <c r="G6" s="3669" t="s">
        <v>3278</v>
      </c>
      <c r="H6" s="3669" t="s">
        <v>3279</v>
      </c>
      <c r="I6" s="3669">
        <v>0</v>
      </c>
      <c r="J6" s="3669" t="s">
        <v>3295</v>
      </c>
      <c r="K6" s="3669" t="s">
        <v>3295</v>
      </c>
      <c r="L6" s="3669">
        <v>506700</v>
      </c>
      <c r="M6" s="3669">
        <v>506700</v>
      </c>
      <c r="N6" s="3669">
        <v>16778.150000000001</v>
      </c>
      <c r="O6" s="3669">
        <v>0</v>
      </c>
      <c r="P6" s="3669" t="s">
        <v>3296</v>
      </c>
      <c r="Q6" s="3669" t="s">
        <v>3297</v>
      </c>
    </row>
    <row r="7" spans="1:17" s="3671" customFormat="1">
      <c r="A7" s="3670" t="s">
        <v>3298</v>
      </c>
      <c r="B7" s="3670" t="s">
        <v>1465</v>
      </c>
      <c r="C7" s="3670" t="s">
        <v>3276</v>
      </c>
      <c r="D7" s="3670">
        <v>17147.95</v>
      </c>
      <c r="E7" s="3670">
        <v>53158.65</v>
      </c>
      <c r="F7" s="3670" t="s">
        <v>3299</v>
      </c>
      <c r="G7" s="3670" t="s">
        <v>3278</v>
      </c>
      <c r="H7" s="3670" t="s">
        <v>3300</v>
      </c>
      <c r="I7" s="3670">
        <v>0</v>
      </c>
      <c r="J7" s="3670" t="s">
        <v>3301</v>
      </c>
      <c r="K7" s="3670" t="s">
        <v>3301</v>
      </c>
      <c r="L7" s="3670">
        <v>69200</v>
      </c>
      <c r="M7" s="3670">
        <v>69200</v>
      </c>
      <c r="N7" s="3670">
        <v>13017.64</v>
      </c>
      <c r="O7" s="3670">
        <v>0</v>
      </c>
      <c r="P7" s="3670" t="s">
        <v>3302</v>
      </c>
      <c r="Q7" s="3670" t="s">
        <v>3297</v>
      </c>
    </row>
    <row r="8" spans="1:17">
      <c r="A8" s="3669" t="s">
        <v>3303</v>
      </c>
      <c r="B8" s="3669" t="s">
        <v>1465</v>
      </c>
      <c r="C8" s="3669" t="s">
        <v>3276</v>
      </c>
      <c r="D8" s="3669">
        <v>22058.78</v>
      </c>
      <c r="E8" s="3669">
        <v>47390</v>
      </c>
      <c r="F8" s="3669" t="s">
        <v>3304</v>
      </c>
      <c r="G8" s="3669" t="s">
        <v>3278</v>
      </c>
      <c r="H8" s="3669" t="s">
        <v>3279</v>
      </c>
      <c r="I8" s="3669">
        <v>0</v>
      </c>
      <c r="J8" s="3669" t="s">
        <v>3305</v>
      </c>
      <c r="K8" s="3669" t="s">
        <v>3305</v>
      </c>
      <c r="L8" s="3669">
        <v>32700</v>
      </c>
      <c r="M8" s="3669">
        <v>32700</v>
      </c>
      <c r="N8" s="3669">
        <v>6900.19</v>
      </c>
      <c r="O8" s="3669">
        <v>0</v>
      </c>
      <c r="P8" s="3669" t="s">
        <v>3306</v>
      </c>
      <c r="Q8" s="3669" t="s">
        <v>3290</v>
      </c>
    </row>
  </sheetData>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1425</v>
      </c>
      <c r="B36" s="1459" t="s">
        <v>1426</v>
      </c>
    </row>
    <row r="37" spans="1:9" ht="28.5" customHeight="1">
      <c r="A37" s="1459"/>
      <c r="B37" s="3682" t="str">
        <f>项目基本情况!B1</f>
        <v>北京市出让国有建设用地使用权抵押价格预评估</v>
      </c>
      <c r="C37" s="3682"/>
      <c r="D37" s="3682"/>
      <c r="E37" s="3682"/>
      <c r="F37" s="3682"/>
      <c r="G37" s="3682"/>
      <c r="H37" s="3682"/>
      <c r="I37" s="3682"/>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c r="B46" s="1459" t="str">
        <f>项目基本情况!K4</f>
        <v>郑燚、崔锴</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G48" sqref="G48"/>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31" s="1765" customFormat="1" ht="18" customHeight="1">
      <c r="A2" s="1824" t="s">
        <v>427</v>
      </c>
      <c r="B2" s="1828">
        <f ca="1">C36</f>
        <v>114560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8979</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117004</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7800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242786</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4.4">
      <c r="A7" s="2312" t="s">
        <v>430</v>
      </c>
      <c r="B7" s="2313" t="s">
        <v>431</v>
      </c>
      <c r="C7" s="423" t="s">
        <v>1212</v>
      </c>
      <c r="D7" s="423" t="s">
        <v>2740</v>
      </c>
      <c r="E7" s="423" t="s">
        <v>2741</v>
      </c>
      <c r="F7" s="423"/>
      <c r="G7" s="423"/>
      <c r="H7" s="423"/>
      <c r="I7" s="423"/>
      <c r="J7" s="423"/>
      <c r="K7" s="424"/>
      <c r="AA7" s="1835"/>
      <c r="AB7" s="1835"/>
      <c r="AC7" s="1835"/>
      <c r="AD7" s="1835"/>
      <c r="AE7" s="1835"/>
    </row>
    <row r="8" spans="1:31" s="1838" customFormat="1" ht="13.5" customHeight="1">
      <c r="A8" s="769" t="s">
        <v>1374</v>
      </c>
      <c r="B8" s="252" t="s">
        <v>432</v>
      </c>
      <c r="C8" s="2314">
        <f ca="1">不动产收益法!B3</f>
        <v>22400</v>
      </c>
      <c r="D8" s="2314">
        <f ca="1">'不动产收益法-商业'!B3</f>
        <v>21117</v>
      </c>
      <c r="E8" s="2314">
        <f ca="1">'不动产收益法-车库'!B3</f>
        <v>1396</v>
      </c>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91080.39</v>
      </c>
      <c r="D9" s="428">
        <f>SUMIF('数据-汇总表'!$C19:$C33,'剩余法-待开发'!D7,'数据-汇总表'!$E19:$E33)</f>
        <v>17717.169999999998</v>
      </c>
      <c r="E9" s="428">
        <f>SUMIF('数据-汇总表'!$C19:$C33,'剩余法-待开发'!E7,'数据-汇总表'!$E19:$E33)</f>
        <v>9656.67</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 ca="1">不动产收益法!B2</f>
        <v>204024</v>
      </c>
      <c r="D10" s="2502">
        <f ca="1">'不动产收益法-商业'!B2</f>
        <v>37414</v>
      </c>
      <c r="E10" s="2502">
        <f ca="1">'不动产收益法-车库'!B2</f>
        <v>1348</v>
      </c>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53254</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1598</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0.05</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2552</v>
      </c>
      <c r="D16" s="2324">
        <f ca="1">IF(B1="",'数据-汇总表'!E3,INDIRECT("'数据-取费表'!K"&amp;$K$1)+INDIRECT("'数据-取费表'!S"&amp;$K$1))</f>
        <v>127591.06</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799</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58203</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127591.06</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2552</v>
      </c>
      <c r="D20" s="2334"/>
      <c r="E20" s="2288"/>
      <c r="F20" s="2335"/>
      <c r="G20" s="2533" t="s">
        <v>3344</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2552</v>
      </c>
      <c r="D22" s="2324">
        <f ca="1">IF(B1="",'数据-汇总表'!E6,IF(INDIRECT("'数据-取费表'!c"&amp;$K$1)="住宅",INDIRECT("'数据-取费表'!s"&amp;$K$1),INDIRECT("'数据-取费表'!k"&amp;$K$1)+INDIRECT("'数据-取费表'!s"&amp;$K$1)))</f>
        <v>127591.06</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1215</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4856</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4203</v>
      </c>
      <c r="D26" s="453">
        <f ca="1">C27</f>
        <v>0.13350000000000001</v>
      </c>
      <c r="E26" s="455" t="s">
        <v>455</v>
      </c>
      <c r="F26" s="457">
        <f ca="1">'数据-取费表'!B40</f>
        <v>4.1499999999999995E-2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0.13350000000000001</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4203</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 ca="1">ROUND(C6*F29/(1+'数据-取费表'!C42),0)</f>
        <v>12717</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83746</v>
      </c>
      <c r="D30" s="463">
        <f ca="1">C32</f>
        <v>0.16250000000000001</v>
      </c>
      <c r="E30" s="455" t="s">
        <v>455</v>
      </c>
      <c r="F30" s="457"/>
      <c r="G30" s="2300" t="s">
        <v>2229</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83746</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0.16250000000000001</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9356</v>
      </c>
      <c r="D33" s="453">
        <f ca="1">C34</f>
        <v>0.14410000000000001</v>
      </c>
      <c r="E33" s="455" t="s">
        <v>455</v>
      </c>
      <c r="F33" s="465">
        <f ca="1">IF(B1="",'数据-取费表'!Q16,INDIRECT("'数据-取费表'!q"&amp;$K$1))</f>
        <v>0.14000000000000001</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0.14410000000000001</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9356</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114560</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4.4">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53254</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1598</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0.05</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2552</v>
      </c>
      <c r="D16" s="437">
        <f ca="1">IF(B1="",'数据-汇总表'!E3,INDIRECT("'数据-取费表'!K"&amp;$K$1)+INDIRECT("'数据-取费表'!S"&amp;$K$1))</f>
        <v>127591.06</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799</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58203</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1164</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3734</v>
      </c>
      <c r="D20" s="448">
        <f ca="1">ROUND(((1+F20)^'数据-取费表'!B20)-1,4)</f>
        <v>0.12970000000000001</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2297</v>
      </c>
      <c r="B21" s="2503" t="s">
        <v>2107</v>
      </c>
      <c r="C21" s="464">
        <f ca="1">ROUND((C18+C19)*F21,0)</f>
        <v>8311</v>
      </c>
      <c r="D21" s="3029"/>
      <c r="E21" s="448"/>
      <c r="F21" s="465">
        <f ca="1">IF(B1="",'数据-取费表'!Q16,INDIRECT("'数据-取费表'!q"&amp;$K$1))</f>
        <v>0.14000000000000001</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2298</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93" t="s">
        <v>1394</v>
      </c>
      <c r="B24" s="3894"/>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93" t="s">
        <v>2295</v>
      </c>
      <c r="B25" s="3894"/>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93" t="s">
        <v>2296</v>
      </c>
      <c r="B26" s="3894"/>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95" t="s">
        <v>2294</v>
      </c>
      <c r="B27" s="3896"/>
      <c r="C27" s="3047">
        <f ca="1">(C6-C23-C24-C25)/((1+F26)*(1+D20+F21))</f>
        <v>0</v>
      </c>
      <c r="D27" s="3048"/>
      <c r="E27" s="3048"/>
      <c r="F27" s="3048"/>
      <c r="G27" s="3049" t="s">
        <v>2230</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4.4">
      <c r="A6" s="482" t="s">
        <v>470</v>
      </c>
      <c r="B6" s="483"/>
      <c r="C6" s="3876" t="s">
        <v>471</v>
      </c>
      <c r="D6" s="3877"/>
      <c r="E6" s="3902" t="s">
        <v>472</v>
      </c>
      <c r="F6" s="3903"/>
      <c r="G6" s="3876" t="s">
        <v>473</v>
      </c>
      <c r="H6" s="3877"/>
      <c r="I6" s="3876" t="s">
        <v>474</v>
      </c>
      <c r="J6" s="3877"/>
      <c r="K6" s="484" t="s">
        <v>475</v>
      </c>
      <c r="L6" s="1856"/>
      <c r="M6" s="1857"/>
      <c r="N6" s="1857"/>
      <c r="O6" s="1857"/>
      <c r="P6" s="3878" t="s">
        <v>476</v>
      </c>
      <c r="Q6" s="3879"/>
      <c r="R6" s="3862" t="s">
        <v>472</v>
      </c>
      <c r="S6" s="3863"/>
      <c r="T6" s="3862" t="s">
        <v>473</v>
      </c>
      <c r="U6" s="3863"/>
      <c r="V6" s="3884" t="s">
        <v>474</v>
      </c>
      <c r="W6" s="3884"/>
      <c r="X6" s="1380"/>
      <c r="Y6" s="3862" t="s">
        <v>476</v>
      </c>
      <c r="Z6" s="3863"/>
      <c r="AA6" s="3857" t="s">
        <v>472</v>
      </c>
      <c r="AB6" s="3858" t="s">
        <v>473</v>
      </c>
      <c r="AC6" s="3857" t="s">
        <v>474</v>
      </c>
    </row>
    <row r="7" spans="1:29">
      <c r="A7" s="485"/>
      <c r="B7" s="486"/>
      <c r="C7" s="3887" t="s">
        <v>2191</v>
      </c>
      <c r="D7" s="3888"/>
      <c r="E7" s="3904" t="s">
        <v>2192</v>
      </c>
      <c r="F7" s="3905"/>
      <c r="G7" s="3887" t="s">
        <v>2193</v>
      </c>
      <c r="H7" s="3888"/>
      <c r="I7" s="3887" t="s">
        <v>2194</v>
      </c>
      <c r="J7" s="3888"/>
      <c r="K7" s="484"/>
      <c r="L7" s="1856"/>
      <c r="M7" s="1857"/>
      <c r="N7" s="1857"/>
      <c r="O7" s="1857"/>
      <c r="P7" s="3880"/>
      <c r="Q7" s="3881"/>
      <c r="R7" s="3864"/>
      <c r="S7" s="3865"/>
      <c r="T7" s="3864"/>
      <c r="U7" s="3865"/>
      <c r="V7" s="3884"/>
      <c r="W7" s="3884"/>
      <c r="X7" s="1380"/>
      <c r="Y7" s="3864"/>
      <c r="Z7" s="3865"/>
      <c r="AA7" s="3858"/>
      <c r="AB7" s="3858"/>
      <c r="AC7" s="3858"/>
    </row>
    <row r="8" spans="1:29" ht="15" thickBot="1">
      <c r="A8" s="487"/>
      <c r="B8" s="488"/>
      <c r="C8" s="3885" t="s">
        <v>2195</v>
      </c>
      <c r="D8" s="3886"/>
      <c r="E8" s="3906" t="s">
        <v>2195</v>
      </c>
      <c r="F8" s="3907"/>
      <c r="G8" s="3885" t="s">
        <v>2195</v>
      </c>
      <c r="H8" s="3886"/>
      <c r="I8" s="3885" t="s">
        <v>2195</v>
      </c>
      <c r="J8" s="3886"/>
      <c r="K8" s="484" t="s">
        <v>477</v>
      </c>
      <c r="L8" s="1856"/>
      <c r="M8" s="1857"/>
      <c r="N8" s="1857"/>
      <c r="O8" s="1857"/>
      <c r="P8" s="3882"/>
      <c r="Q8" s="3883"/>
      <c r="R8" s="3864"/>
      <c r="S8" s="3865"/>
      <c r="T8" s="3866"/>
      <c r="U8" s="3867"/>
      <c r="V8" s="3884"/>
      <c r="W8" s="3884"/>
      <c r="X8" s="1380"/>
      <c r="Y8" s="3866"/>
      <c r="Z8" s="3867"/>
      <c r="AA8" s="3859"/>
      <c r="AB8" s="3859"/>
      <c r="AC8" s="3859"/>
    </row>
    <row r="9" spans="1:29" s="1118" customFormat="1" ht="15" thickBot="1">
      <c r="A9" s="2392"/>
      <c r="B9" s="2399" t="s">
        <v>478</v>
      </c>
      <c r="C9" s="489">
        <f>'数据-取费表'!B2</f>
        <v>45028</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60" t="s">
        <v>479</v>
      </c>
      <c r="Q9" s="3869"/>
      <c r="R9" s="1381" t="s">
        <v>5</v>
      </c>
      <c r="S9" s="1382">
        <f t="shared" ref="S9:S17" si="0">F9</f>
        <v>0</v>
      </c>
      <c r="T9" s="1381" t="s">
        <v>5</v>
      </c>
      <c r="U9" s="1382">
        <f t="shared" ref="U9:U17" si="1">H9</f>
        <v>0</v>
      </c>
      <c r="V9" s="1381" t="s">
        <v>5</v>
      </c>
      <c r="W9" s="1382">
        <f t="shared" ref="W9:W17" si="2">J9</f>
        <v>0</v>
      </c>
      <c r="X9" s="1383"/>
      <c r="Y9" s="3860" t="s">
        <v>479</v>
      </c>
      <c r="Z9" s="3861"/>
      <c r="AA9" s="1384" t="e">
        <f>D9/F9</f>
        <v>#DIV/0!</v>
      </c>
      <c r="AB9" s="1384" t="e">
        <f>D9/H9</f>
        <v>#DIV/0!</v>
      </c>
      <c r="AC9" s="1384" t="e">
        <f>D9/J9</f>
        <v>#DIV/0!</v>
      </c>
    </row>
    <row r="10" spans="1:29" s="1118" customFormat="1" ht="1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60" t="s">
        <v>482</v>
      </c>
      <c r="Q10" s="3861"/>
      <c r="R10" s="1381" t="s">
        <v>5</v>
      </c>
      <c r="S10" s="1382">
        <f t="shared" si="0"/>
        <v>0</v>
      </c>
      <c r="T10" s="1381" t="s">
        <v>5</v>
      </c>
      <c r="U10" s="1382">
        <f t="shared" si="1"/>
        <v>0</v>
      </c>
      <c r="V10" s="1381" t="s">
        <v>5</v>
      </c>
      <c r="W10" s="1382">
        <f t="shared" si="2"/>
        <v>0</v>
      </c>
      <c r="X10" s="1383"/>
      <c r="Y10" s="3860" t="s">
        <v>482</v>
      </c>
      <c r="Z10" s="3861"/>
      <c r="AA10" s="1384" t="e">
        <f t="shared" ref="AA10:AA42" si="3">D10/F10</f>
        <v>#DIV/0!</v>
      </c>
      <c r="AB10" s="1384" t="e">
        <f t="shared" ref="AB10:AB42" si="4">D10/H10</f>
        <v>#DIV/0!</v>
      </c>
      <c r="AC10" s="1384" t="e">
        <f t="shared" ref="AC10:AC42" si="5">D10/J10</f>
        <v>#DIV/0!</v>
      </c>
    </row>
    <row r="11" spans="1:29" s="1118" customFormat="1" ht="14.4">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68" t="s">
        <v>484</v>
      </c>
      <c r="Q11" s="1050" t="str">
        <f t="shared" ref="Q11:Q17" si="6">B11</f>
        <v>用途</v>
      </c>
      <c r="R11" s="1381" t="s">
        <v>5</v>
      </c>
      <c r="S11" s="1382">
        <f t="shared" si="0"/>
        <v>100</v>
      </c>
      <c r="T11" s="1381" t="s">
        <v>5</v>
      </c>
      <c r="U11" s="1382">
        <f t="shared" si="1"/>
        <v>100</v>
      </c>
      <c r="V11" s="1381" t="s">
        <v>5</v>
      </c>
      <c r="W11" s="1382">
        <f t="shared" si="2"/>
        <v>100</v>
      </c>
      <c r="X11" s="1383"/>
      <c r="Y11" s="3820" t="s">
        <v>485</v>
      </c>
      <c r="Z11" s="1049" t="str">
        <f t="shared" ref="Z11:Z17" si="7">Q11</f>
        <v>用途</v>
      </c>
      <c r="AA11" s="1384">
        <f t="shared" si="3"/>
        <v>1</v>
      </c>
      <c r="AB11" s="1384">
        <f t="shared" si="4"/>
        <v>1</v>
      </c>
      <c r="AC11" s="1384">
        <f t="shared" si="5"/>
        <v>1</v>
      </c>
    </row>
    <row r="12" spans="1:29" s="1199" customFormat="1" ht="28.8">
      <c r="A12" s="2395"/>
      <c r="B12" s="2400" t="s">
        <v>2039</v>
      </c>
      <c r="C12" s="498"/>
      <c r="D12" s="246">
        <v>100</v>
      </c>
      <c r="E12" s="498"/>
      <c r="F12" s="246">
        <f>ROUND(100/'数据-取费表'!G16,0)</f>
        <v>107</v>
      </c>
      <c r="G12" s="498"/>
      <c r="H12" s="246">
        <f>ROUND(100/'数据-取费表'!G16,0)</f>
        <v>107</v>
      </c>
      <c r="I12" s="498"/>
      <c r="J12" s="246">
        <f>ROUND(100/'数据-取费表'!G16,0)</f>
        <v>107</v>
      </c>
      <c r="K12" s="501"/>
      <c r="L12" s="1861"/>
      <c r="M12" s="1900"/>
      <c r="N12" s="1900"/>
      <c r="O12" s="1862"/>
      <c r="P12" s="3868"/>
      <c r="Q12" s="1050" t="str">
        <f t="shared" si="6"/>
        <v>土地使用年限（年）</v>
      </c>
      <c r="R12" s="1381" t="s">
        <v>5</v>
      </c>
      <c r="S12" s="1382">
        <f t="shared" si="0"/>
        <v>107</v>
      </c>
      <c r="T12" s="1381" t="s">
        <v>5</v>
      </c>
      <c r="U12" s="1382">
        <f t="shared" si="1"/>
        <v>107</v>
      </c>
      <c r="V12" s="1381" t="s">
        <v>5</v>
      </c>
      <c r="W12" s="1382">
        <f t="shared" si="2"/>
        <v>107</v>
      </c>
      <c r="X12" s="1383"/>
      <c r="Y12" s="3820"/>
      <c r="Z12" s="1049" t="str">
        <f t="shared" si="7"/>
        <v>土地使用年限（年）</v>
      </c>
      <c r="AA12" s="1384">
        <f t="shared" si="3"/>
        <v>0.93457943925233644</v>
      </c>
      <c r="AB12" s="1384">
        <f t="shared" si="4"/>
        <v>0.93457943925233644</v>
      </c>
      <c r="AC12" s="1384">
        <f t="shared" si="5"/>
        <v>0.93457943925233644</v>
      </c>
    </row>
    <row r="13" spans="1:29" ht="15">
      <c r="A13" s="2396"/>
      <c r="B13" s="2400"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68"/>
      <c r="Q13" s="1050" t="str">
        <f t="shared" si="6"/>
        <v>容积率</v>
      </c>
      <c r="R13" s="1381" t="s">
        <v>5</v>
      </c>
      <c r="S13" s="1382" t="e">
        <f t="shared" si="0"/>
        <v>#N/A</v>
      </c>
      <c r="T13" s="1381" t="s">
        <v>5</v>
      </c>
      <c r="U13" s="1382" t="e">
        <f t="shared" si="1"/>
        <v>#N/A</v>
      </c>
      <c r="V13" s="1381" t="s">
        <v>5</v>
      </c>
      <c r="W13" s="1382" t="e">
        <f t="shared" si="2"/>
        <v>#N/A</v>
      </c>
      <c r="X13" s="1383"/>
      <c r="Y13" s="3820"/>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68"/>
      <c r="Q14" s="1050">
        <f t="shared" si="6"/>
        <v>111</v>
      </c>
      <c r="R14" s="1381" t="s">
        <v>5</v>
      </c>
      <c r="S14" s="1382">
        <f t="shared" si="0"/>
        <v>100</v>
      </c>
      <c r="T14" s="1381" t="s">
        <v>5</v>
      </c>
      <c r="U14" s="1382">
        <f t="shared" si="1"/>
        <v>100</v>
      </c>
      <c r="V14" s="1381" t="s">
        <v>5</v>
      </c>
      <c r="W14" s="1382">
        <f t="shared" si="2"/>
        <v>100</v>
      </c>
      <c r="X14" s="1383"/>
      <c r="Y14" s="3820"/>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68"/>
      <c r="Q15" s="1050">
        <f t="shared" si="6"/>
        <v>111</v>
      </c>
      <c r="R15" s="1381" t="s">
        <v>5</v>
      </c>
      <c r="S15" s="1382">
        <f t="shared" si="0"/>
        <v>100</v>
      </c>
      <c r="T15" s="1381" t="s">
        <v>5</v>
      </c>
      <c r="U15" s="1382">
        <f t="shared" si="1"/>
        <v>100</v>
      </c>
      <c r="V15" s="1381" t="s">
        <v>5</v>
      </c>
      <c r="W15" s="1382">
        <f t="shared" si="2"/>
        <v>100</v>
      </c>
      <c r="X15" s="1383"/>
      <c r="Y15" s="3820"/>
      <c r="Z15" s="1049">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68"/>
      <c r="Q16" s="1050">
        <f t="shared" si="6"/>
        <v>111</v>
      </c>
      <c r="R16" s="1381" t="s">
        <v>5</v>
      </c>
      <c r="S16" s="1382">
        <f t="shared" si="0"/>
        <v>100</v>
      </c>
      <c r="T16" s="1381" t="s">
        <v>5</v>
      </c>
      <c r="U16" s="1382">
        <f t="shared" si="1"/>
        <v>100</v>
      </c>
      <c r="V16" s="1381" t="s">
        <v>5</v>
      </c>
      <c r="W16" s="1382">
        <f t="shared" si="2"/>
        <v>100</v>
      </c>
      <c r="X16" s="1383"/>
      <c r="Y16" s="3820"/>
      <c r="Z16" s="1049">
        <f t="shared" si="7"/>
        <v>111</v>
      </c>
      <c r="AA16" s="1384">
        <f t="shared" si="3"/>
        <v>1</v>
      </c>
      <c r="AB16" s="1384">
        <f t="shared" si="4"/>
        <v>1</v>
      </c>
      <c r="AC16" s="1384">
        <f t="shared" si="5"/>
        <v>1</v>
      </c>
    </row>
    <row r="17" spans="1:29" ht="69">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70" t="s">
        <v>489</v>
      </c>
      <c r="Q17" s="1385" t="str">
        <f t="shared" si="6"/>
        <v>产业集聚程度</v>
      </c>
      <c r="R17" s="1386" t="s">
        <v>5</v>
      </c>
      <c r="S17" s="1387">
        <f t="shared" si="0"/>
        <v>100</v>
      </c>
      <c r="T17" s="1386" t="s">
        <v>5</v>
      </c>
      <c r="U17" s="1387">
        <f t="shared" si="1"/>
        <v>100</v>
      </c>
      <c r="V17" s="1386" t="s">
        <v>5</v>
      </c>
      <c r="W17" s="1387">
        <f t="shared" si="2"/>
        <v>100</v>
      </c>
      <c r="X17" s="1380"/>
      <c r="Y17" s="3870"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71"/>
      <c r="Q18" s="1385"/>
      <c r="R18" s="1386"/>
      <c r="S18" s="1387"/>
      <c r="T18" s="1386"/>
      <c r="U18" s="1387"/>
      <c r="V18" s="1386"/>
      <c r="W18" s="1387"/>
      <c r="X18" s="1380"/>
      <c r="Y18" s="3871"/>
      <c r="Z18" s="1388"/>
      <c r="AA18" s="1389">
        <v>1</v>
      </c>
      <c r="AB18" s="1389">
        <v>1</v>
      </c>
      <c r="AC18" s="1389">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71"/>
      <c r="Q19" s="1385" t="str">
        <f>B19</f>
        <v>交通便捷度</v>
      </c>
      <c r="R19" s="1386" t="s">
        <v>5</v>
      </c>
      <c r="S19" s="1387">
        <f>F19</f>
        <v>100</v>
      </c>
      <c r="T19" s="1386" t="s">
        <v>5</v>
      </c>
      <c r="U19" s="1387">
        <f>H19</f>
        <v>100</v>
      </c>
      <c r="V19" s="1386" t="s">
        <v>5</v>
      </c>
      <c r="W19" s="1387">
        <f>J19</f>
        <v>100</v>
      </c>
      <c r="X19" s="1380"/>
      <c r="Y19" s="3871"/>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1"/>
      <c r="Q21" s="1385" t="str">
        <f t="shared" ref="Q21:Q35" si="8">B21</f>
        <v>区域土地利用方向</v>
      </c>
      <c r="R21" s="1386" t="s">
        <v>5</v>
      </c>
      <c r="S21" s="1387">
        <f>F21</f>
        <v>100</v>
      </c>
      <c r="T21" s="1386" t="s">
        <v>5</v>
      </c>
      <c r="U21" s="1387">
        <f>H21</f>
        <v>100</v>
      </c>
      <c r="V21" s="1386" t="s">
        <v>5</v>
      </c>
      <c r="W21" s="1387">
        <f>J21</f>
        <v>100</v>
      </c>
      <c r="X21" s="1380"/>
      <c r="Y21" s="3871"/>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71"/>
      <c r="Q22" s="1385"/>
      <c r="R22" s="1386"/>
      <c r="S22" s="1387"/>
      <c r="T22" s="1386"/>
      <c r="U22" s="1387"/>
      <c r="V22" s="1386"/>
      <c r="W22" s="1387"/>
      <c r="X22" s="1380"/>
      <c r="Y22" s="3871"/>
      <c r="Z22" s="1388"/>
      <c r="AA22" s="1389"/>
      <c r="AB22" s="1389"/>
      <c r="AC22" s="1389"/>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71"/>
      <c r="Q23" s="1385" t="str">
        <f t="shared" si="8"/>
        <v>环境状况</v>
      </c>
      <c r="R23" s="1386" t="s">
        <v>5</v>
      </c>
      <c r="S23" s="1387">
        <f>F23</f>
        <v>100</v>
      </c>
      <c r="T23" s="1386" t="s">
        <v>5</v>
      </c>
      <c r="U23" s="1387">
        <f>H23</f>
        <v>100</v>
      </c>
      <c r="V23" s="1386" t="s">
        <v>5</v>
      </c>
      <c r="W23" s="1387">
        <f>J23</f>
        <v>100</v>
      </c>
      <c r="X23" s="1380"/>
      <c r="Y23" s="3871"/>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71"/>
      <c r="Q24" s="1385"/>
      <c r="R24" s="1386"/>
      <c r="S24" s="1387"/>
      <c r="T24" s="1386"/>
      <c r="U24" s="1387"/>
      <c r="V24" s="1386"/>
      <c r="W24" s="1387"/>
      <c r="X24" s="1380"/>
      <c r="Y24" s="3871"/>
      <c r="Z24" s="1388"/>
      <c r="AA24" s="1389">
        <v>1</v>
      </c>
      <c r="AB24" s="1389">
        <v>1</v>
      </c>
      <c r="AC24" s="1389">
        <v>1</v>
      </c>
    </row>
    <row r="25" spans="1:29" s="1118" customFormat="1" ht="41.4">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71"/>
      <c r="Q25" s="1050" t="str">
        <f t="shared" si="8"/>
        <v>公共配套设施</v>
      </c>
      <c r="R25" s="1381" t="s">
        <v>5</v>
      </c>
      <c r="S25" s="1382">
        <f>F25</f>
        <v>100</v>
      </c>
      <c r="T25" s="1381" t="s">
        <v>5</v>
      </c>
      <c r="U25" s="1382">
        <f>H25</f>
        <v>100</v>
      </c>
      <c r="V25" s="1381" t="s">
        <v>5</v>
      </c>
      <c r="W25" s="1382">
        <f>J25</f>
        <v>100</v>
      </c>
      <c r="X25" s="1383"/>
      <c r="Y25" s="3871"/>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71"/>
      <c r="Q26" s="1050"/>
      <c r="R26" s="1381"/>
      <c r="S26" s="1382"/>
      <c r="T26" s="1381"/>
      <c r="U26" s="1382"/>
      <c r="V26" s="1381"/>
      <c r="W26" s="1382"/>
      <c r="X26" s="1383"/>
      <c r="Y26" s="3871"/>
      <c r="Z26" s="1049"/>
      <c r="AA26" s="1384">
        <v>1</v>
      </c>
      <c r="AB26" s="1384">
        <v>1</v>
      </c>
      <c r="AC26" s="1384">
        <v>1</v>
      </c>
    </row>
    <row r="27" spans="1:29" s="1118" customFormat="1" ht="41.4">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71"/>
      <c r="Q27" s="2192" t="str">
        <f>B27</f>
        <v>基础设施水平</v>
      </c>
      <c r="R27" s="1381" t="s">
        <v>5</v>
      </c>
      <c r="S27" s="1382">
        <f>F27</f>
        <v>100</v>
      </c>
      <c r="T27" s="1381" t="s">
        <v>5</v>
      </c>
      <c r="U27" s="1382">
        <f>H27</f>
        <v>100</v>
      </c>
      <c r="V27" s="1381" t="s">
        <v>5</v>
      </c>
      <c r="W27" s="1382">
        <f>J27</f>
        <v>100</v>
      </c>
      <c r="X27" s="1383"/>
      <c r="Y27" s="3871"/>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71"/>
      <c r="Q28" s="2192"/>
      <c r="R28" s="1381"/>
      <c r="S28" s="1382"/>
      <c r="T28" s="1381"/>
      <c r="U28" s="1382"/>
      <c r="V28" s="1381"/>
      <c r="W28" s="1382"/>
      <c r="X28" s="1383"/>
      <c r="Y28" s="3871"/>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1"/>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1"/>
      <c r="Z29" s="1388" t="str">
        <f t="shared" ref="Z29:Z42" si="12">Q29</f>
        <v>临街状况</v>
      </c>
      <c r="AA29" s="1389">
        <f t="shared" si="3"/>
        <v>1</v>
      </c>
      <c r="AB29" s="1389">
        <f t="shared" si="4"/>
        <v>1</v>
      </c>
      <c r="AC29" s="138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1"/>
      <c r="Q30" s="1385" t="str">
        <f t="shared" si="8"/>
        <v>毗邻道路的类型与等级</v>
      </c>
      <c r="R30" s="1386" t="s">
        <v>5</v>
      </c>
      <c r="S30" s="1387">
        <f t="shared" si="9"/>
        <v>100</v>
      </c>
      <c r="T30" s="1386" t="s">
        <v>5</v>
      </c>
      <c r="U30" s="1387">
        <f t="shared" si="10"/>
        <v>100</v>
      </c>
      <c r="V30" s="1386" t="s">
        <v>5</v>
      </c>
      <c r="W30" s="1387">
        <f t="shared" si="11"/>
        <v>100</v>
      </c>
      <c r="X30" s="1380"/>
      <c r="Y30" s="3871"/>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1"/>
      <c r="Q31" s="1385"/>
      <c r="R31" s="1386"/>
      <c r="S31" s="1387"/>
      <c r="T31" s="1386"/>
      <c r="U31" s="1387"/>
      <c r="V31" s="1386"/>
      <c r="W31" s="1387"/>
      <c r="X31" s="1380"/>
      <c r="Y31" s="3871"/>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71"/>
      <c r="Q32" s="1385" t="str">
        <f t="shared" si="8"/>
        <v>土地级别</v>
      </c>
      <c r="R32" s="1386" t="s">
        <v>5</v>
      </c>
      <c r="S32" s="1387">
        <f t="shared" si="9"/>
        <v>100</v>
      </c>
      <c r="T32" s="1386" t="s">
        <v>5</v>
      </c>
      <c r="U32" s="1387">
        <f t="shared" si="10"/>
        <v>100</v>
      </c>
      <c r="V32" s="1386" t="s">
        <v>5</v>
      </c>
      <c r="W32" s="1387">
        <f t="shared" si="11"/>
        <v>100</v>
      </c>
      <c r="X32" s="1380"/>
      <c r="Y32" s="3871"/>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1"/>
      <c r="Q33" s="1385">
        <f t="shared" si="8"/>
        <v>111</v>
      </c>
      <c r="R33" s="1386" t="s">
        <v>5</v>
      </c>
      <c r="S33" s="1387">
        <f t="shared" si="9"/>
        <v>100</v>
      </c>
      <c r="T33" s="1386" t="s">
        <v>5</v>
      </c>
      <c r="U33" s="1387">
        <f t="shared" si="10"/>
        <v>100</v>
      </c>
      <c r="V33" s="1386" t="s">
        <v>5</v>
      </c>
      <c r="W33" s="1387">
        <f t="shared" si="11"/>
        <v>100</v>
      </c>
      <c r="X33" s="1380"/>
      <c r="Y33" s="3871"/>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2" t="s">
        <v>499</v>
      </c>
      <c r="Q34" s="1385">
        <f t="shared" si="8"/>
        <v>111</v>
      </c>
      <c r="R34" s="1386" t="s">
        <v>5</v>
      </c>
      <c r="S34" s="1387">
        <f t="shared" si="9"/>
        <v>100</v>
      </c>
      <c r="T34" s="1386" t="s">
        <v>5</v>
      </c>
      <c r="U34" s="1387">
        <f t="shared" si="10"/>
        <v>100</v>
      </c>
      <c r="V34" s="1386" t="s">
        <v>5</v>
      </c>
      <c r="W34" s="1387">
        <f t="shared" si="11"/>
        <v>100</v>
      </c>
      <c r="X34" s="1380"/>
      <c r="Y34" s="3873" t="s">
        <v>499</v>
      </c>
      <c r="Z34" s="1388">
        <f t="shared" si="12"/>
        <v>111</v>
      </c>
      <c r="AA34" s="1389">
        <f t="shared" si="3"/>
        <v>1</v>
      </c>
      <c r="AB34" s="1389">
        <f t="shared" si="4"/>
        <v>1</v>
      </c>
      <c r="AC34" s="138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73"/>
      <c r="Q35" s="1385">
        <f t="shared" si="8"/>
        <v>111</v>
      </c>
      <c r="R35" s="1390" t="s">
        <v>5</v>
      </c>
      <c r="S35" s="1391">
        <f t="shared" si="9"/>
        <v>100</v>
      </c>
      <c r="T35" s="1390" t="s">
        <v>5</v>
      </c>
      <c r="U35" s="1391">
        <f t="shared" si="10"/>
        <v>100</v>
      </c>
      <c r="V35" s="1390" t="s">
        <v>5</v>
      </c>
      <c r="W35" s="1391">
        <f t="shared" si="11"/>
        <v>100</v>
      </c>
      <c r="X35" s="1392"/>
      <c r="Y35" s="3873"/>
      <c r="Z35" s="1393">
        <f t="shared" si="12"/>
        <v>111</v>
      </c>
      <c r="AA35" s="1389">
        <f t="shared" si="3"/>
        <v>1</v>
      </c>
      <c r="AB35" s="1389">
        <f t="shared" si="4"/>
        <v>1</v>
      </c>
      <c r="AC35" s="1389">
        <f t="shared" si="5"/>
        <v>1</v>
      </c>
    </row>
    <row r="36" spans="1:29" ht="15">
      <c r="A36" s="2387"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73"/>
      <c r="Q36" s="1385" t="str">
        <f>B36</f>
        <v>宗地面积</v>
      </c>
      <c r="R36" s="1386" t="s">
        <v>5</v>
      </c>
      <c r="S36" s="1387" t="e">
        <f t="shared" si="9"/>
        <v>#N/A</v>
      </c>
      <c r="T36" s="1386" t="s">
        <v>5</v>
      </c>
      <c r="U36" s="1387" t="e">
        <f t="shared" si="10"/>
        <v>#N/A</v>
      </c>
      <c r="V36" s="1386" t="s">
        <v>5</v>
      </c>
      <c r="W36" s="1387" t="e">
        <f t="shared" si="11"/>
        <v>#N/A</v>
      </c>
      <c r="X36" s="1380"/>
      <c r="Y36" s="3873"/>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73"/>
      <c r="Q37" s="1385" t="str">
        <f t="shared" ref="Q37:Q42" si="13">B37</f>
        <v>宗地形状</v>
      </c>
      <c r="R37" s="1386" t="s">
        <v>5</v>
      </c>
      <c r="S37" s="1387">
        <f t="shared" si="9"/>
        <v>100</v>
      </c>
      <c r="T37" s="1386" t="s">
        <v>5</v>
      </c>
      <c r="U37" s="1387">
        <f t="shared" si="10"/>
        <v>100</v>
      </c>
      <c r="V37" s="1386" t="s">
        <v>5</v>
      </c>
      <c r="W37" s="1387">
        <f t="shared" si="11"/>
        <v>100</v>
      </c>
      <c r="X37" s="1380"/>
      <c r="Y37" s="3873"/>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73"/>
      <c r="Q38" s="1385" t="str">
        <f t="shared" si="13"/>
        <v>宗地开发程度</v>
      </c>
      <c r="R38" s="1381" t="s">
        <v>5</v>
      </c>
      <c r="S38" s="1382">
        <f t="shared" si="9"/>
        <v>100</v>
      </c>
      <c r="T38" s="1381" t="s">
        <v>5</v>
      </c>
      <c r="U38" s="1382">
        <f t="shared" si="10"/>
        <v>100</v>
      </c>
      <c r="V38" s="1381" t="s">
        <v>5</v>
      </c>
      <c r="W38" s="1382">
        <f t="shared" si="11"/>
        <v>100</v>
      </c>
      <c r="X38" s="1383"/>
      <c r="Y38" s="3873"/>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73" t="s">
        <v>549</v>
      </c>
      <c r="Q39" s="1385" t="str">
        <f t="shared" si="13"/>
        <v>工程地质条件</v>
      </c>
      <c r="R39" s="1386" t="s">
        <v>5</v>
      </c>
      <c r="S39" s="1387">
        <f t="shared" si="9"/>
        <v>100</v>
      </c>
      <c r="T39" s="1386" t="s">
        <v>5</v>
      </c>
      <c r="U39" s="1387">
        <f t="shared" si="10"/>
        <v>100</v>
      </c>
      <c r="V39" s="1386" t="s">
        <v>5</v>
      </c>
      <c r="W39" s="1387">
        <f t="shared" si="11"/>
        <v>100</v>
      </c>
      <c r="X39" s="1380"/>
      <c r="Y39" s="3873"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73"/>
      <c r="Q40" s="1385">
        <f t="shared" si="13"/>
        <v>111</v>
      </c>
      <c r="R40" s="1386" t="s">
        <v>5</v>
      </c>
      <c r="S40" s="1387">
        <f t="shared" si="9"/>
        <v>100</v>
      </c>
      <c r="T40" s="1386" t="s">
        <v>5</v>
      </c>
      <c r="U40" s="1387">
        <f t="shared" si="10"/>
        <v>100</v>
      </c>
      <c r="V40" s="1386" t="s">
        <v>5</v>
      </c>
      <c r="W40" s="1387">
        <f t="shared" si="11"/>
        <v>100</v>
      </c>
      <c r="X40" s="1380"/>
      <c r="Y40" s="3873"/>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73"/>
      <c r="Q41" s="1385">
        <f t="shared" si="13"/>
        <v>111</v>
      </c>
      <c r="R41" s="1386" t="s">
        <v>5</v>
      </c>
      <c r="S41" s="1387">
        <f t="shared" si="9"/>
        <v>100</v>
      </c>
      <c r="T41" s="1386" t="s">
        <v>5</v>
      </c>
      <c r="U41" s="1387">
        <f t="shared" si="10"/>
        <v>100</v>
      </c>
      <c r="V41" s="1386" t="s">
        <v>5</v>
      </c>
      <c r="W41" s="1387">
        <f t="shared" si="11"/>
        <v>100</v>
      </c>
      <c r="X41" s="1380"/>
      <c r="Y41" s="3873"/>
      <c r="Z41" s="1388">
        <f t="shared" si="12"/>
        <v>111</v>
      </c>
      <c r="AA41" s="1389">
        <f t="shared" si="3"/>
        <v>1</v>
      </c>
      <c r="AB41" s="1389">
        <f t="shared" si="4"/>
        <v>1</v>
      </c>
      <c r="AC41" s="138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73"/>
      <c r="Q42" s="1385">
        <f t="shared" si="13"/>
        <v>111</v>
      </c>
      <c r="R42" s="1390" t="s">
        <v>5</v>
      </c>
      <c r="S42" s="1391">
        <f t="shared" si="9"/>
        <v>100</v>
      </c>
      <c r="T42" s="1390" t="s">
        <v>5</v>
      </c>
      <c r="U42" s="1391">
        <f t="shared" si="10"/>
        <v>100</v>
      </c>
      <c r="V42" s="1390" t="s">
        <v>5</v>
      </c>
      <c r="W42" s="1391">
        <f t="shared" si="11"/>
        <v>100</v>
      </c>
      <c r="X42" s="1392"/>
      <c r="Y42" s="3873"/>
      <c r="Z42" s="1393">
        <f t="shared" si="12"/>
        <v>111</v>
      </c>
      <c r="AA42" s="1389">
        <f t="shared" si="3"/>
        <v>1</v>
      </c>
      <c r="AB42" s="1389">
        <f t="shared" si="4"/>
        <v>1</v>
      </c>
      <c r="AC42" s="1389">
        <f t="shared" si="5"/>
        <v>1</v>
      </c>
    </row>
    <row r="43" spans="1:29" ht="14.4">
      <c r="A43" s="577" t="s">
        <v>505</v>
      </c>
      <c r="B43" s="578" t="s">
        <v>2196</v>
      </c>
      <c r="C43" s="579" t="s">
        <v>0</v>
      </c>
      <c r="D43" s="580"/>
      <c r="E43" s="581"/>
      <c r="F43" s="582"/>
      <c r="G43" s="583"/>
      <c r="H43" s="584"/>
      <c r="I43" s="581"/>
      <c r="J43" s="584"/>
      <c r="K43" s="1201"/>
      <c r="L43" s="1867"/>
      <c r="M43" s="1857"/>
      <c r="N43" s="1857"/>
      <c r="O43" s="1868"/>
      <c r="P43" s="3868" t="str">
        <f>A43</f>
        <v>成交单价</v>
      </c>
      <c r="Q43" s="3868"/>
      <c r="R43" s="3884">
        <f>E43</f>
        <v>0</v>
      </c>
      <c r="S43" s="3884"/>
      <c r="T43" s="3884">
        <f>G43</f>
        <v>0</v>
      </c>
      <c r="U43" s="3884"/>
      <c r="V43" s="3884">
        <f>I43</f>
        <v>0</v>
      </c>
      <c r="W43" s="3884"/>
      <c r="X43" s="1375"/>
      <c r="Y43" s="1394"/>
      <c r="Z43" s="1375"/>
      <c r="AA43" s="1375"/>
      <c r="AB43" s="1375"/>
      <c r="AC43" s="1375"/>
    </row>
    <row r="44" spans="1:29" ht="15" thickBot="1">
      <c r="A44" s="585" t="s">
        <v>1975</v>
      </c>
      <c r="B44" s="586"/>
      <c r="C44" s="587" t="e">
        <f>R45</f>
        <v>#DIV/0!</v>
      </c>
      <c r="D44" s="2757" t="s">
        <v>2260</v>
      </c>
      <c r="E44" s="587" t="e">
        <f>R44</f>
        <v>#DIV/0!</v>
      </c>
      <c r="F44" s="2758"/>
      <c r="G44" s="588" t="e">
        <f>T44</f>
        <v>#DIV/0!</v>
      </c>
      <c r="H44" s="2758"/>
      <c r="I44" s="587" t="e">
        <f>V44</f>
        <v>#DIV/0!</v>
      </c>
      <c r="J44" s="2758"/>
      <c r="K44" s="2759">
        <f>F44+H44+J44</f>
        <v>0</v>
      </c>
      <c r="L44" s="1867"/>
      <c r="M44" s="1857"/>
      <c r="N44" s="1857"/>
      <c r="O44" s="1868"/>
      <c r="P44" s="3868" t="str">
        <f>A44</f>
        <v>比较价格（元/平方米）</v>
      </c>
      <c r="Q44" s="3868"/>
      <c r="R44" s="3892" t="e">
        <f>ROUND(PRODUCT(R43,AA9:AA42),0)</f>
        <v>#DIV/0!</v>
      </c>
      <c r="S44" s="3892"/>
      <c r="T44" s="3892" t="e">
        <f>ROUND(PRODUCT(T43,AB9:AB42),0)</f>
        <v>#DIV/0!</v>
      </c>
      <c r="U44" s="3892"/>
      <c r="V44" s="3892" t="e">
        <f>ROUND(PRODUCT(V43,AC9:AC42),0)</f>
        <v>#DIV/0!</v>
      </c>
      <c r="W44" s="3892"/>
      <c r="X44" s="1375"/>
      <c r="Y44" s="1375"/>
      <c r="Z44" s="1375"/>
      <c r="AA44" s="1375"/>
      <c r="AB44" s="1375"/>
      <c r="AC44" s="1375"/>
    </row>
    <row r="45" spans="1:29" ht="15" thickBot="1">
      <c r="A45" s="589" t="s">
        <v>2197</v>
      </c>
      <c r="B45" s="590"/>
      <c r="C45" s="591" t="e">
        <f>R45</f>
        <v>#DIV/0!</v>
      </c>
      <c r="D45" s="591"/>
      <c r="E45" s="591"/>
      <c r="F45" s="591"/>
      <c r="G45" s="591"/>
      <c r="H45" s="591"/>
      <c r="I45" s="591"/>
      <c r="J45" s="591"/>
      <c r="K45" s="1202"/>
      <c r="L45" s="1867"/>
      <c r="M45" s="1857"/>
      <c r="N45" s="1857"/>
      <c r="O45" s="1868"/>
      <c r="P45" s="3874" t="str">
        <f>A45</f>
        <v>估价对象XX用房的比较价格（楼面单价，元/平方米）</v>
      </c>
      <c r="Q45" s="3875"/>
      <c r="R45" s="3901" t="e">
        <f>ROUND(IF(D44="简单平均",AVERAGE(R44:W44),R44*F44+T44*H44+V44*J44),0)</f>
        <v>#DIV/0!</v>
      </c>
      <c r="S45" s="3901"/>
      <c r="T45" s="3901"/>
      <c r="U45" s="3901"/>
      <c r="V45" s="3901"/>
      <c r="W45" s="3901"/>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1253</v>
      </c>
      <c r="D52" s="1946" t="s">
        <v>1650</v>
      </c>
      <c r="E52" s="599" t="s">
        <v>511</v>
      </c>
      <c r="F52" s="1707" t="s">
        <v>512</v>
      </c>
      <c r="G52" s="3897" t="s">
        <v>1642</v>
      </c>
      <c r="H52" s="3898"/>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t="e">
        <f>C45</f>
        <v>#DIV/0!</v>
      </c>
      <c r="C53" s="603">
        <v>1</v>
      </c>
      <c r="D53" s="1947">
        <v>1</v>
      </c>
      <c r="E53" s="603">
        <f>'数据-汇总表'!E8+'数据-汇总表'!E9</f>
        <v>107745.12</v>
      </c>
      <c r="F53" s="1706" t="e">
        <f t="shared" ref="F53:F61" si="14">ROUND(B53*E53/10000,0)</f>
        <v>#DIV/0!</v>
      </c>
      <c r="G53" s="3899"/>
      <c r="H53" s="3900"/>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t="e">
        <f>ROUND($C$45*C54*D54,0)</f>
        <v>#DIV/0!</v>
      </c>
      <c r="C54" s="365">
        <f t="shared" ref="C54:C61" si="15">IF($C$52="北京市系数",I54,J54)</f>
        <v>0.6</v>
      </c>
      <c r="D54" s="1948">
        <v>0.25</v>
      </c>
      <c r="E54" s="607"/>
      <c r="F54" s="1706" t="e">
        <f t="shared" si="14"/>
        <v>#DIV/0!</v>
      </c>
      <c r="G54" s="3279" t="s">
        <v>1643</v>
      </c>
      <c r="H54" s="1710" t="str">
        <f>项目基本情况!B43</f>
        <v>四级</v>
      </c>
      <c r="I54" s="1709">
        <f>SUMIF(修正!$A$57:$A$68,H54,修正!B57:B68)</f>
        <v>0.6</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t="e">
        <f t="shared" ref="B55:B61" si="16">ROUND($C$45*C55*D55,0)</f>
        <v>#DIV/0!</v>
      </c>
      <c r="C55" s="365">
        <f t="shared" si="15"/>
        <v>0.3</v>
      </c>
      <c r="D55" s="1948">
        <v>0.25</v>
      </c>
      <c r="E55" s="607"/>
      <c r="F55" s="1706" t="e">
        <f t="shared" si="14"/>
        <v>#DIV/0!</v>
      </c>
      <c r="G55" s="3280"/>
      <c r="H55" s="1711" t="str">
        <f>项目基本情况!B43</f>
        <v>四级</v>
      </c>
      <c r="I55" s="1709">
        <f>SUMIF(修正!$A$57:$A$68,H55,修正!C57:C68)</f>
        <v>0.3</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t="e">
        <f t="shared" si="16"/>
        <v>#DIV/0!</v>
      </c>
      <c r="C56" s="365">
        <f t="shared" si="15"/>
        <v>0.25</v>
      </c>
      <c r="D56" s="1948">
        <v>0.25</v>
      </c>
      <c r="E56" s="607"/>
      <c r="F56" s="1706" t="e">
        <f t="shared" si="14"/>
        <v>#DIV/0!</v>
      </c>
      <c r="G56" s="3280"/>
      <c r="H56" s="1711" t="str">
        <f>项目基本情况!B43</f>
        <v>四级</v>
      </c>
      <c r="I56" s="1709">
        <f>SUMIF(修正!$A$57:$A$68,H56,修正!D57:D68)</f>
        <v>0.25</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1685</v>
      </c>
      <c r="B57" s="606" t="e">
        <f t="shared" si="16"/>
        <v>#DIV/0!</v>
      </c>
      <c r="C57" s="365">
        <f t="shared" si="15"/>
        <v>0.25</v>
      </c>
      <c r="D57" s="1948">
        <v>0.25</v>
      </c>
      <c r="E57" s="609">
        <f>'数据-汇总表'!E11</f>
        <v>0</v>
      </c>
      <c r="F57" s="1706" t="e">
        <f t="shared" si="14"/>
        <v>#DIV/0!</v>
      </c>
      <c r="G57" s="1712" t="s">
        <v>1644</v>
      </c>
      <c r="H57" s="1711" t="str">
        <f>项目基本情况!C43</f>
        <v>四级</v>
      </c>
      <c r="I57" s="1709">
        <f>SUMIF(修正!$A$57:$A$68,H57,修正!E57:E68)</f>
        <v>0.25</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t="e">
        <f t="shared" si="16"/>
        <v>#DIV/0!</v>
      </c>
      <c r="C58" s="365">
        <f t="shared" si="15"/>
        <v>0.25</v>
      </c>
      <c r="D58" s="1948">
        <v>0.25</v>
      </c>
      <c r="E58" s="609">
        <f>'数据-汇总表'!E12</f>
        <v>0</v>
      </c>
      <c r="F58" s="1706" t="e">
        <f t="shared" si="14"/>
        <v>#DIV/0!</v>
      </c>
      <c r="G58" s="1702" t="s">
        <v>1212</v>
      </c>
      <c r="H58" s="1710" t="str">
        <f>IF(G58="商业",项目基本情况!B43,IF(G58="办公",项目基本情况!C43,IF(G58="住宅",项目基本情况!D43,项目基本情况!E43)))</f>
        <v>四级</v>
      </c>
      <c r="I58" s="1709">
        <f>SUMIF(修正!$A$57:$A$68,H58,修正!F57:F68)</f>
        <v>0.25</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t="e">
        <f t="shared" si="16"/>
        <v>#DIV/0!</v>
      </c>
      <c r="C60" s="365">
        <f t="shared" si="15"/>
        <v>0.15</v>
      </c>
      <c r="D60" s="1948">
        <v>0.25</v>
      </c>
      <c r="E60" s="609">
        <f>'数据-汇总表'!E14</f>
        <v>0</v>
      </c>
      <c r="F60" s="1706" t="e">
        <f t="shared" si="14"/>
        <v>#DIV/0!</v>
      </c>
      <c r="G60" s="1712" t="s">
        <v>1643</v>
      </c>
      <c r="H60" s="1711" t="str">
        <f>项目基本情况!B43</f>
        <v>四级</v>
      </c>
      <c r="I60" s="1709">
        <f>SUMIF(修正!$A$57:$A$68,H60,修正!G57:G68)</f>
        <v>0.15</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t="e">
        <f t="shared" si="16"/>
        <v>#DIV/0!</v>
      </c>
      <c r="C61" s="365">
        <f t="shared" si="15"/>
        <v>0.15</v>
      </c>
      <c r="D61" s="1948">
        <v>0.25</v>
      </c>
      <c r="E61" s="609">
        <f>'数据-汇总表'!E15</f>
        <v>9656.67</v>
      </c>
      <c r="F61" s="1706" t="e">
        <f t="shared" si="14"/>
        <v>#DIV/0!</v>
      </c>
      <c r="G61" s="1713" t="s">
        <v>1644</v>
      </c>
      <c r="H61" s="1714" t="str">
        <f>项目基本情况!C43</f>
        <v>四级</v>
      </c>
      <c r="I61" s="1709">
        <f>SUMIF(修正!$A$57:$A$68,H61,修正!G57:G68)</f>
        <v>0.15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1651</v>
      </c>
      <c r="E62" s="611">
        <f>IF(B43="楼面地价",SUM(E53:E61),'数据-汇总表'!D3)</f>
        <v>9791.14</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2023-4-1</v>
      </c>
      <c r="D64" s="2279">
        <f>EDATE(C64,-3)</f>
        <v>44927</v>
      </c>
      <c r="E64" s="2279">
        <f t="shared" ref="E64:N64" si="17">EDATE(D64,-3)</f>
        <v>44835</v>
      </c>
      <c r="F64" s="2279">
        <f t="shared" si="17"/>
        <v>44743</v>
      </c>
      <c r="G64" s="2279">
        <f t="shared" si="17"/>
        <v>44652</v>
      </c>
      <c r="H64" s="2279">
        <f t="shared" si="17"/>
        <v>44562</v>
      </c>
      <c r="I64" s="2279">
        <f t="shared" si="17"/>
        <v>44470</v>
      </c>
      <c r="J64" s="2279">
        <f t="shared" si="17"/>
        <v>44378</v>
      </c>
      <c r="K64" s="2279">
        <f t="shared" si="17"/>
        <v>44287</v>
      </c>
      <c r="L64" s="2279">
        <f t="shared" si="17"/>
        <v>44197</v>
      </c>
      <c r="M64" s="2279">
        <f t="shared" si="17"/>
        <v>44105</v>
      </c>
      <c r="N64" s="2279">
        <f t="shared" si="17"/>
        <v>44013</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1816</v>
      </c>
      <c r="B66" s="614"/>
      <c r="C66" s="2276" t="str">
        <f>YEAR(C64)&amp;"-"&amp;ROUNDUP(MONTH(C64)/3,0)</f>
        <v>2023-2</v>
      </c>
      <c r="D66" s="2281" t="str">
        <f t="shared" ref="D66:N66" si="18">YEAR(D64)&amp;"-"&amp;ROUNDUP(MONTH(D64)/3,0)</f>
        <v>2023-1</v>
      </c>
      <c r="E66" s="2281" t="str">
        <f t="shared" si="18"/>
        <v>2022-4</v>
      </c>
      <c r="F66" s="2281" t="str">
        <f t="shared" si="18"/>
        <v>2022-3</v>
      </c>
      <c r="G66" s="2281" t="str">
        <f t="shared" si="18"/>
        <v>2022-2</v>
      </c>
      <c r="H66" s="2281" t="str">
        <f t="shared" si="18"/>
        <v>2022-1</v>
      </c>
      <c r="I66" s="2281" t="str">
        <f t="shared" si="18"/>
        <v>2021-4</v>
      </c>
      <c r="J66" s="2281" t="str">
        <f t="shared" si="18"/>
        <v>2021-3</v>
      </c>
      <c r="K66" s="2281" t="str">
        <f t="shared" si="18"/>
        <v>2021-2</v>
      </c>
      <c r="L66" s="2281" t="str">
        <f t="shared" si="18"/>
        <v>2021-1</v>
      </c>
      <c r="M66" s="2281" t="str">
        <f t="shared" si="18"/>
        <v>2020-4</v>
      </c>
      <c r="N66" s="2281" t="str">
        <f t="shared" si="18"/>
        <v>2020-3</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4.4">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ht="14.4">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ht="14.4">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6">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6">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31.2">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6"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6" thickBot="1">
      <c r="A6" s="3521" t="s">
        <v>1395</v>
      </c>
      <c r="B6" s="1277" t="s">
        <v>859</v>
      </c>
      <c r="C6" s="3522">
        <f>SUMIF(L1:L12,G2,M1:M12)</f>
        <v>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6" thickBot="1">
      <c r="A7" s="3526" t="s">
        <v>3196</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0</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916" t="s">
        <v>2060</v>
      </c>
      <c r="X8" s="3917"/>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915"/>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915"/>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8" thickBot="1">
      <c r="A12" s="3526" t="s">
        <v>3197</v>
      </c>
      <c r="B12" s="3507" t="s">
        <v>3198</v>
      </c>
      <c r="C12" s="3513">
        <v>1.02</v>
      </c>
      <c r="D12" s="3508" t="s">
        <v>3199</v>
      </c>
      <c r="E12" s="3509" t="s">
        <v>3200</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24.6" thickBot="1">
      <c r="A13" s="3526" t="s">
        <v>3201</v>
      </c>
      <c r="B13" s="1283" t="s">
        <v>874</v>
      </c>
      <c r="C13" s="3527">
        <f>ROUND(C16*D16*E16*F16*G16*H16*I16*J16,4)</f>
        <v>0</v>
      </c>
      <c r="D13" s="3545" t="s">
        <v>3202</v>
      </c>
      <c r="E13" s="3546"/>
      <c r="F13" s="3546"/>
      <c r="G13" s="3546"/>
      <c r="H13" s="3546"/>
      <c r="I13" s="3546"/>
      <c r="J13" s="3547"/>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8"/>
      <c r="B14" s="1287" t="s">
        <v>1229</v>
      </c>
      <c r="C14" s="3461" t="s">
        <v>1230</v>
      </c>
      <c r="D14" s="1289" t="s">
        <v>1231</v>
      </c>
      <c r="E14" s="781" t="s">
        <v>3203</v>
      </c>
      <c r="F14" s="3549" t="s">
        <v>1178</v>
      </c>
      <c r="G14" s="3549" t="s">
        <v>1178</v>
      </c>
      <c r="H14" s="3550" t="s">
        <v>1178</v>
      </c>
      <c r="I14" s="3551" t="s">
        <v>1178</v>
      </c>
      <c r="J14" s="3551"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8"/>
      <c r="B15" s="1289"/>
      <c r="C15" s="3552"/>
      <c r="D15" s="3553"/>
      <c r="E15" s="3554"/>
      <c r="F15" s="3554"/>
      <c r="G15" s="3516" t="s">
        <v>3204</v>
      </c>
      <c r="H15" s="3517"/>
      <c r="I15" s="3518"/>
      <c r="J15" s="3519"/>
      <c r="K15" s="3520"/>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6" t="s">
        <v>3205</v>
      </c>
      <c r="B17" s="3557" t="s">
        <v>3206</v>
      </c>
      <c r="C17" s="3565">
        <f>ROUND(IF(OR(E2="工业",E2="公共服务"),1,IF(AND(E18=0,E19=0),1,IF(AND(E18=J24,E19=G19),0.8,IF(E19=0,1+E17*(-0.2),1+E17*G17*(-0.2))))),4)</f>
        <v>1</v>
      </c>
      <c r="D17" s="3558" t="s">
        <v>3207</v>
      </c>
      <c r="E17" s="3565" t="e">
        <f>ROUND(G18/I18,2)</f>
        <v>#DIV/0!</v>
      </c>
      <c r="F17" s="3558" t="s">
        <v>3210</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8"/>
      <c r="B18" s="3424"/>
      <c r="C18" s="3563"/>
      <c r="D18" s="3559" t="s">
        <v>3208</v>
      </c>
      <c r="E18" s="3564"/>
      <c r="F18" s="3561" t="s">
        <v>3211</v>
      </c>
      <c r="G18" s="3563">
        <f>ROUND(1-(1/(POWER(1+G24,E18))),4)</f>
        <v>0</v>
      </c>
      <c r="H18" s="3561" t="s">
        <v>3213</v>
      </c>
      <c r="I18" s="3563">
        <f>ROUND(1-(1/(POWER(1+G24,J24))),4)</f>
        <v>0</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3209</v>
      </c>
      <c r="E19" s="3566"/>
      <c r="F19" s="3562" t="s">
        <v>3212</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3909" t="s">
        <v>1370</v>
      </c>
      <c r="B20" s="1278" t="s">
        <v>875</v>
      </c>
      <c r="C20" s="998" t="e">
        <f>ROUND(IF(F21="与级别开发程度一致",0,(G21-E21)/C21),0)</f>
        <v>#DIV/0!</v>
      </c>
      <c r="D20" s="3921" t="s">
        <v>879</v>
      </c>
      <c r="E20" s="3922"/>
      <c r="F20" s="3921" t="s">
        <v>876</v>
      </c>
      <c r="G20" s="3922"/>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10"/>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60" t="s">
        <v>1358</v>
      </c>
      <c r="B22" s="2602" t="s">
        <v>880</v>
      </c>
      <c r="C22" s="2603">
        <f>SUMIF(修正!C20:C51,E3,修正!E20:E51)</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9.4"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7" t="s">
        <v>882</v>
      </c>
      <c r="E23" s="1000">
        <v>44197</v>
      </c>
      <c r="F23" s="1297" t="s">
        <v>883</v>
      </c>
      <c r="G23" s="1001">
        <f>'数据-取费表'!B2</f>
        <v>45028</v>
      </c>
      <c r="H23" s="1298" t="s">
        <v>2246</v>
      </c>
      <c r="I23" s="2266" t="str">
        <f>IF(H23="季度增幅（自定义）",SUMIF(N25:N28,E2,O25:O28),"")</f>
        <v/>
      </c>
      <c r="J23" s="3567"/>
      <c r="K23" s="2977"/>
      <c r="L23" s="2511" t="s">
        <v>2116</v>
      </c>
      <c r="M23" s="2512">
        <f>ROUND(SUMIF(地价!B2:F2,E2,地价!B41:F41),0)</f>
        <v>0</v>
      </c>
      <c r="N23" s="2268" t="s">
        <v>1211</v>
      </c>
      <c r="O23" s="2267">
        <f>ROUNDDOWN(DATEDIF(E23,G23,"M")/3,0)</f>
        <v>9</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1365</v>
      </c>
      <c r="B24" s="2261" t="s">
        <v>896</v>
      </c>
      <c r="C24" s="2262" t="e">
        <f>ROUND(POWER(1+G24,J24-I24)*(POWER(1+G24,I24)-1)/(POWER(1+G24,J24)-1),4)</f>
        <v>#DIV/0!</v>
      </c>
      <c r="D24" s="2263" t="s">
        <v>897</v>
      </c>
      <c r="E24" s="2540">
        <f>存贷款利率!E22/100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4">
      <c r="A25" s="1447" t="s">
        <v>1366</v>
      </c>
      <c r="B25" s="1303" t="s">
        <v>2278</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1395</v>
      </c>
      <c r="B26" s="1306" t="s">
        <v>901</v>
      </c>
      <c r="C26" s="3568" t="s">
        <v>3214</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8" t="s">
        <v>3215</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917</v>
      </c>
      <c r="C33" s="1005" t="e">
        <f>ROUND(C5*C22*C23*C24*C25*C28,0)</f>
        <v>#DIV/0!</v>
      </c>
      <c r="D33" s="1326"/>
      <c r="E33" s="1635" t="e">
        <f>ROUND(C33*D33/10000,0)</f>
        <v>#DIV/0!</v>
      </c>
      <c r="F33" s="3569" t="s">
        <v>3217</v>
      </c>
      <c r="G33" s="1327"/>
      <c r="H33" s="1327"/>
      <c r="I33" s="1327"/>
      <c r="J33" s="1328"/>
      <c r="K33" s="2985"/>
      <c r="L33" s="3639" t="s">
        <v>3243</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918</v>
      </c>
      <c r="C34" s="997" t="e">
        <f>ROUND(IF(E2="工业",C33*M42,IF(B25="楼层修正",SUM(V2:V16)*M41*10000/D34,C33*M41)),0)</f>
        <v>#DIV/0!</v>
      </c>
      <c r="D34" s="1331"/>
      <c r="E34" s="1635" t="e">
        <f>ROUND(IF(B25="楼层修正",SUM(V2:V16)*#REF!,C34*D34/10000),0)</f>
        <v>#DIV/0!</v>
      </c>
      <c r="F34" s="3570" t="s">
        <v>3218</v>
      </c>
      <c r="G34" s="1332"/>
      <c r="H34" s="1332"/>
      <c r="I34" s="1332"/>
      <c r="J34" s="1333"/>
      <c r="K34" s="2978"/>
      <c r="L34" s="3639" t="s">
        <v>3244</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914</v>
      </c>
      <c r="D36" s="1340" t="s">
        <v>915</v>
      </c>
      <c r="E36" s="1340" t="s">
        <v>916</v>
      </c>
      <c r="F36" s="1341" t="s">
        <v>922</v>
      </c>
      <c r="G36" s="1302" t="s">
        <v>914</v>
      </c>
      <c r="H36" s="1302" t="s">
        <v>915</v>
      </c>
      <c r="I36" s="1302" t="s">
        <v>916</v>
      </c>
      <c r="J36" s="1342"/>
      <c r="K36" s="3641" t="s">
        <v>3245</v>
      </c>
      <c r="L36" s="3643">
        <f ca="1">'数据-取费表'!B40</f>
        <v>4.1499999999999995E-2</v>
      </c>
      <c r="M36" s="3644">
        <f ca="1">ROUND($L$36*(1+M31),3)</f>
        <v>5.1999999999999998E-2</v>
      </c>
      <c r="N36" s="3644">
        <f ca="1">ROUND($L$36*(1+N31),3)</f>
        <v>0.05</v>
      </c>
      <c r="O36" s="3644">
        <f ca="1">ROUND($L$36*(1+O31),3)</f>
        <v>4.8000000000000001E-2</v>
      </c>
      <c r="P36" s="3644">
        <f ca="1">ROUND($L$36*(1+P31),3)</f>
        <v>4.5999999999999999E-2</v>
      </c>
      <c r="Q36" s="3644">
        <f ca="1">ROUND($L$36*(1+Q31),3)</f>
        <v>4.8000000000000001E-2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3913"/>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13"/>
      <c r="K37" s="3642" t="s">
        <v>3246</v>
      </c>
      <c r="L37" s="3643">
        <f ca="1">L36+K38</f>
        <v>4.6499999999999993E-2</v>
      </c>
      <c r="M37" s="3644">
        <f ca="1">ROUND($L$37*(1+M31),3)</f>
        <v>5.8000000000000003E-2</v>
      </c>
      <c r="N37" s="3644">
        <f t="shared" ref="N37:Q37" ca="1" si="3">ROUND($L$37*(1+N31),3)</f>
        <v>5.6000000000000001E-2</v>
      </c>
      <c r="O37" s="3644">
        <f t="shared" ca="1" si="3"/>
        <v>5.2999999999999999E-2</v>
      </c>
      <c r="P37" s="3644">
        <f t="shared" ca="1" si="3"/>
        <v>5.0999999999999997E-2</v>
      </c>
      <c r="Q37" s="3644">
        <f t="shared" ca="1" si="3"/>
        <v>5.2999999999999999E-2</v>
      </c>
      <c r="R37" s="1912"/>
      <c r="S37" s="1912"/>
      <c r="T37" s="1912"/>
      <c r="U37" s="1912"/>
      <c r="V37" s="1912"/>
      <c r="W37" s="1911"/>
      <c r="X37" s="1911"/>
      <c r="Y37" s="1911"/>
      <c r="Z37" s="1911"/>
      <c r="AA37" s="1911"/>
      <c r="AB37" s="1911"/>
      <c r="AC37" s="1912"/>
    </row>
    <row r="38" spans="1:44" ht="13.2">
      <c r="A38" s="3914"/>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14"/>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8" thickBot="1">
      <c r="A39" s="3914"/>
      <c r="B39" s="3571" t="s">
        <v>3219</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14"/>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5"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2242</v>
      </c>
      <c r="C44" s="804" t="e">
        <f>ROUND(POWER(1+E44,H44-G44)*(POWER(1+E44,G44)-1)/(POWER(1+E44,H44)-1),4)</f>
        <v>#DIV/0!</v>
      </c>
      <c r="D44" s="365" t="s">
        <v>2240</v>
      </c>
      <c r="E44" s="2587">
        <f>G24</f>
        <v>0</v>
      </c>
      <c r="F44" s="365" t="s">
        <v>2241</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4.4">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48">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48">
      <c r="A52" s="3572" t="s">
        <v>3221</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2199</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36">
      <c r="A55" s="3590" t="s">
        <v>947</v>
      </c>
      <c r="B55" s="3607" t="s">
        <v>2198</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36.6"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4.4">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48">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48">
      <c r="A63" s="3572" t="s">
        <v>3221</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2200</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36">
      <c r="A66" s="3590" t="s">
        <v>947</v>
      </c>
      <c r="B66" s="3607" t="s">
        <v>2198</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36.6"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4.4">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48">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48">
      <c r="A74" s="3572" t="s">
        <v>3221</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3.8">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36">
      <c r="A78" s="3590" t="s">
        <v>947</v>
      </c>
      <c r="B78" s="3607" t="s">
        <v>2198</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36">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36.6"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4.4">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36">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48">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3.8">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36">
      <c r="A89" s="3590" t="s">
        <v>947</v>
      </c>
      <c r="B89" s="3607" t="s">
        <v>2198</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6"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4.4">
      <c r="A91" s="3573" t="s">
        <v>3230</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3231</v>
      </c>
      <c r="B92" s="3574"/>
      <c r="C92" s="3574" t="s">
        <v>3236</v>
      </c>
      <c r="D92" s="3574" t="s">
        <v>3223</v>
      </c>
      <c r="E92" s="3631" t="s">
        <v>3224</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3232</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48">
      <c r="A94" s="3574" t="s">
        <v>3233</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48">
      <c r="A95" s="3629" t="s">
        <v>3221</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7.200000000000003">
      <c r="A96" s="3574" t="s">
        <v>3225</v>
      </c>
      <c r="B96" s="3578" t="s">
        <v>3226</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3227</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36">
      <c r="A98" s="3574" t="s">
        <v>3234</v>
      </c>
      <c r="B98" s="3606" t="s">
        <v>2198</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3235</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3228</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36.6" thickBot="1">
      <c r="A101" s="3574" t="s">
        <v>3229</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3.8">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11" t="s">
        <v>1172</v>
      </c>
      <c r="B104" s="3911"/>
      <c r="C104" s="3911"/>
      <c r="D104" s="3911"/>
      <c r="E104" s="3911"/>
      <c r="F104" s="3911"/>
      <c r="G104" s="3911"/>
      <c r="H104" s="3911"/>
      <c r="I104" s="3911"/>
      <c r="J104" s="3911"/>
      <c r="K104" s="2103"/>
      <c r="L104" s="2103"/>
      <c r="M104" s="2103"/>
      <c r="N104" s="2103"/>
    </row>
    <row r="105" spans="1:36">
      <c r="A105" s="3912" t="s">
        <v>1161</v>
      </c>
      <c r="B105" s="3912" t="s">
        <v>1173</v>
      </c>
      <c r="C105" s="1041" t="s">
        <v>1174</v>
      </c>
      <c r="D105" s="1042"/>
      <c r="E105" s="1042"/>
      <c r="F105" s="1042"/>
      <c r="G105" s="1042"/>
      <c r="H105" s="1042"/>
      <c r="I105" s="1042"/>
      <c r="J105" s="1043"/>
      <c r="K105" s="1035"/>
      <c r="L105" s="1035"/>
      <c r="M105" s="1035"/>
      <c r="N105" s="1035"/>
    </row>
    <row r="106" spans="1:36">
      <c r="A106" s="3912"/>
      <c r="B106" s="3912"/>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18"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19"/>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19"/>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19"/>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19"/>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19"/>
      <c r="B112" s="1044" t="s">
        <v>3237</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20"/>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8" t="s">
        <v>1175</v>
      </c>
      <c r="B114" s="3908"/>
      <c r="C114" s="3908"/>
      <c r="D114" s="3908"/>
      <c r="E114" s="3908"/>
      <c r="F114" s="3908"/>
      <c r="G114" s="3908"/>
      <c r="H114" s="3908"/>
      <c r="I114" s="3908"/>
      <c r="J114" s="3908"/>
      <c r="K114" s="2101"/>
      <c r="L114" s="2101"/>
      <c r="M114" s="2101"/>
      <c r="N114" s="2101"/>
    </row>
    <row r="116" spans="1:14" ht="12.6" thickBot="1"/>
    <row r="117" spans="1:14" ht="25.8"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3" t="s">
        <v>3238</v>
      </c>
      <c r="B119" s="3575">
        <f>ROUND(0.9968-0.011*B117,4)</f>
        <v>0.99680000000000002</v>
      </c>
      <c r="C119" s="3575">
        <f>B119</f>
        <v>0.99680000000000002</v>
      </c>
      <c r="D119" s="3575">
        <f>ROUND(0.949-0.014*B117,4)</f>
        <v>0.94899999999999995</v>
      </c>
      <c r="E119" s="3575">
        <f>D119</f>
        <v>0.94899999999999995</v>
      </c>
      <c r="F119" s="3575">
        <f>E119</f>
        <v>0.94899999999999995</v>
      </c>
      <c r="G119" s="3575">
        <f>F119</f>
        <v>0.94899999999999995</v>
      </c>
      <c r="H119" s="3575">
        <f>G119</f>
        <v>0.94899999999999995</v>
      </c>
      <c r="I119" s="3575">
        <f>ROUND(0.8486-0.018*B117,4)</f>
        <v>0.84860000000000002</v>
      </c>
      <c r="J119" s="3575">
        <f t="shared" ref="J119:M123" si="35">I119</f>
        <v>0.84860000000000002</v>
      </c>
      <c r="K119" s="3575">
        <f t="shared" si="35"/>
        <v>0.84860000000000002</v>
      </c>
      <c r="L119" s="3575">
        <f t="shared" si="35"/>
        <v>0.84860000000000002</v>
      </c>
      <c r="M119" s="3636">
        <f t="shared" si="35"/>
        <v>0.84860000000000002</v>
      </c>
    </row>
    <row r="120" spans="1:14" ht="13.2">
      <c r="A120" s="3633" t="s">
        <v>3239</v>
      </c>
      <c r="B120" s="3575">
        <f>ROUND(0.993-0.0112*B117,4)</f>
        <v>0.99299999999999999</v>
      </c>
      <c r="C120" s="3575">
        <f>B120</f>
        <v>0.99299999999999999</v>
      </c>
      <c r="D120" s="3575">
        <f>ROUND(0.9415-0.0142*B117,4)</f>
        <v>0.9415</v>
      </c>
      <c r="E120" s="3575">
        <f t="shared" ref="E120:H121" si="36">D120</f>
        <v>0.9415</v>
      </c>
      <c r="F120" s="3575">
        <f t="shared" si="36"/>
        <v>0.9415</v>
      </c>
      <c r="G120" s="3575">
        <f t="shared" si="36"/>
        <v>0.9415</v>
      </c>
      <c r="H120" s="3575">
        <f t="shared" si="36"/>
        <v>0.9415</v>
      </c>
      <c r="I120" s="3575">
        <f>ROUND(0.838-0.0182*B117,4)</f>
        <v>0.83799999999999997</v>
      </c>
      <c r="J120" s="3575">
        <f t="shared" si="35"/>
        <v>0.83799999999999997</v>
      </c>
      <c r="K120" s="3575">
        <f t="shared" si="35"/>
        <v>0.83799999999999997</v>
      </c>
      <c r="L120" s="3575">
        <f t="shared" si="35"/>
        <v>0.83799999999999997</v>
      </c>
      <c r="M120" s="3636">
        <f t="shared" si="35"/>
        <v>0.83799999999999997</v>
      </c>
    </row>
    <row r="121" spans="1:14" ht="13.2">
      <c r="A121" s="3633" t="s">
        <v>3240</v>
      </c>
      <c r="B121" s="3575">
        <f>ROUND(0.9448-0.0115*B117,4)</f>
        <v>0.94479999999999997</v>
      </c>
      <c r="C121" s="3575">
        <f>B121</f>
        <v>0.94479999999999997</v>
      </c>
      <c r="D121" s="3575">
        <f>ROUND(0.937-0.0145*B117,4)</f>
        <v>0.93700000000000006</v>
      </c>
      <c r="E121" s="3575">
        <f t="shared" si="36"/>
        <v>0.93700000000000006</v>
      </c>
      <c r="F121" s="3575">
        <f t="shared" si="36"/>
        <v>0.93700000000000006</v>
      </c>
      <c r="G121" s="3575">
        <f t="shared" si="36"/>
        <v>0.93700000000000006</v>
      </c>
      <c r="H121" s="3575">
        <f t="shared" si="36"/>
        <v>0.93700000000000006</v>
      </c>
      <c r="I121" s="3575">
        <f>ROUND(0.7965-0.0185*B117,4)</f>
        <v>0.79649999999999999</v>
      </c>
      <c r="J121" s="3575">
        <f t="shared" si="35"/>
        <v>0.79649999999999999</v>
      </c>
      <c r="K121" s="3575">
        <f t="shared" si="35"/>
        <v>0.79649999999999999</v>
      </c>
      <c r="L121" s="3575">
        <f t="shared" si="35"/>
        <v>0.79649999999999999</v>
      </c>
      <c r="M121" s="3636">
        <f t="shared" si="35"/>
        <v>0.79649999999999999</v>
      </c>
    </row>
    <row r="122" spans="1:14" ht="13.8" thickBot="1">
      <c r="A122" s="3634" t="s">
        <v>3241</v>
      </c>
      <c r="B122" s="3637">
        <f>ROUND(0.7836-0.012*B117,4)</f>
        <v>0.78359999999999996</v>
      </c>
      <c r="C122" s="3637">
        <f>B122</f>
        <v>0.78359999999999996</v>
      </c>
      <c r="D122" s="3637">
        <f>ROUND(0.753-0.015*B117,4)</f>
        <v>0.753</v>
      </c>
      <c r="E122" s="3637">
        <f>D122</f>
        <v>0.753</v>
      </c>
      <c r="F122" s="3637">
        <f>E122</f>
        <v>0.753</v>
      </c>
      <c r="G122" s="3637">
        <f>ROUND(0.6612-0.018*B117,4)</f>
        <v>0.66120000000000001</v>
      </c>
      <c r="H122" s="3637">
        <f>G122</f>
        <v>0.66120000000000001</v>
      </c>
      <c r="I122" s="3637">
        <f>ROUND(0.5905-0.019*B117,4)</f>
        <v>0.59050000000000002</v>
      </c>
      <c r="J122" s="3637">
        <f t="shared" si="35"/>
        <v>0.59050000000000002</v>
      </c>
      <c r="K122" s="3637">
        <f t="shared" si="35"/>
        <v>0.59050000000000002</v>
      </c>
      <c r="L122" s="3637">
        <f t="shared" si="35"/>
        <v>0.59050000000000002</v>
      </c>
      <c r="M122" s="3638">
        <f t="shared" si="35"/>
        <v>0.59050000000000002</v>
      </c>
    </row>
    <row r="123" spans="1:14" ht="13.2">
      <c r="A123" s="3635" t="s">
        <v>3222</v>
      </c>
      <c r="B123" s="3575">
        <f>ROUND(0.9404-0.0106*B117,4)</f>
        <v>0.94040000000000001</v>
      </c>
      <c r="C123" s="3575">
        <f>B123</f>
        <v>0.94040000000000001</v>
      </c>
      <c r="D123" s="3575">
        <f>ROUND(0.8955-0.0135*B117,4)</f>
        <v>0.89549999999999996</v>
      </c>
      <c r="E123" s="3575">
        <f t="shared" ref="E123:H123" si="37">D123</f>
        <v>0.89549999999999996</v>
      </c>
      <c r="F123" s="3575">
        <f t="shared" si="37"/>
        <v>0.89549999999999996</v>
      </c>
      <c r="G123" s="3575">
        <f t="shared" si="37"/>
        <v>0.89549999999999996</v>
      </c>
      <c r="H123" s="3575">
        <f t="shared" si="37"/>
        <v>0.89549999999999996</v>
      </c>
      <c r="I123" s="3575">
        <f>ROUND(0.7632-0.0166*B117,4)</f>
        <v>0.76319999999999999</v>
      </c>
      <c r="J123" s="3575">
        <f t="shared" si="35"/>
        <v>0.76319999999999999</v>
      </c>
      <c r="K123" s="3575">
        <f t="shared" si="35"/>
        <v>0.76319999999999999</v>
      </c>
      <c r="L123" s="3575">
        <f t="shared" si="35"/>
        <v>0.76319999999999999</v>
      </c>
      <c r="M123" s="3636">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46" priority="7" stopIfTrue="1" operator="notEqual">
      <formula>"——"</formula>
    </cfRule>
  </conditionalFormatting>
  <conditionalFormatting sqref="F61">
    <cfRule type="cellIs" dxfId="145" priority="6" stopIfTrue="1" operator="notEqual">
      <formula>"——"</formula>
    </cfRule>
  </conditionalFormatting>
  <conditionalFormatting sqref="F72">
    <cfRule type="cellIs" dxfId="144" priority="5" stopIfTrue="1" operator="notEqual">
      <formula>"——"</formula>
    </cfRule>
  </conditionalFormatting>
  <conditionalFormatting sqref="F83">
    <cfRule type="cellIs" dxfId="143" priority="4" stopIfTrue="1" operator="notEqual">
      <formula>"——"</formula>
    </cfRule>
  </conditionalFormatting>
  <conditionalFormatting sqref="H50:H58 H72:H80 H83:H91 H93:H102 H61:H69">
    <cfRule type="cellIs" dxfId="14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8"/>
    <col min="2" max="9" width="13.88671875" style="1025"/>
    <col min="10" max="16384" width="13.88671875" style="1008"/>
  </cols>
  <sheetData>
    <row r="1" spans="1:13" ht="15" thickBot="1">
      <c r="A1" s="1026" t="s">
        <v>2763</v>
      </c>
      <c r="B1" s="1013" t="s">
        <v>990</v>
      </c>
      <c r="C1" s="1013" t="s">
        <v>1031</v>
      </c>
      <c r="D1" s="1013" t="s">
        <v>1145</v>
      </c>
      <c r="E1" s="1013" t="s">
        <v>853</v>
      </c>
      <c r="F1" s="1013" t="s">
        <v>1152</v>
      </c>
      <c r="G1" s="1013" t="s">
        <v>1153</v>
      </c>
      <c r="H1" s="1013" t="s">
        <v>1154</v>
      </c>
      <c r="I1" s="1013" t="s">
        <v>1155</v>
      </c>
      <c r="J1" s="1013" t="s">
        <v>1156</v>
      </c>
      <c r="K1" s="1013" t="s">
        <v>1157</v>
      </c>
      <c r="L1" s="1013" t="s">
        <v>2764</v>
      </c>
      <c r="M1" s="1014" t="s">
        <v>2765</v>
      </c>
    </row>
    <row r="2" spans="1:13">
      <c r="A2" s="3234" t="s">
        <v>2740</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2766</v>
      </c>
      <c r="B6" s="3244">
        <v>2.5</v>
      </c>
      <c r="C6" s="3244">
        <v>2.5</v>
      </c>
      <c r="D6" s="3244">
        <v>2</v>
      </c>
      <c r="E6" s="3244">
        <v>2</v>
      </c>
      <c r="F6" s="3244">
        <v>2</v>
      </c>
      <c r="G6" s="3244">
        <v>2</v>
      </c>
      <c r="H6" s="3244">
        <v>2</v>
      </c>
      <c r="I6" s="3245">
        <v>1.5</v>
      </c>
      <c r="J6" s="3245">
        <v>1.5</v>
      </c>
      <c r="K6" s="3245">
        <v>1.5</v>
      </c>
      <c r="L6" s="3245">
        <v>1.5</v>
      </c>
      <c r="M6" s="3246">
        <v>1.5</v>
      </c>
    </row>
    <row r="7" spans="1:13" ht="15" thickBot="1">
      <c r="A7" s="3247" t="s">
        <v>2738</v>
      </c>
      <c r="B7" s="3248">
        <v>2.5</v>
      </c>
      <c r="C7" s="3248">
        <v>2.5</v>
      </c>
      <c r="D7" s="3248">
        <v>2</v>
      </c>
      <c r="E7" s="3248">
        <v>2</v>
      </c>
      <c r="F7" s="3248">
        <v>2</v>
      </c>
      <c r="G7" s="3248">
        <v>2</v>
      </c>
      <c r="H7" s="3248">
        <v>2</v>
      </c>
      <c r="I7" s="3249">
        <v>1.5</v>
      </c>
      <c r="J7" s="3249">
        <v>1.5</v>
      </c>
      <c r="K7" s="3249">
        <v>1.5</v>
      </c>
      <c r="L7" s="3249">
        <v>1.5</v>
      </c>
      <c r="M7" s="3250">
        <v>1.5</v>
      </c>
    </row>
    <row r="8" spans="1:13">
      <c r="A8" s="1027" t="s">
        <v>2767</v>
      </c>
      <c r="B8" s="3251">
        <v>80</v>
      </c>
      <c r="C8" s="3251">
        <v>80</v>
      </c>
      <c r="D8" s="3251">
        <v>70</v>
      </c>
      <c r="E8" s="3251">
        <v>70</v>
      </c>
      <c r="F8" s="3251">
        <v>70</v>
      </c>
      <c r="G8" s="3251">
        <v>70</v>
      </c>
      <c r="H8" s="3251">
        <v>70</v>
      </c>
      <c r="I8" s="3251">
        <v>60</v>
      </c>
      <c r="J8" s="3251">
        <v>60</v>
      </c>
      <c r="K8" s="3251">
        <v>60</v>
      </c>
      <c r="L8" s="3251">
        <v>60</v>
      </c>
      <c r="M8" s="3252">
        <v>60</v>
      </c>
    </row>
    <row r="9" spans="1:13">
      <c r="A9" s="1009" t="s">
        <v>2768</v>
      </c>
      <c r="B9" s="3253">
        <v>70</v>
      </c>
      <c r="C9" s="3253">
        <v>70</v>
      </c>
      <c r="D9" s="3253">
        <v>60</v>
      </c>
      <c r="E9" s="3253">
        <v>60</v>
      </c>
      <c r="F9" s="3253">
        <v>60</v>
      </c>
      <c r="G9" s="3253">
        <v>60</v>
      </c>
      <c r="H9" s="3253">
        <v>60</v>
      </c>
      <c r="I9" s="3253">
        <v>50</v>
      </c>
      <c r="J9" s="3253">
        <v>50</v>
      </c>
      <c r="K9" s="3253">
        <v>50</v>
      </c>
      <c r="L9" s="3253">
        <v>50</v>
      </c>
      <c r="M9" s="3254">
        <v>50</v>
      </c>
    </row>
    <row r="10" spans="1:13">
      <c r="A10" s="1009" t="s">
        <v>2769</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2770</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2771</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2772</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2773</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2774</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2775</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5" thickBot="1">
      <c r="A19" s="3255" t="s">
        <v>2457</v>
      </c>
      <c r="B19" s="3257" t="s">
        <v>2458</v>
      </c>
      <c r="C19" s="3258" t="s">
        <v>2459</v>
      </c>
      <c r="D19" s="3259"/>
      <c r="E19" s="3253" t="s">
        <v>2460</v>
      </c>
      <c r="F19" s="1033"/>
      <c r="G19" s="1033"/>
    </row>
    <row r="20" spans="1:13" s="1408" customFormat="1">
      <c r="A20" s="3927" t="s">
        <v>2451</v>
      </c>
      <c r="B20" s="3930" t="s">
        <v>2461</v>
      </c>
      <c r="C20" s="3260" t="s">
        <v>2462</v>
      </c>
      <c r="D20" s="3261"/>
      <c r="E20" s="3262">
        <v>1</v>
      </c>
      <c r="F20" s="3263" t="s">
        <v>2463</v>
      </c>
      <c r="G20" s="1035"/>
      <c r="H20" s="1025"/>
      <c r="I20" s="1025"/>
    </row>
    <row r="21" spans="1:13" s="1408" customFormat="1">
      <c r="A21" s="3928"/>
      <c r="B21" s="3926"/>
      <c r="C21" s="3264" t="s">
        <v>2464</v>
      </c>
      <c r="D21" s="3265"/>
      <c r="E21" s="3266">
        <v>1</v>
      </c>
      <c r="F21" s="3263" t="s">
        <v>2465</v>
      </c>
      <c r="G21" s="1035"/>
      <c r="H21" s="1025"/>
      <c r="I21" s="1025"/>
    </row>
    <row r="22" spans="1:13" s="1408" customFormat="1">
      <c r="A22" s="3928"/>
      <c r="B22" s="3926"/>
      <c r="C22" s="3264" t="s">
        <v>2466</v>
      </c>
      <c r="D22" s="3265"/>
      <c r="E22" s="3266">
        <v>0.9</v>
      </c>
      <c r="F22" s="3263" t="s">
        <v>2467</v>
      </c>
      <c r="G22" s="1035"/>
      <c r="H22" s="1025"/>
      <c r="I22" s="1025"/>
    </row>
    <row r="23" spans="1:13" s="1408" customFormat="1">
      <c r="A23" s="3928"/>
      <c r="B23" s="3926"/>
      <c r="C23" s="3264" t="s">
        <v>2468</v>
      </c>
      <c r="D23" s="3265"/>
      <c r="E23" s="3266">
        <v>0.9</v>
      </c>
      <c r="F23" s="3263" t="s">
        <v>2469</v>
      </c>
      <c r="G23" s="1035"/>
      <c r="H23" s="1025"/>
      <c r="I23" s="1025"/>
    </row>
    <row r="24" spans="1:13" s="1408" customFormat="1">
      <c r="A24" s="3928"/>
      <c r="B24" s="3926"/>
      <c r="C24" s="3264" t="s">
        <v>2470</v>
      </c>
      <c r="D24" s="3265"/>
      <c r="E24" s="3266">
        <v>0.8</v>
      </c>
      <c r="F24" s="3263" t="s">
        <v>2471</v>
      </c>
      <c r="G24" s="1035"/>
      <c r="H24" s="1025"/>
      <c r="I24" s="1025"/>
    </row>
    <row r="25" spans="1:13" s="1408" customFormat="1" ht="15" thickBot="1">
      <c r="A25" s="3929"/>
      <c r="B25" s="3931"/>
      <c r="C25" s="3267" t="s">
        <v>2472</v>
      </c>
      <c r="D25" s="3268"/>
      <c r="E25" s="3269">
        <v>0.8</v>
      </c>
      <c r="F25" s="3263" t="s">
        <v>2473</v>
      </c>
      <c r="G25" s="1035"/>
      <c r="H25" s="1025"/>
      <c r="I25" s="1025"/>
    </row>
    <row r="26" spans="1:13" s="1408" customFormat="1" ht="15" thickBot="1">
      <c r="A26" s="3270" t="s">
        <v>2452</v>
      </c>
      <c r="B26" s="3271" t="s">
        <v>2461</v>
      </c>
      <c r="C26" s="3272" t="s">
        <v>2474</v>
      </c>
      <c r="D26" s="3273"/>
      <c r="E26" s="3274">
        <v>1</v>
      </c>
      <c r="F26" s="3263" t="s">
        <v>2475</v>
      </c>
      <c r="G26" s="1035"/>
      <c r="H26" s="1025"/>
      <c r="I26" s="1025"/>
    </row>
    <row r="27" spans="1:13" s="1408" customFormat="1">
      <c r="A27" s="3932" t="s">
        <v>2456</v>
      </c>
      <c r="B27" s="3930" t="s">
        <v>2456</v>
      </c>
      <c r="C27" s="3260" t="s">
        <v>2476</v>
      </c>
      <c r="D27" s="3261"/>
      <c r="E27" s="3262">
        <v>1</v>
      </c>
      <c r="F27" s="3263" t="s">
        <v>2477</v>
      </c>
      <c r="G27" s="1035"/>
      <c r="H27" s="1025"/>
      <c r="I27" s="1025"/>
    </row>
    <row r="28" spans="1:13" s="1408" customFormat="1">
      <c r="A28" s="3933"/>
      <c r="B28" s="3926"/>
      <c r="C28" s="3264" t="s">
        <v>2478</v>
      </c>
      <c r="D28" s="3265"/>
      <c r="E28" s="3266">
        <v>1</v>
      </c>
      <c r="F28" s="3263" t="s">
        <v>2479</v>
      </c>
      <c r="G28" s="1035"/>
      <c r="H28" s="1025"/>
      <c r="I28" s="1025"/>
    </row>
    <row r="29" spans="1:13" s="1408" customFormat="1">
      <c r="A29" s="3933"/>
      <c r="B29" s="3926"/>
      <c r="C29" s="3264" t="s">
        <v>2480</v>
      </c>
      <c r="D29" s="3265"/>
      <c r="E29" s="3266">
        <v>0.8</v>
      </c>
      <c r="F29" s="3263" t="s">
        <v>2481</v>
      </c>
      <c r="G29" s="1035"/>
      <c r="H29" s="1025"/>
      <c r="I29" s="1025"/>
    </row>
    <row r="30" spans="1:13" s="1408" customFormat="1">
      <c r="A30" s="3933"/>
      <c r="B30" s="3926"/>
      <c r="C30" s="3264" t="s">
        <v>2482</v>
      </c>
      <c r="D30" s="3265"/>
      <c r="E30" s="3266">
        <v>0.8</v>
      </c>
      <c r="F30" s="3263" t="s">
        <v>2483</v>
      </c>
      <c r="G30" s="1035"/>
      <c r="H30" s="1025"/>
      <c r="I30" s="1025"/>
    </row>
    <row r="31" spans="1:13" s="1408" customFormat="1">
      <c r="A31" s="3933"/>
      <c r="B31" s="3926"/>
      <c r="C31" s="3264" t="s">
        <v>2484</v>
      </c>
      <c r="D31" s="3265"/>
      <c r="E31" s="3266">
        <v>0.8</v>
      </c>
      <c r="F31" s="3263" t="s">
        <v>2485</v>
      </c>
      <c r="G31" s="1035"/>
      <c r="H31" s="1025"/>
      <c r="I31" s="1025"/>
    </row>
    <row r="32" spans="1:13" s="1408" customFormat="1">
      <c r="A32" s="3933"/>
      <c r="B32" s="3926"/>
      <c r="C32" s="3264" t="s">
        <v>2486</v>
      </c>
      <c r="D32" s="3265"/>
      <c r="E32" s="3266">
        <v>0.7</v>
      </c>
      <c r="F32" s="3263" t="s">
        <v>2487</v>
      </c>
      <c r="G32" s="1035"/>
      <c r="H32" s="1025"/>
      <c r="I32" s="1025"/>
    </row>
    <row r="33" spans="1:9" s="1408" customFormat="1">
      <c r="A33" s="3933"/>
      <c r="B33" s="3926"/>
      <c r="C33" s="3264" t="s">
        <v>2488</v>
      </c>
      <c r="D33" s="3265"/>
      <c r="E33" s="3266">
        <v>0.8</v>
      </c>
      <c r="F33" s="3263" t="s">
        <v>2489</v>
      </c>
      <c r="G33" s="1035"/>
      <c r="H33" s="1025"/>
      <c r="I33" s="1025"/>
    </row>
    <row r="34" spans="1:9" s="1408" customFormat="1">
      <c r="A34" s="3933"/>
      <c r="B34" s="3926"/>
      <c r="C34" s="3264" t="s">
        <v>2490</v>
      </c>
      <c r="D34" s="3265"/>
      <c r="E34" s="3266">
        <v>0.6</v>
      </c>
      <c r="F34" s="3263" t="s">
        <v>2491</v>
      </c>
      <c r="G34" s="1035"/>
      <c r="H34" s="1025"/>
      <c r="I34" s="1025"/>
    </row>
    <row r="35" spans="1:9" s="1408" customFormat="1">
      <c r="A35" s="3933"/>
      <c r="B35" s="3926"/>
      <c r="C35" s="3264" t="s">
        <v>2492</v>
      </c>
      <c r="D35" s="3265"/>
      <c r="E35" s="3266">
        <v>0.2</v>
      </c>
      <c r="F35" s="3263" t="s">
        <v>2493</v>
      </c>
      <c r="G35" s="1035"/>
      <c r="H35" s="1025"/>
      <c r="I35" s="1025"/>
    </row>
    <row r="36" spans="1:9" s="1408" customFormat="1">
      <c r="A36" s="3933"/>
      <c r="B36" s="3926"/>
      <c r="C36" s="3264" t="s">
        <v>2494</v>
      </c>
      <c r="D36" s="3265"/>
      <c r="E36" s="3266">
        <v>0.2</v>
      </c>
      <c r="F36" s="3263" t="s">
        <v>2495</v>
      </c>
      <c r="G36" s="1035"/>
      <c r="H36" s="1025"/>
      <c r="I36" s="1025"/>
    </row>
    <row r="37" spans="1:9" s="1408" customFormat="1">
      <c r="A37" s="3933"/>
      <c r="B37" s="3924" t="s">
        <v>2496</v>
      </c>
      <c r="C37" s="3264" t="s">
        <v>2497</v>
      </c>
      <c r="D37" s="3265"/>
      <c r="E37" s="3266">
        <v>0.6</v>
      </c>
      <c r="F37" s="3263" t="s">
        <v>2498</v>
      </c>
      <c r="G37" s="1035"/>
      <c r="H37" s="1025"/>
      <c r="I37" s="1025"/>
    </row>
    <row r="38" spans="1:9" s="1408" customFormat="1">
      <c r="A38" s="3933"/>
      <c r="B38" s="3926"/>
      <c r="C38" s="3264" t="s">
        <v>2499</v>
      </c>
      <c r="D38" s="3265"/>
      <c r="E38" s="3266">
        <v>0.6</v>
      </c>
      <c r="F38" s="3263" t="s">
        <v>2500</v>
      </c>
      <c r="G38" s="1035"/>
      <c r="H38" s="1025"/>
      <c r="I38" s="1025"/>
    </row>
    <row r="39" spans="1:9" s="1408" customFormat="1" ht="15" thickBot="1">
      <c r="A39" s="3934"/>
      <c r="B39" s="3931"/>
      <c r="C39" s="3267" t="s">
        <v>2501</v>
      </c>
      <c r="D39" s="3268"/>
      <c r="E39" s="3269">
        <v>0.6</v>
      </c>
      <c r="F39" s="3263" t="s">
        <v>2502</v>
      </c>
      <c r="G39" s="1035"/>
      <c r="H39" s="1025"/>
      <c r="I39" s="1025"/>
    </row>
    <row r="40" spans="1:9" s="1408" customFormat="1" ht="15" thickBot="1">
      <c r="A40" s="3270" t="s">
        <v>2453</v>
      </c>
      <c r="B40" s="3271" t="s">
        <v>2453</v>
      </c>
      <c r="C40" s="3272" t="s">
        <v>2503</v>
      </c>
      <c r="D40" s="3273"/>
      <c r="E40" s="3274">
        <v>1</v>
      </c>
      <c r="F40" s="3263" t="s">
        <v>2504</v>
      </c>
      <c r="G40" s="1035"/>
      <c r="H40" s="1025"/>
      <c r="I40" s="1025"/>
    </row>
    <row r="41" spans="1:9" s="1408" customFormat="1">
      <c r="A41" s="3927" t="s">
        <v>2454</v>
      </c>
      <c r="B41" s="3930" t="s">
        <v>2505</v>
      </c>
      <c r="C41" s="3260" t="s">
        <v>2506</v>
      </c>
      <c r="D41" s="3261"/>
      <c r="E41" s="3262">
        <v>1</v>
      </c>
      <c r="F41" s="3263" t="s">
        <v>2507</v>
      </c>
      <c r="G41" s="1035"/>
      <c r="H41" s="1025"/>
      <c r="I41" s="1025"/>
    </row>
    <row r="42" spans="1:9" s="1408" customFormat="1">
      <c r="A42" s="3928"/>
      <c r="B42" s="3926"/>
      <c r="C42" s="3264" t="s">
        <v>2508</v>
      </c>
      <c r="D42" s="3265"/>
      <c r="E42" s="3266">
        <v>1</v>
      </c>
      <c r="F42" s="3263" t="s">
        <v>2509</v>
      </c>
      <c r="G42" s="1035"/>
      <c r="H42" s="1025"/>
      <c r="I42" s="1025"/>
    </row>
    <row r="43" spans="1:9" s="1408" customFormat="1">
      <c r="A43" s="3928"/>
      <c r="B43" s="3925"/>
      <c r="C43" s="3264" t="s">
        <v>2510</v>
      </c>
      <c r="D43" s="3265"/>
      <c r="E43" s="3266">
        <v>1.5</v>
      </c>
      <c r="F43" s="3263" t="s">
        <v>2511</v>
      </c>
      <c r="G43" s="1035"/>
      <c r="H43" s="1025"/>
      <c r="I43" s="1025"/>
    </row>
    <row r="44" spans="1:9" s="1408" customFormat="1">
      <c r="A44" s="3928"/>
      <c r="B44" s="3275" t="s">
        <v>2456</v>
      </c>
      <c r="C44" s="3264" t="s">
        <v>2455</v>
      </c>
      <c r="D44" s="3265"/>
      <c r="E44" s="3266">
        <v>2</v>
      </c>
      <c r="F44" s="3263" t="s">
        <v>2512</v>
      </c>
      <c r="G44" s="1035"/>
      <c r="H44" s="1025"/>
      <c r="I44" s="1025"/>
    </row>
    <row r="45" spans="1:9" s="1408" customFormat="1">
      <c r="A45" s="3928"/>
      <c r="B45" s="3924" t="s">
        <v>2513</v>
      </c>
      <c r="C45" s="3264" t="s">
        <v>2514</v>
      </c>
      <c r="D45" s="3265"/>
      <c r="E45" s="3266">
        <v>1</v>
      </c>
      <c r="F45" s="3263" t="s">
        <v>2515</v>
      </c>
      <c r="G45" s="1035"/>
      <c r="H45" s="1025"/>
      <c r="I45" s="1025"/>
    </row>
    <row r="46" spans="1:9" s="1408" customFormat="1">
      <c r="A46" s="3928"/>
      <c r="B46" s="3926"/>
      <c r="C46" s="3264" t="s">
        <v>2516</v>
      </c>
      <c r="D46" s="3265"/>
      <c r="E46" s="3266">
        <v>1</v>
      </c>
      <c r="F46" s="3263" t="s">
        <v>2517</v>
      </c>
      <c r="G46" s="1035"/>
      <c r="H46" s="1025"/>
      <c r="I46" s="1025"/>
    </row>
    <row r="47" spans="1:9" s="1408" customFormat="1">
      <c r="A47" s="3928"/>
      <c r="B47" s="3926"/>
      <c r="C47" s="3264" t="s">
        <v>2518</v>
      </c>
      <c r="D47" s="3265"/>
      <c r="E47" s="3266">
        <v>1</v>
      </c>
      <c r="F47" s="3263" t="s">
        <v>2519</v>
      </c>
      <c r="G47" s="1035"/>
      <c r="H47" s="1025"/>
      <c r="I47" s="1025"/>
    </row>
    <row r="48" spans="1:9" s="1408" customFormat="1">
      <c r="A48" s="3928"/>
      <c r="B48" s="3926"/>
      <c r="C48" s="3264" t="s">
        <v>2520</v>
      </c>
      <c r="D48" s="3265"/>
      <c r="E48" s="3266">
        <v>1</v>
      </c>
      <c r="F48" s="3263" t="s">
        <v>2521</v>
      </c>
      <c r="G48" s="1035"/>
      <c r="H48" s="1025"/>
      <c r="I48" s="1025"/>
    </row>
    <row r="49" spans="1:9" s="1408" customFormat="1">
      <c r="A49" s="3928"/>
      <c r="B49" s="3926"/>
      <c r="C49" s="3264" t="s">
        <v>2522</v>
      </c>
      <c r="D49" s="3265"/>
      <c r="E49" s="3266">
        <v>1</v>
      </c>
      <c r="F49" s="3263" t="s">
        <v>2523</v>
      </c>
      <c r="G49" s="1035"/>
      <c r="H49" s="1025"/>
      <c r="I49" s="1025"/>
    </row>
    <row r="50" spans="1:9" s="1408" customFormat="1">
      <c r="A50" s="3928"/>
      <c r="B50" s="3926"/>
      <c r="C50" s="3264" t="s">
        <v>2524</v>
      </c>
      <c r="D50" s="3265"/>
      <c r="E50" s="3266">
        <v>1</v>
      </c>
      <c r="F50" s="3263" t="s">
        <v>2525</v>
      </c>
      <c r="G50" s="1035"/>
      <c r="H50" s="1025"/>
      <c r="I50" s="1025"/>
    </row>
    <row r="51" spans="1:9" s="1408" customFormat="1" ht="15" thickBot="1">
      <c r="A51" s="3929"/>
      <c r="B51" s="3931"/>
      <c r="C51" s="3267" t="s">
        <v>2526</v>
      </c>
      <c r="D51" s="3268"/>
      <c r="E51" s="3269">
        <v>1</v>
      </c>
      <c r="F51" s="3263" t="s">
        <v>2527</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2776</v>
      </c>
      <c r="F56" s="1032" t="s">
        <v>2776</v>
      </c>
      <c r="G56" s="1032" t="s">
        <v>2776</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2528</v>
      </c>
      <c r="D72" s="1053"/>
      <c r="E72" s="1040" t="s">
        <v>1159</v>
      </c>
      <c r="F72" s="1053" t="s">
        <v>1159</v>
      </c>
    </row>
    <row r="73" spans="1:8" s="1025" customFormat="1" ht="24">
      <c r="A73" s="3275">
        <v>1</v>
      </c>
      <c r="B73" s="3924" t="s">
        <v>2529</v>
      </c>
      <c r="C73" s="3253" t="s">
        <v>2530</v>
      </c>
      <c r="D73" s="3253" t="s">
        <v>2531</v>
      </c>
      <c r="E73" s="3276">
        <v>0.2</v>
      </c>
      <c r="F73" s="3275">
        <v>25</v>
      </c>
      <c r="H73" s="1025">
        <f>SUMIF(C71:C139,基准地价!C8,E71:E139)</f>
        <v>0</v>
      </c>
    </row>
    <row r="74" spans="1:8" s="1025" customFormat="1" ht="36">
      <c r="A74" s="3275">
        <v>2</v>
      </c>
      <c r="B74" s="3926"/>
      <c r="C74" s="3253" t="s">
        <v>2532</v>
      </c>
      <c r="D74" s="3253" t="s">
        <v>2533</v>
      </c>
      <c r="E74" s="3276">
        <v>0.2</v>
      </c>
      <c r="F74" s="3275">
        <v>25</v>
      </c>
    </row>
    <row r="75" spans="1:8" s="1025" customFormat="1" ht="24">
      <c r="A75" s="3275">
        <v>3</v>
      </c>
      <c r="B75" s="3926"/>
      <c r="C75" s="3253" t="s">
        <v>2534</v>
      </c>
      <c r="D75" s="3253" t="s">
        <v>2535</v>
      </c>
      <c r="E75" s="3276">
        <v>0.2</v>
      </c>
      <c r="F75" s="3275">
        <v>25</v>
      </c>
    </row>
    <row r="76" spans="1:8" s="1025" customFormat="1" ht="24">
      <c r="A76" s="3275">
        <v>4</v>
      </c>
      <c r="B76" s="3926"/>
      <c r="C76" s="3253" t="s">
        <v>2536</v>
      </c>
      <c r="D76" s="3253" t="s">
        <v>2537</v>
      </c>
      <c r="E76" s="3276">
        <v>0.15</v>
      </c>
      <c r="F76" s="3275">
        <v>20</v>
      </c>
    </row>
    <row r="77" spans="1:8" s="1025" customFormat="1" ht="24">
      <c r="A77" s="3275">
        <v>5</v>
      </c>
      <c r="B77" s="3926"/>
      <c r="C77" s="3253" t="s">
        <v>2538</v>
      </c>
      <c r="D77" s="3253" t="s">
        <v>2539</v>
      </c>
      <c r="E77" s="3276">
        <v>0.15</v>
      </c>
      <c r="F77" s="3275">
        <v>20</v>
      </c>
    </row>
    <row r="78" spans="1:8" s="1025" customFormat="1" ht="24">
      <c r="A78" s="3275">
        <v>6</v>
      </c>
      <c r="B78" s="3926"/>
      <c r="C78" s="3253" t="s">
        <v>2540</v>
      </c>
      <c r="D78" s="3253" t="s">
        <v>2541</v>
      </c>
      <c r="E78" s="3276">
        <v>0.15</v>
      </c>
      <c r="F78" s="3275">
        <v>20</v>
      </c>
    </row>
    <row r="79" spans="1:8" s="1025" customFormat="1" ht="36">
      <c r="A79" s="3275">
        <v>7</v>
      </c>
      <c r="B79" s="3926"/>
      <c r="C79" s="3253" t="s">
        <v>2542</v>
      </c>
      <c r="D79" s="3253" t="s">
        <v>2543</v>
      </c>
      <c r="E79" s="3276">
        <v>0.15</v>
      </c>
      <c r="F79" s="3275">
        <v>20</v>
      </c>
    </row>
    <row r="80" spans="1:8" s="1025" customFormat="1" ht="24">
      <c r="A80" s="3275">
        <v>8</v>
      </c>
      <c r="B80" s="3926"/>
      <c r="C80" s="3253" t="s">
        <v>2544</v>
      </c>
      <c r="D80" s="3253" t="s">
        <v>2545</v>
      </c>
      <c r="E80" s="3276">
        <v>0.1</v>
      </c>
      <c r="F80" s="3275">
        <v>15</v>
      </c>
    </row>
    <row r="81" spans="1:6" s="1025" customFormat="1" ht="24">
      <c r="A81" s="3275">
        <v>9</v>
      </c>
      <c r="B81" s="3926"/>
      <c r="C81" s="3253" t="s">
        <v>2546</v>
      </c>
      <c r="D81" s="3253" t="s">
        <v>2547</v>
      </c>
      <c r="E81" s="3276">
        <v>0.1</v>
      </c>
      <c r="F81" s="3275">
        <v>15</v>
      </c>
    </row>
    <row r="82" spans="1:6" s="1025" customFormat="1" ht="24">
      <c r="A82" s="3275">
        <v>10</v>
      </c>
      <c r="B82" s="3926"/>
      <c r="C82" s="3253" t="s">
        <v>2548</v>
      </c>
      <c r="D82" s="3253" t="s">
        <v>2549</v>
      </c>
      <c r="E82" s="3276">
        <v>0.1</v>
      </c>
      <c r="F82" s="3275">
        <v>15</v>
      </c>
    </row>
    <row r="83" spans="1:6" s="1025" customFormat="1" ht="36">
      <c r="A83" s="3275">
        <v>11</v>
      </c>
      <c r="B83" s="3926"/>
      <c r="C83" s="3253" t="s">
        <v>2550</v>
      </c>
      <c r="D83" s="3253" t="s">
        <v>2551</v>
      </c>
      <c r="E83" s="3276">
        <v>0.1</v>
      </c>
      <c r="F83" s="3275">
        <v>15</v>
      </c>
    </row>
    <row r="84" spans="1:6" s="1025" customFormat="1" ht="36">
      <c r="A84" s="3275">
        <v>12</v>
      </c>
      <c r="B84" s="3926"/>
      <c r="C84" s="3253" t="s">
        <v>2552</v>
      </c>
      <c r="D84" s="3253" t="s">
        <v>2553</v>
      </c>
      <c r="E84" s="3276">
        <v>0.1</v>
      </c>
      <c r="F84" s="3275">
        <v>15</v>
      </c>
    </row>
    <row r="85" spans="1:6" s="1025" customFormat="1" ht="24">
      <c r="A85" s="3275">
        <v>13</v>
      </c>
      <c r="B85" s="3926"/>
      <c r="C85" s="3253" t="s">
        <v>2554</v>
      </c>
      <c r="D85" s="3253" t="s">
        <v>2555</v>
      </c>
      <c r="E85" s="3276">
        <v>0.1</v>
      </c>
      <c r="F85" s="3275">
        <v>15</v>
      </c>
    </row>
    <row r="86" spans="1:6" s="1025" customFormat="1" ht="24">
      <c r="A86" s="3275">
        <v>14</v>
      </c>
      <c r="B86" s="3926"/>
      <c r="C86" s="3253" t="s">
        <v>2556</v>
      </c>
      <c r="D86" s="3253" t="s">
        <v>2557</v>
      </c>
      <c r="E86" s="3276">
        <v>0.1</v>
      </c>
      <c r="F86" s="3275">
        <v>15</v>
      </c>
    </row>
    <row r="87" spans="1:6" s="1025" customFormat="1" ht="24">
      <c r="A87" s="3275">
        <v>15</v>
      </c>
      <c r="B87" s="3926"/>
      <c r="C87" s="3253" t="s">
        <v>2558</v>
      </c>
      <c r="D87" s="3253" t="s">
        <v>2559</v>
      </c>
      <c r="E87" s="3276">
        <v>0.1</v>
      </c>
      <c r="F87" s="3275">
        <v>15</v>
      </c>
    </row>
    <row r="88" spans="1:6" s="1025" customFormat="1" ht="24">
      <c r="A88" s="3275">
        <v>16</v>
      </c>
      <c r="B88" s="3926"/>
      <c r="C88" s="3253" t="s">
        <v>2560</v>
      </c>
      <c r="D88" s="3253" t="s">
        <v>2561</v>
      </c>
      <c r="E88" s="3276">
        <v>0.1</v>
      </c>
      <c r="F88" s="3275">
        <v>15</v>
      </c>
    </row>
    <row r="89" spans="1:6" s="1025" customFormat="1" ht="36">
      <c r="A89" s="3275">
        <v>17</v>
      </c>
      <c r="B89" s="3925"/>
      <c r="C89" s="3253" t="s">
        <v>2562</v>
      </c>
      <c r="D89" s="3253" t="s">
        <v>2563</v>
      </c>
      <c r="E89" s="3276">
        <v>0.1</v>
      </c>
      <c r="F89" s="3275">
        <v>15</v>
      </c>
    </row>
    <row r="90" spans="1:6" s="1025" customFormat="1" ht="24">
      <c r="A90" s="3275">
        <v>18</v>
      </c>
      <c r="B90" s="3924" t="s">
        <v>2564</v>
      </c>
      <c r="C90" s="3253" t="s">
        <v>2565</v>
      </c>
      <c r="D90" s="3253" t="s">
        <v>2566</v>
      </c>
      <c r="E90" s="3276">
        <v>0.2</v>
      </c>
      <c r="F90" s="3275">
        <v>25</v>
      </c>
    </row>
    <row r="91" spans="1:6" s="1025" customFormat="1" ht="36">
      <c r="A91" s="3275">
        <v>19</v>
      </c>
      <c r="B91" s="3926"/>
      <c r="C91" s="3253" t="s">
        <v>2567</v>
      </c>
      <c r="D91" s="3253" t="s">
        <v>2568</v>
      </c>
      <c r="E91" s="3276">
        <v>0.2</v>
      </c>
      <c r="F91" s="3275">
        <v>25</v>
      </c>
    </row>
    <row r="92" spans="1:6" s="1025" customFormat="1" ht="24">
      <c r="A92" s="3275">
        <v>20</v>
      </c>
      <c r="B92" s="3926"/>
      <c r="C92" s="3253" t="s">
        <v>2569</v>
      </c>
      <c r="D92" s="3253" t="s">
        <v>2570</v>
      </c>
      <c r="E92" s="3276">
        <v>0.15</v>
      </c>
      <c r="F92" s="3275">
        <v>20</v>
      </c>
    </row>
    <row r="93" spans="1:6" s="1025" customFormat="1" ht="24">
      <c r="A93" s="3275">
        <v>21</v>
      </c>
      <c r="B93" s="3926"/>
      <c r="C93" s="3253" t="s">
        <v>2571</v>
      </c>
      <c r="D93" s="3253" t="s">
        <v>2572</v>
      </c>
      <c r="E93" s="3276">
        <v>0.15</v>
      </c>
      <c r="F93" s="3275">
        <v>20</v>
      </c>
    </row>
    <row r="94" spans="1:6" s="1025" customFormat="1" ht="24">
      <c r="A94" s="3275">
        <v>22</v>
      </c>
      <c r="B94" s="3926"/>
      <c r="C94" s="3253" t="s">
        <v>2573</v>
      </c>
      <c r="D94" s="3253" t="s">
        <v>2574</v>
      </c>
      <c r="E94" s="3276">
        <v>0.15</v>
      </c>
      <c r="F94" s="3275">
        <v>20</v>
      </c>
    </row>
    <row r="95" spans="1:6" s="1025" customFormat="1" ht="48">
      <c r="A95" s="3275">
        <v>23</v>
      </c>
      <c r="B95" s="3926"/>
      <c r="C95" s="3253" t="s">
        <v>2575</v>
      </c>
      <c r="D95" s="3253" t="s">
        <v>2576</v>
      </c>
      <c r="E95" s="3276">
        <v>0.15</v>
      </c>
      <c r="F95" s="3275">
        <v>20</v>
      </c>
    </row>
    <row r="96" spans="1:6" s="1025" customFormat="1" ht="24">
      <c r="A96" s="3275">
        <v>24</v>
      </c>
      <c r="B96" s="3926"/>
      <c r="C96" s="3253" t="s">
        <v>2577</v>
      </c>
      <c r="D96" s="3253" t="s">
        <v>2578</v>
      </c>
      <c r="E96" s="3276">
        <v>0.1</v>
      </c>
      <c r="F96" s="3275">
        <v>15</v>
      </c>
    </row>
    <row r="97" spans="1:6" s="1025" customFormat="1" ht="24">
      <c r="A97" s="3275">
        <v>25</v>
      </c>
      <c r="B97" s="3926"/>
      <c r="C97" s="3253" t="s">
        <v>2579</v>
      </c>
      <c r="D97" s="3253" t="s">
        <v>2580</v>
      </c>
      <c r="E97" s="3276">
        <v>0.1</v>
      </c>
      <c r="F97" s="3275">
        <v>15</v>
      </c>
    </row>
    <row r="98" spans="1:6" s="1025" customFormat="1" ht="36">
      <c r="A98" s="3275">
        <v>26</v>
      </c>
      <c r="B98" s="3926"/>
      <c r="C98" s="3253" t="s">
        <v>2581</v>
      </c>
      <c r="D98" s="3253" t="s">
        <v>2582</v>
      </c>
      <c r="E98" s="3276">
        <v>0.1</v>
      </c>
      <c r="F98" s="3275">
        <v>15</v>
      </c>
    </row>
    <row r="99" spans="1:6" s="1025" customFormat="1" ht="24">
      <c r="A99" s="3275">
        <v>27</v>
      </c>
      <c r="B99" s="3926"/>
      <c r="C99" s="3253" t="s">
        <v>2583</v>
      </c>
      <c r="D99" s="3253" t="s">
        <v>2584</v>
      </c>
      <c r="E99" s="3276">
        <v>0.1</v>
      </c>
      <c r="F99" s="3275">
        <v>15</v>
      </c>
    </row>
    <row r="100" spans="1:6" s="1025" customFormat="1" ht="24">
      <c r="A100" s="3275">
        <v>28</v>
      </c>
      <c r="B100" s="3926"/>
      <c r="C100" s="3253" t="s">
        <v>2585</v>
      </c>
      <c r="D100" s="3253" t="s">
        <v>2586</v>
      </c>
      <c r="E100" s="3276">
        <v>0.1</v>
      </c>
      <c r="F100" s="3275">
        <v>15</v>
      </c>
    </row>
    <row r="101" spans="1:6" s="1025" customFormat="1" ht="24">
      <c r="A101" s="3275">
        <v>29</v>
      </c>
      <c r="B101" s="3926"/>
      <c r="C101" s="3253" t="s">
        <v>2587</v>
      </c>
      <c r="D101" s="3253" t="s">
        <v>2588</v>
      </c>
      <c r="E101" s="3276">
        <v>0.1</v>
      </c>
      <c r="F101" s="3275">
        <v>15</v>
      </c>
    </row>
    <row r="102" spans="1:6" s="1025" customFormat="1" ht="24">
      <c r="A102" s="3275">
        <v>30</v>
      </c>
      <c r="B102" s="3926"/>
      <c r="C102" s="3253" t="s">
        <v>2589</v>
      </c>
      <c r="D102" s="3253" t="s">
        <v>2590</v>
      </c>
      <c r="E102" s="3276">
        <v>0.1</v>
      </c>
      <c r="F102" s="3275">
        <v>15</v>
      </c>
    </row>
    <row r="103" spans="1:6" s="1025" customFormat="1" ht="24">
      <c r="A103" s="3275">
        <v>31</v>
      </c>
      <c r="B103" s="3926"/>
      <c r="C103" s="3253" t="s">
        <v>2591</v>
      </c>
      <c r="D103" s="3253" t="s">
        <v>2592</v>
      </c>
      <c r="E103" s="3276">
        <v>0.1</v>
      </c>
      <c r="F103" s="3275">
        <v>15</v>
      </c>
    </row>
    <row r="104" spans="1:6" s="1025" customFormat="1" ht="36">
      <c r="A104" s="3275">
        <v>32</v>
      </c>
      <c r="B104" s="3926"/>
      <c r="C104" s="3253" t="s">
        <v>2593</v>
      </c>
      <c r="D104" s="3253" t="s">
        <v>2594</v>
      </c>
      <c r="E104" s="3276">
        <v>0.1</v>
      </c>
      <c r="F104" s="3275">
        <v>15</v>
      </c>
    </row>
    <row r="105" spans="1:6" s="1025" customFormat="1" ht="36">
      <c r="A105" s="3275">
        <v>33</v>
      </c>
      <c r="B105" s="3926"/>
      <c r="C105" s="3253" t="s">
        <v>2595</v>
      </c>
      <c r="D105" s="3253" t="s">
        <v>2596</v>
      </c>
      <c r="E105" s="3276">
        <v>0.1</v>
      </c>
      <c r="F105" s="3275">
        <v>15</v>
      </c>
    </row>
    <row r="106" spans="1:6" s="1025" customFormat="1" ht="24">
      <c r="A106" s="3275">
        <v>34</v>
      </c>
      <c r="B106" s="3925"/>
      <c r="C106" s="3253" t="s">
        <v>2597</v>
      </c>
      <c r="D106" s="3253" t="s">
        <v>2598</v>
      </c>
      <c r="E106" s="3276">
        <v>0.1</v>
      </c>
      <c r="F106" s="3275">
        <v>15</v>
      </c>
    </row>
    <row r="107" spans="1:6" s="1025" customFormat="1" ht="36">
      <c r="A107" s="3275">
        <v>35</v>
      </c>
      <c r="B107" s="3924" t="s">
        <v>2599</v>
      </c>
      <c r="C107" s="3275" t="s">
        <v>2600</v>
      </c>
      <c r="D107" s="3253" t="s">
        <v>2601</v>
      </c>
      <c r="E107" s="3276">
        <v>0.15</v>
      </c>
      <c r="F107" s="3275">
        <v>20</v>
      </c>
    </row>
    <row r="108" spans="1:6" s="1025" customFormat="1" ht="24">
      <c r="A108" s="3275">
        <v>36</v>
      </c>
      <c r="B108" s="3926"/>
      <c r="C108" s="3275" t="s">
        <v>2602</v>
      </c>
      <c r="D108" s="3253" t="s">
        <v>2603</v>
      </c>
      <c r="E108" s="3276">
        <v>0.15</v>
      </c>
      <c r="F108" s="3275">
        <v>20</v>
      </c>
    </row>
    <row r="109" spans="1:6" s="1025" customFormat="1" ht="24">
      <c r="A109" s="3275">
        <v>37</v>
      </c>
      <c r="B109" s="3926"/>
      <c r="C109" s="3275" t="s">
        <v>2604</v>
      </c>
      <c r="D109" s="3253" t="s">
        <v>2605</v>
      </c>
      <c r="E109" s="3276">
        <v>0.15</v>
      </c>
      <c r="F109" s="3275">
        <v>20</v>
      </c>
    </row>
    <row r="110" spans="1:6" s="1025" customFormat="1" ht="24">
      <c r="A110" s="3275">
        <v>38</v>
      </c>
      <c r="B110" s="3926"/>
      <c r="C110" s="3275" t="s">
        <v>2606</v>
      </c>
      <c r="D110" s="3253" t="s">
        <v>2607</v>
      </c>
      <c r="E110" s="3276">
        <v>0.1</v>
      </c>
      <c r="F110" s="3275">
        <v>15</v>
      </c>
    </row>
    <row r="111" spans="1:6" s="1025" customFormat="1" ht="24">
      <c r="A111" s="3275">
        <v>39</v>
      </c>
      <c r="B111" s="3926"/>
      <c r="C111" s="3275" t="s">
        <v>2608</v>
      </c>
      <c r="D111" s="3253" t="s">
        <v>2609</v>
      </c>
      <c r="E111" s="3276">
        <v>0.1</v>
      </c>
      <c r="F111" s="3275">
        <v>15</v>
      </c>
    </row>
    <row r="112" spans="1:6" s="1025" customFormat="1" ht="24">
      <c r="A112" s="3275">
        <v>40</v>
      </c>
      <c r="B112" s="3925"/>
      <c r="C112" s="3275" t="s">
        <v>2610</v>
      </c>
      <c r="D112" s="3253" t="s">
        <v>2611</v>
      </c>
      <c r="E112" s="3276">
        <v>0.1</v>
      </c>
      <c r="F112" s="3275">
        <v>15</v>
      </c>
    </row>
    <row r="113" spans="1:6" s="1025" customFormat="1" ht="24">
      <c r="A113" s="3275">
        <v>41</v>
      </c>
      <c r="B113" s="3923" t="s">
        <v>2612</v>
      </c>
      <c r="C113" s="3275" t="s">
        <v>2613</v>
      </c>
      <c r="D113" s="3253" t="s">
        <v>2614</v>
      </c>
      <c r="E113" s="3276">
        <v>0.1</v>
      </c>
      <c r="F113" s="3275">
        <v>15</v>
      </c>
    </row>
    <row r="114" spans="1:6" s="1025" customFormat="1" ht="24">
      <c r="A114" s="3275">
        <v>42</v>
      </c>
      <c r="B114" s="3923"/>
      <c r="C114" s="3275" t="s">
        <v>2615</v>
      </c>
      <c r="D114" s="3253" t="s">
        <v>2616</v>
      </c>
      <c r="E114" s="3276">
        <v>0.1</v>
      </c>
      <c r="F114" s="3275">
        <v>15</v>
      </c>
    </row>
    <row r="115" spans="1:6" s="1025" customFormat="1" ht="24">
      <c r="A115" s="3275">
        <v>43</v>
      </c>
      <c r="B115" s="3923"/>
      <c r="C115" s="3275" t="s">
        <v>2617</v>
      </c>
      <c r="D115" s="3253" t="s">
        <v>2618</v>
      </c>
      <c r="E115" s="3276">
        <v>0.1</v>
      </c>
      <c r="F115" s="3275">
        <v>15</v>
      </c>
    </row>
    <row r="116" spans="1:6" s="1025" customFormat="1" ht="24">
      <c r="A116" s="3275">
        <v>44</v>
      </c>
      <c r="B116" s="3924" t="s">
        <v>2619</v>
      </c>
      <c r="C116" s="3275" t="s">
        <v>2620</v>
      </c>
      <c r="D116" s="3253" t="s">
        <v>2621</v>
      </c>
      <c r="E116" s="3276">
        <v>0.1</v>
      </c>
      <c r="F116" s="3275">
        <v>15</v>
      </c>
    </row>
    <row r="117" spans="1:6" s="1025" customFormat="1" ht="24">
      <c r="A117" s="3275">
        <v>45</v>
      </c>
      <c r="B117" s="3925"/>
      <c r="C117" s="3253" t="s">
        <v>2622</v>
      </c>
      <c r="D117" s="3253" t="s">
        <v>2623</v>
      </c>
      <c r="E117" s="3276">
        <v>0.1</v>
      </c>
      <c r="F117" s="3275">
        <v>15</v>
      </c>
    </row>
    <row r="118" spans="1:6" s="1025" customFormat="1" ht="24">
      <c r="A118" s="3275">
        <v>46</v>
      </c>
      <c r="B118" s="3924" t="s">
        <v>2624</v>
      </c>
      <c r="C118" s="3275" t="s">
        <v>2625</v>
      </c>
      <c r="D118" s="3253" t="s">
        <v>2626</v>
      </c>
      <c r="E118" s="3276">
        <v>0.1</v>
      </c>
      <c r="F118" s="3275">
        <v>15</v>
      </c>
    </row>
    <row r="119" spans="1:6" s="1025" customFormat="1" ht="24">
      <c r="A119" s="3275">
        <v>47</v>
      </c>
      <c r="B119" s="3925"/>
      <c r="C119" s="3275" t="s">
        <v>2627</v>
      </c>
      <c r="D119" s="3253" t="s">
        <v>2628</v>
      </c>
      <c r="E119" s="3276">
        <v>0.1</v>
      </c>
      <c r="F119" s="3275">
        <v>15</v>
      </c>
    </row>
    <row r="120" spans="1:6" s="1025" customFormat="1" ht="24">
      <c r="A120" s="3275">
        <v>48</v>
      </c>
      <c r="B120" s="3924" t="s">
        <v>2629</v>
      </c>
      <c r="C120" s="3275" t="s">
        <v>2630</v>
      </c>
      <c r="D120" s="3253" t="s">
        <v>2631</v>
      </c>
      <c r="E120" s="3276">
        <v>0.1</v>
      </c>
      <c r="F120" s="3275">
        <v>15</v>
      </c>
    </row>
    <row r="121" spans="1:6" s="1025" customFormat="1" ht="24">
      <c r="A121" s="3275">
        <v>49</v>
      </c>
      <c r="B121" s="3925"/>
      <c r="C121" s="3275" t="s">
        <v>2632</v>
      </c>
      <c r="D121" s="3253" t="s">
        <v>2633</v>
      </c>
      <c r="E121" s="3276">
        <v>0.1</v>
      </c>
      <c r="F121" s="3275">
        <v>15</v>
      </c>
    </row>
    <row r="122" spans="1:6" s="1025" customFormat="1" ht="24">
      <c r="A122" s="3275">
        <v>50</v>
      </c>
      <c r="B122" s="3923" t="s">
        <v>2634</v>
      </c>
      <c r="C122" s="3275" t="s">
        <v>2635</v>
      </c>
      <c r="D122" s="3253" t="s">
        <v>2636</v>
      </c>
      <c r="E122" s="3276">
        <v>0.1</v>
      </c>
      <c r="F122" s="3275">
        <v>15</v>
      </c>
    </row>
    <row r="123" spans="1:6" s="1025" customFormat="1" ht="24">
      <c r="A123" s="3275">
        <v>51</v>
      </c>
      <c r="B123" s="3923"/>
      <c r="C123" s="3275" t="s">
        <v>2637</v>
      </c>
      <c r="D123" s="3253" t="s">
        <v>2638</v>
      </c>
      <c r="E123" s="3276">
        <v>0.1</v>
      </c>
      <c r="F123" s="3275">
        <v>15</v>
      </c>
    </row>
    <row r="124" spans="1:6" s="1025" customFormat="1" ht="24">
      <c r="A124" s="3275">
        <v>52</v>
      </c>
      <c r="B124" s="3923" t="s">
        <v>2639</v>
      </c>
      <c r="C124" s="3275" t="s">
        <v>2640</v>
      </c>
      <c r="D124" s="3253" t="s">
        <v>2641</v>
      </c>
      <c r="E124" s="3276">
        <v>0.1</v>
      </c>
      <c r="F124" s="3275">
        <v>15</v>
      </c>
    </row>
    <row r="125" spans="1:6" s="1025" customFormat="1" ht="24">
      <c r="A125" s="3275">
        <v>53</v>
      </c>
      <c r="B125" s="3923"/>
      <c r="C125" s="3275" t="s">
        <v>2642</v>
      </c>
      <c r="D125" s="3253" t="s">
        <v>2643</v>
      </c>
      <c r="E125" s="3276">
        <v>0.1</v>
      </c>
      <c r="F125" s="3275">
        <v>15</v>
      </c>
    </row>
    <row r="126" spans="1:6" ht="24">
      <c r="A126" s="3275">
        <v>54</v>
      </c>
      <c r="B126" s="3275" t="s">
        <v>2644</v>
      </c>
      <c r="C126" s="3275" t="s">
        <v>2645</v>
      </c>
      <c r="D126" s="3253" t="s">
        <v>2646</v>
      </c>
      <c r="E126" s="3276">
        <v>0.1</v>
      </c>
      <c r="F126" s="3275">
        <v>15</v>
      </c>
    </row>
    <row r="127" spans="1:6" ht="24">
      <c r="A127" s="3275">
        <v>55</v>
      </c>
      <c r="B127" s="3923" t="s">
        <v>2647</v>
      </c>
      <c r="C127" s="3275" t="s">
        <v>2648</v>
      </c>
      <c r="D127" s="3253" t="s">
        <v>2649</v>
      </c>
      <c r="E127" s="3276">
        <v>0.1</v>
      </c>
      <c r="F127" s="3275">
        <v>15</v>
      </c>
    </row>
    <row r="128" spans="1:6" ht="24">
      <c r="A128" s="3275">
        <v>56</v>
      </c>
      <c r="B128" s="3923"/>
      <c r="C128" s="3275" t="s">
        <v>2650</v>
      </c>
      <c r="D128" s="3253" t="s">
        <v>2651</v>
      </c>
      <c r="E128" s="3276">
        <v>0.1</v>
      </c>
      <c r="F128" s="3275">
        <v>15</v>
      </c>
    </row>
    <row r="129" spans="1:14" ht="24">
      <c r="A129" s="3275">
        <v>57</v>
      </c>
      <c r="B129" s="3923"/>
      <c r="C129" s="3275" t="s">
        <v>2652</v>
      </c>
      <c r="D129" s="3253" t="s">
        <v>2653</v>
      </c>
      <c r="E129" s="3276">
        <v>0.1</v>
      </c>
      <c r="F129" s="3275">
        <v>15</v>
      </c>
    </row>
    <row r="130" spans="1:14" ht="24">
      <c r="A130" s="3275">
        <v>58</v>
      </c>
      <c r="B130" s="3923" t="s">
        <v>2654</v>
      </c>
      <c r="C130" s="3275" t="s">
        <v>2655</v>
      </c>
      <c r="D130" s="3253" t="s">
        <v>2656</v>
      </c>
      <c r="E130" s="3276">
        <v>0.1</v>
      </c>
      <c r="F130" s="3275">
        <v>15</v>
      </c>
    </row>
    <row r="131" spans="1:14" ht="24">
      <c r="A131" s="3275">
        <v>59</v>
      </c>
      <c r="B131" s="3923"/>
      <c r="C131" s="3275" t="s">
        <v>2657</v>
      </c>
      <c r="D131" s="3253" t="s">
        <v>2658</v>
      </c>
      <c r="E131" s="3276">
        <v>0.1</v>
      </c>
      <c r="F131" s="3275">
        <v>15</v>
      </c>
    </row>
    <row r="132" spans="1:14" ht="24">
      <c r="A132" s="3275">
        <v>60</v>
      </c>
      <c r="B132" s="3924" t="s">
        <v>2659</v>
      </c>
      <c r="C132" s="3275" t="s">
        <v>2660</v>
      </c>
      <c r="D132" s="3253" t="s">
        <v>2661</v>
      </c>
      <c r="E132" s="3276">
        <v>0.1</v>
      </c>
      <c r="F132" s="3275">
        <v>15</v>
      </c>
    </row>
    <row r="133" spans="1:14" ht="24">
      <c r="A133" s="3275">
        <v>61</v>
      </c>
      <c r="B133" s="3925"/>
      <c r="C133" s="3275" t="s">
        <v>2662</v>
      </c>
      <c r="D133" s="3253" t="s">
        <v>2663</v>
      </c>
      <c r="E133" s="3276">
        <v>0.1</v>
      </c>
      <c r="F133" s="3275">
        <v>15</v>
      </c>
    </row>
    <row r="134" spans="1:14" ht="24">
      <c r="A134" s="3275">
        <v>62</v>
      </c>
      <c r="B134" s="3275" t="s">
        <v>2664</v>
      </c>
      <c r="C134" s="3275" t="s">
        <v>2665</v>
      </c>
      <c r="D134" s="3253" t="s">
        <v>2666</v>
      </c>
      <c r="E134" s="3276">
        <v>0.1</v>
      </c>
      <c r="F134" s="3275">
        <v>15</v>
      </c>
    </row>
    <row r="135" spans="1:14" ht="24">
      <c r="A135" s="3275">
        <v>63</v>
      </c>
      <c r="B135" s="3923" t="s">
        <v>2667</v>
      </c>
      <c r="C135" s="3275" t="s">
        <v>2668</v>
      </c>
      <c r="D135" s="3253" t="s">
        <v>2669</v>
      </c>
      <c r="E135" s="3276">
        <v>0.1</v>
      </c>
      <c r="F135" s="3275">
        <v>15</v>
      </c>
    </row>
    <row r="136" spans="1:14" ht="24">
      <c r="A136" s="3275">
        <v>64</v>
      </c>
      <c r="B136" s="3923"/>
      <c r="C136" s="3275" t="s">
        <v>2670</v>
      </c>
      <c r="D136" s="3253" t="s">
        <v>2671</v>
      </c>
      <c r="E136" s="3276">
        <v>0.1</v>
      </c>
      <c r="F136" s="3275">
        <v>15</v>
      </c>
    </row>
    <row r="137" spans="1:14" ht="24">
      <c r="A137" s="3275">
        <v>65</v>
      </c>
      <c r="B137" s="3275" t="s">
        <v>2672</v>
      </c>
      <c r="C137" s="3275" t="s">
        <v>2673</v>
      </c>
      <c r="D137" s="3253" t="s">
        <v>2674</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4" customWidth="1"/>
    <col min="2" max="2" width="15" style="3434" customWidth="1"/>
    <col min="3" max="6" width="10.21875" style="3434" customWidth="1"/>
    <col min="7" max="7" width="9" style="3434"/>
    <col min="8" max="8" width="9" style="1011"/>
    <col min="9" max="9" width="9" style="1008"/>
    <col min="10" max="10" width="17.33203125" style="3460" customWidth="1"/>
    <col min="11" max="21" width="17.33203125" style="3434" customWidth="1"/>
    <col min="22" max="16384" width="9" style="1008"/>
  </cols>
  <sheetData>
    <row r="1" spans="1:21">
      <c r="A1" s="3935" t="s">
        <v>2816</v>
      </c>
      <c r="B1" s="3935"/>
      <c r="C1" s="3935"/>
      <c r="D1" s="3935"/>
      <c r="E1" s="3935"/>
      <c r="F1" s="3935"/>
      <c r="G1" s="3936"/>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5" thickBot="1">
      <c r="A2" s="3420" t="s">
        <v>2817</v>
      </c>
      <c r="B2" s="3420"/>
      <c r="C2" s="3420"/>
      <c r="D2" s="3420"/>
      <c r="E2" s="3420"/>
      <c r="F2" s="3420"/>
      <c r="G2" s="3415" t="s">
        <v>2818</v>
      </c>
      <c r="J2" s="3444" t="s">
        <v>2824</v>
      </c>
      <c r="K2" s="3424" t="s">
        <v>2826</v>
      </c>
      <c r="L2" s="3424" t="s">
        <v>2828</v>
      </c>
      <c r="M2" s="3424" t="s">
        <v>2834</v>
      </c>
      <c r="N2" s="3424" t="s">
        <v>2844</v>
      </c>
      <c r="O2" s="3424" t="s">
        <v>2859</v>
      </c>
      <c r="P2" s="3424" t="s">
        <v>2896</v>
      </c>
      <c r="Q2" s="3424" t="s">
        <v>2927</v>
      </c>
      <c r="R2" s="3424" t="s">
        <v>2955</v>
      </c>
      <c r="S2" s="3424" t="s">
        <v>2990</v>
      </c>
      <c r="T2" s="3424" t="s">
        <v>3010</v>
      </c>
      <c r="U2" s="3424" t="s">
        <v>3022</v>
      </c>
    </row>
    <row r="3" spans="1:21" s="1012" customFormat="1" ht="19.5" customHeight="1">
      <c r="A3" s="3937" t="s">
        <v>2819</v>
      </c>
      <c r="B3" s="3416"/>
      <c r="C3" s="3417" t="s">
        <v>2796</v>
      </c>
      <c r="D3" s="3417" t="s">
        <v>2820</v>
      </c>
      <c r="E3" s="3417" t="s">
        <v>2798</v>
      </c>
      <c r="F3" s="3417" t="s">
        <v>2821</v>
      </c>
      <c r="G3" s="3417" t="s">
        <v>2739</v>
      </c>
      <c r="H3" s="1015"/>
      <c r="J3" s="3444" t="s">
        <v>2825</v>
      </c>
      <c r="K3" s="3424" t="s">
        <v>973</v>
      </c>
      <c r="L3" s="3424" t="s">
        <v>974</v>
      </c>
      <c r="M3" s="3424" t="s">
        <v>975</v>
      </c>
      <c r="N3" s="3424" t="s">
        <v>976</v>
      </c>
      <c r="O3" s="3424" t="s">
        <v>977</v>
      </c>
      <c r="P3" s="3424" t="s">
        <v>978</v>
      </c>
      <c r="Q3" s="3424" t="s">
        <v>979</v>
      </c>
      <c r="R3" s="3424" t="s">
        <v>980</v>
      </c>
      <c r="S3" s="3424" t="s">
        <v>981</v>
      </c>
      <c r="T3" s="3424" t="s">
        <v>3011</v>
      </c>
      <c r="U3" s="3424" t="s">
        <v>3023</v>
      </c>
    </row>
    <row r="4" spans="1:21" s="1012" customFormat="1" ht="19.5" customHeight="1" thickBot="1">
      <c r="A4" s="3938"/>
      <c r="B4" s="3418" t="s">
        <v>2822</v>
      </c>
      <c r="C4" s="3418" t="s">
        <v>2823</v>
      </c>
      <c r="D4" s="3418" t="s">
        <v>2823</v>
      </c>
      <c r="E4" s="3418" t="s">
        <v>2823</v>
      </c>
      <c r="F4" s="3419" t="s">
        <v>2823</v>
      </c>
      <c r="G4" s="3419" t="s">
        <v>2823</v>
      </c>
      <c r="H4" s="1015"/>
      <c r="J4" s="3444" t="s">
        <v>982</v>
      </c>
      <c r="K4" s="3424" t="s">
        <v>983</v>
      </c>
      <c r="L4" s="3424" t="s">
        <v>984</v>
      </c>
      <c r="M4" s="3424" t="s">
        <v>985</v>
      </c>
      <c r="N4" s="3424" t="s">
        <v>986</v>
      </c>
      <c r="O4" s="3424" t="s">
        <v>987</v>
      </c>
      <c r="P4" s="3424" t="s">
        <v>988</v>
      </c>
      <c r="Q4" s="3424" t="s">
        <v>989</v>
      </c>
      <c r="R4" s="3424" t="s">
        <v>2956</v>
      </c>
      <c r="S4" s="3424" t="s">
        <v>2991</v>
      </c>
      <c r="T4" s="3424" t="s">
        <v>3012</v>
      </c>
      <c r="U4" s="3424" t="s">
        <v>3024</v>
      </c>
    </row>
    <row r="5" spans="1:21" ht="14.25" customHeight="1">
      <c r="A5" s="3421" t="s">
        <v>990</v>
      </c>
      <c r="B5" s="3422" t="s">
        <v>2824</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2957</v>
      </c>
      <c r="S5" s="3424" t="s">
        <v>2992</v>
      </c>
      <c r="T5" s="3424" t="s">
        <v>999</v>
      </c>
      <c r="U5" s="3424" t="s">
        <v>3025</v>
      </c>
    </row>
    <row r="6" spans="1:21" ht="14.25" customHeight="1">
      <c r="A6" s="3424" t="s">
        <v>990</v>
      </c>
      <c r="B6" s="3424" t="s">
        <v>2825</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2928</v>
      </c>
      <c r="R6" s="3424" t="s">
        <v>2958</v>
      </c>
      <c r="S6" s="3424" t="s">
        <v>1008</v>
      </c>
      <c r="T6" s="3424" t="s">
        <v>3013</v>
      </c>
      <c r="U6" s="3424" t="s">
        <v>3026</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2929</v>
      </c>
      <c r="R7" s="3424" t="s">
        <v>2959</v>
      </c>
      <c r="S7" s="3424" t="s">
        <v>2993</v>
      </c>
      <c r="T7" s="3424" t="s">
        <v>3014</v>
      </c>
      <c r="U7" s="1289" t="s">
        <v>3027</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2930</v>
      </c>
      <c r="R8" s="3424" t="s">
        <v>1021</v>
      </c>
      <c r="S8" s="3424" t="s">
        <v>2994</v>
      </c>
      <c r="T8" s="3424" t="s">
        <v>3015</v>
      </c>
      <c r="U8" s="3424" t="s">
        <v>3028</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2931</v>
      </c>
      <c r="R9" s="3424" t="s">
        <v>1029</v>
      </c>
      <c r="S9" s="3424" t="s">
        <v>1030</v>
      </c>
      <c r="T9" s="3424" t="s">
        <v>1047</v>
      </c>
    </row>
    <row r="10" spans="1:21" ht="14.25" customHeight="1">
      <c r="A10" s="3421" t="s">
        <v>1031</v>
      </c>
      <c r="B10" s="3422" t="s">
        <v>2826</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3016</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2897</v>
      </c>
      <c r="Q11" s="3424" t="s">
        <v>1038</v>
      </c>
      <c r="R11" s="3424" t="s">
        <v>1046</v>
      </c>
      <c r="S11" s="3424" t="s">
        <v>2995</v>
      </c>
      <c r="T11" s="3424" t="s">
        <v>3017</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2898</v>
      </c>
      <c r="Q12" s="3424" t="s">
        <v>2932</v>
      </c>
      <c r="R12" s="3424" t="s">
        <v>2960</v>
      </c>
      <c r="S12" s="3424" t="s">
        <v>2996</v>
      </c>
      <c r="T12" s="3424" t="s">
        <v>3018</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2899</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2961</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2900</v>
      </c>
      <c r="Q15" s="3424" t="s">
        <v>2933</v>
      </c>
      <c r="R15" s="3424" t="s">
        <v>1090</v>
      </c>
      <c r="S15" s="3424" t="s">
        <v>2997</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2901</v>
      </c>
      <c r="Q16" s="3424" t="s">
        <v>1075</v>
      </c>
      <c r="R16" s="3424" t="s">
        <v>1098</v>
      </c>
      <c r="S16" s="3424" t="s">
        <v>1054</v>
      </c>
      <c r="T16" s="3424" t="s">
        <v>3019</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2902</v>
      </c>
      <c r="Q17" s="3424" t="s">
        <v>2934</v>
      </c>
      <c r="R17" s="3424" t="s">
        <v>1104</v>
      </c>
      <c r="S17" s="3424" t="s">
        <v>2998</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2903</v>
      </c>
      <c r="Q18" s="3424" t="s">
        <v>1089</v>
      </c>
      <c r="R18" s="3424" t="s">
        <v>2962</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2904</v>
      </c>
      <c r="Q19" s="3424" t="s">
        <v>1097</v>
      </c>
      <c r="R19" s="3424" t="s">
        <v>2963</v>
      </c>
      <c r="S19" s="3424" t="s">
        <v>1113</v>
      </c>
      <c r="T19" s="3424" t="s">
        <v>3020</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2905</v>
      </c>
      <c r="Q20" s="3424" t="s">
        <v>2935</v>
      </c>
      <c r="R20" s="3424" t="s">
        <v>1139</v>
      </c>
      <c r="S20" s="3424" t="s">
        <v>2999</v>
      </c>
      <c r="T20" s="3424" t="s">
        <v>1126</v>
      </c>
    </row>
    <row r="21" spans="1:20" ht="14.25" customHeight="1">
      <c r="A21" s="3424" t="s">
        <v>1031</v>
      </c>
      <c r="B21" s="1289" t="s">
        <v>1055</v>
      </c>
      <c r="C21" s="3424">
        <v>32370</v>
      </c>
      <c r="D21" s="3424">
        <v>26730</v>
      </c>
      <c r="E21" s="3424">
        <v>26640</v>
      </c>
      <c r="F21" s="3430"/>
      <c r="G21" s="3431">
        <v>19440</v>
      </c>
      <c r="K21" s="3433" t="s">
        <v>2827</v>
      </c>
      <c r="L21" s="3424" t="s">
        <v>1115</v>
      </c>
      <c r="M21" s="3424" t="s">
        <v>1116</v>
      </c>
      <c r="N21" s="3424" t="s">
        <v>1117</v>
      </c>
      <c r="O21" s="3424" t="s">
        <v>1118</v>
      </c>
      <c r="P21" s="3424" t="s">
        <v>1112</v>
      </c>
      <c r="Q21" s="3424" t="s">
        <v>1132</v>
      </c>
      <c r="R21" s="3424" t="s">
        <v>1142</v>
      </c>
      <c r="S21" s="3424" t="s">
        <v>3000</v>
      </c>
      <c r="T21" s="3424" t="s">
        <v>3021</v>
      </c>
    </row>
    <row r="22" spans="1:20" ht="14.25" customHeight="1">
      <c r="A22" s="3424" t="s">
        <v>1031</v>
      </c>
      <c r="B22" s="1289" t="s">
        <v>1062</v>
      </c>
      <c r="C22" s="3424">
        <v>29830</v>
      </c>
      <c r="D22" s="3424">
        <v>27600</v>
      </c>
      <c r="E22" s="3424">
        <v>28150</v>
      </c>
      <c r="F22" s="3430"/>
      <c r="G22" s="3431">
        <v>20080</v>
      </c>
      <c r="L22" s="3433" t="s">
        <v>2829</v>
      </c>
      <c r="M22" s="3424" t="s">
        <v>1120</v>
      </c>
      <c r="N22" s="3424" t="s">
        <v>1121</v>
      </c>
      <c r="O22" s="3424" t="s">
        <v>1122</v>
      </c>
      <c r="P22" s="3424" t="s">
        <v>2906</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2830</v>
      </c>
      <c r="M23" s="3424" t="s">
        <v>1127</v>
      </c>
      <c r="N23" s="3424" t="s">
        <v>1128</v>
      </c>
      <c r="O23" s="3424" t="s">
        <v>2860</v>
      </c>
      <c r="P23" s="3424" t="s">
        <v>2907</v>
      </c>
      <c r="Q23" s="3424" t="s">
        <v>1138</v>
      </c>
      <c r="R23" s="3424" t="s">
        <v>1147</v>
      </c>
      <c r="S23" s="3424" t="s">
        <v>3001</v>
      </c>
    </row>
    <row r="24" spans="1:20" ht="14.25" customHeight="1">
      <c r="A24" s="3424" t="s">
        <v>1031</v>
      </c>
      <c r="B24" s="1289" t="s">
        <v>1078</v>
      </c>
      <c r="C24" s="3424">
        <v>27930</v>
      </c>
      <c r="D24" s="3424">
        <v>32260</v>
      </c>
      <c r="E24" s="3424">
        <v>32120</v>
      </c>
      <c r="F24" s="3430"/>
      <c r="G24" s="3431">
        <v>23470</v>
      </c>
      <c r="L24" s="3433" t="s">
        <v>2831</v>
      </c>
      <c r="M24" s="3424" t="s">
        <v>1130</v>
      </c>
      <c r="N24" s="3424" t="s">
        <v>1131</v>
      </c>
      <c r="O24" s="3424" t="s">
        <v>2861</v>
      </c>
      <c r="P24" s="3424" t="s">
        <v>1134</v>
      </c>
      <c r="Q24" s="3424" t="s">
        <v>2936</v>
      </c>
      <c r="R24" s="3424" t="s">
        <v>2964</v>
      </c>
      <c r="S24" s="3424" t="s">
        <v>3002</v>
      </c>
    </row>
    <row r="25" spans="1:20" ht="14.25" customHeight="1">
      <c r="A25" s="3424" t="s">
        <v>1031</v>
      </c>
      <c r="B25" s="1289" t="s">
        <v>1083</v>
      </c>
      <c r="C25" s="3424">
        <v>32230</v>
      </c>
      <c r="D25" s="3424">
        <v>29640</v>
      </c>
      <c r="E25" s="3424">
        <v>29510</v>
      </c>
      <c r="F25" s="3430"/>
      <c r="G25" s="3431">
        <v>21560</v>
      </c>
      <c r="L25" s="3433" t="s">
        <v>2832</v>
      </c>
      <c r="M25" s="3424" t="s">
        <v>2835</v>
      </c>
      <c r="N25" s="3424" t="s">
        <v>1133</v>
      </c>
      <c r="O25" s="3424" t="s">
        <v>1141</v>
      </c>
      <c r="P25" s="3424" t="s">
        <v>1137</v>
      </c>
      <c r="Q25" s="3424" t="s">
        <v>1124</v>
      </c>
      <c r="R25" s="3424" t="s">
        <v>1119</v>
      </c>
      <c r="S25" s="3424" t="s">
        <v>3003</v>
      </c>
    </row>
    <row r="26" spans="1:20" ht="14.25" customHeight="1">
      <c r="A26" s="3424" t="s">
        <v>1031</v>
      </c>
      <c r="B26" s="1289" t="s">
        <v>1092</v>
      </c>
      <c r="C26" s="3424">
        <v>31690</v>
      </c>
      <c r="D26" s="3424">
        <v>27650</v>
      </c>
      <c r="E26" s="3424">
        <v>28200</v>
      </c>
      <c r="F26" s="3430"/>
      <c r="G26" s="3431">
        <v>20110</v>
      </c>
      <c r="L26" s="3433" t="s">
        <v>2833</v>
      </c>
      <c r="M26" s="3424" t="s">
        <v>2836</v>
      </c>
      <c r="N26" s="3424" t="s">
        <v>1136</v>
      </c>
      <c r="O26" s="3424" t="s">
        <v>1143</v>
      </c>
      <c r="P26" s="3424" t="s">
        <v>2908</v>
      </c>
      <c r="Q26" s="3424" t="s">
        <v>2937</v>
      </c>
      <c r="R26" s="3424" t="s">
        <v>1125</v>
      </c>
      <c r="S26" s="3424" t="s">
        <v>3004</v>
      </c>
    </row>
    <row r="27" spans="1:20" ht="14.25" customHeight="1">
      <c r="A27" s="3424" t="s">
        <v>1031</v>
      </c>
      <c r="B27" s="1289" t="s">
        <v>1099</v>
      </c>
      <c r="C27" s="3424">
        <v>29610</v>
      </c>
      <c r="D27" s="3424">
        <v>27770</v>
      </c>
      <c r="E27" s="3424">
        <v>28300</v>
      </c>
      <c r="F27" s="3430"/>
      <c r="G27" s="3431">
        <v>20210</v>
      </c>
      <c r="M27" s="3424" t="s">
        <v>2837</v>
      </c>
      <c r="N27" s="3424" t="s">
        <v>1140</v>
      </c>
      <c r="O27" s="3424" t="s">
        <v>1146</v>
      </c>
      <c r="P27" s="3424" t="s">
        <v>1123</v>
      </c>
      <c r="Q27" s="3424" t="s">
        <v>2938</v>
      </c>
      <c r="R27" s="3424" t="s">
        <v>2965</v>
      </c>
      <c r="S27" s="3424" t="s">
        <v>3005</v>
      </c>
    </row>
    <row r="28" spans="1:20" ht="14.25" customHeight="1">
      <c r="A28" s="3438" t="s">
        <v>1031</v>
      </c>
      <c r="B28" s="2601" t="s">
        <v>1107</v>
      </c>
      <c r="C28" s="1287"/>
      <c r="D28" s="1287">
        <v>31520</v>
      </c>
      <c r="E28" s="1287">
        <v>31410</v>
      </c>
      <c r="F28" s="3435"/>
      <c r="G28" s="3436">
        <v>22940</v>
      </c>
      <c r="M28" s="3424" t="s">
        <v>2838</v>
      </c>
      <c r="N28" s="3424" t="s">
        <v>2845</v>
      </c>
      <c r="O28" s="3424" t="s">
        <v>2862</v>
      </c>
      <c r="P28" s="3424" t="s">
        <v>2909</v>
      </c>
      <c r="Q28" s="3424" t="s">
        <v>2939</v>
      </c>
      <c r="R28" s="3424" t="s">
        <v>2966</v>
      </c>
      <c r="S28" s="3433" t="s">
        <v>3006</v>
      </c>
    </row>
    <row r="29" spans="1:20" ht="14.25" customHeight="1" thickBot="1">
      <c r="A29" s="3439" t="s">
        <v>1031</v>
      </c>
      <c r="B29" s="3427" t="s">
        <v>2827</v>
      </c>
      <c r="C29" s="3427"/>
      <c r="D29" s="3427">
        <v>29460</v>
      </c>
      <c r="E29" s="3427">
        <v>28640</v>
      </c>
      <c r="F29" s="3428"/>
      <c r="G29" s="3440">
        <v>21430</v>
      </c>
      <c r="M29" s="3433" t="s">
        <v>2839</v>
      </c>
      <c r="N29" s="3424" t="s">
        <v>2846</v>
      </c>
      <c r="O29" s="3424" t="s">
        <v>2863</v>
      </c>
      <c r="P29" s="3424" t="s">
        <v>2910</v>
      </c>
      <c r="Q29" s="3424" t="s">
        <v>2940</v>
      </c>
      <c r="R29" s="3424" t="s">
        <v>2967</v>
      </c>
      <c r="S29" s="3433" t="s">
        <v>1129</v>
      </c>
    </row>
    <row r="30" spans="1:20" ht="14.25" customHeight="1">
      <c r="A30" s="3438" t="s">
        <v>1145</v>
      </c>
      <c r="B30" s="1289" t="s">
        <v>2828</v>
      </c>
      <c r="C30" s="1289">
        <v>26890</v>
      </c>
      <c r="D30" s="1289">
        <v>26770</v>
      </c>
      <c r="E30" s="1289">
        <v>25700</v>
      </c>
      <c r="F30" s="3425">
        <v>8180</v>
      </c>
      <c r="G30" s="3425">
        <v>18740</v>
      </c>
      <c r="I30" s="1022"/>
      <c r="M30" s="3433" t="s">
        <v>2840</v>
      </c>
      <c r="N30" s="3424" t="s">
        <v>2847</v>
      </c>
      <c r="O30" s="3424" t="s">
        <v>2864</v>
      </c>
      <c r="P30" s="3424" t="s">
        <v>2911</v>
      </c>
      <c r="Q30" s="3424" t="s">
        <v>2941</v>
      </c>
      <c r="R30" s="3424" t="s">
        <v>2968</v>
      </c>
      <c r="S30" s="3433" t="s">
        <v>3007</v>
      </c>
    </row>
    <row r="31" spans="1:20" ht="14.25" customHeight="1">
      <c r="A31" s="3424" t="s">
        <v>1145</v>
      </c>
      <c r="B31" s="1289" t="s">
        <v>974</v>
      </c>
      <c r="C31" s="3424">
        <v>24550</v>
      </c>
      <c r="D31" s="3424">
        <v>23990</v>
      </c>
      <c r="E31" s="3424">
        <v>22930</v>
      </c>
      <c r="F31" s="3430">
        <v>7470</v>
      </c>
      <c r="G31" s="3430">
        <v>16790</v>
      </c>
      <c r="I31" s="1022"/>
      <c r="M31" s="3433" t="s">
        <v>2841</v>
      </c>
      <c r="N31" s="3424" t="s">
        <v>2848</v>
      </c>
      <c r="O31" s="3424" t="s">
        <v>2865</v>
      </c>
      <c r="P31" s="3424" t="s">
        <v>2912</v>
      </c>
      <c r="Q31" s="3424" t="s">
        <v>2942</v>
      </c>
      <c r="R31" s="3424" t="s">
        <v>2969</v>
      </c>
      <c r="S31" s="3433" t="s">
        <v>3008</v>
      </c>
    </row>
    <row r="32" spans="1:20" ht="14.25" customHeight="1">
      <c r="A32" s="3424" t="s">
        <v>1145</v>
      </c>
      <c r="B32" s="1289" t="s">
        <v>984</v>
      </c>
      <c r="C32" s="3424">
        <v>27210</v>
      </c>
      <c r="D32" s="3424">
        <v>23240</v>
      </c>
      <c r="E32" s="3424">
        <v>23260</v>
      </c>
      <c r="F32" s="3430">
        <v>7130</v>
      </c>
      <c r="G32" s="3430">
        <v>16270</v>
      </c>
      <c r="I32" s="1022"/>
      <c r="M32" s="3433" t="s">
        <v>2842</v>
      </c>
      <c r="N32" s="3424" t="s">
        <v>2849</v>
      </c>
      <c r="O32" s="3424" t="s">
        <v>1149</v>
      </c>
      <c r="P32" s="3424" t="s">
        <v>2913</v>
      </c>
      <c r="Q32" s="3424" t="s">
        <v>1148</v>
      </c>
      <c r="R32" s="3424" t="s">
        <v>2970</v>
      </c>
      <c r="S32" s="3433" t="s">
        <v>3009</v>
      </c>
    </row>
    <row r="33" spans="1:18" ht="14.25" customHeight="1">
      <c r="A33" s="3424" t="s">
        <v>1145</v>
      </c>
      <c r="B33" s="1289" t="s">
        <v>993</v>
      </c>
      <c r="C33" s="3424">
        <v>27300</v>
      </c>
      <c r="D33" s="3424">
        <v>22980</v>
      </c>
      <c r="E33" s="3424">
        <v>24260</v>
      </c>
      <c r="F33" s="3430">
        <v>5860</v>
      </c>
      <c r="G33" s="3430">
        <v>16090</v>
      </c>
      <c r="I33" s="1022"/>
      <c r="M33" s="3433" t="s">
        <v>2843</v>
      </c>
      <c r="N33" s="3424" t="s">
        <v>2850</v>
      </c>
      <c r="O33" s="3424" t="s">
        <v>1150</v>
      </c>
      <c r="P33" s="3424" t="s">
        <v>2914</v>
      </c>
      <c r="Q33" s="3424" t="s">
        <v>2943</v>
      </c>
      <c r="R33" s="3424" t="s">
        <v>2971</v>
      </c>
    </row>
    <row r="34" spans="1:18" ht="14.25" customHeight="1">
      <c r="A34" s="3424" t="s">
        <v>1145</v>
      </c>
      <c r="B34" s="1289" t="s">
        <v>1003</v>
      </c>
      <c r="C34" s="3424">
        <v>23090</v>
      </c>
      <c r="D34" s="3424">
        <v>23390</v>
      </c>
      <c r="E34" s="3424">
        <v>23510</v>
      </c>
      <c r="F34" s="3430">
        <v>6700</v>
      </c>
      <c r="G34" s="3430">
        <v>16370</v>
      </c>
      <c r="I34" s="1022"/>
      <c r="N34" s="3424" t="s">
        <v>2851</v>
      </c>
      <c r="O34" s="3424" t="s">
        <v>1151</v>
      </c>
      <c r="P34" s="3424" t="s">
        <v>2915</v>
      </c>
      <c r="Q34" s="3424" t="s">
        <v>2944</v>
      </c>
      <c r="R34" s="3424" t="s">
        <v>2972</v>
      </c>
    </row>
    <row r="35" spans="1:18" ht="14.25" customHeight="1">
      <c r="A35" s="3424" t="s">
        <v>1145</v>
      </c>
      <c r="B35" s="1289" t="s">
        <v>1010</v>
      </c>
      <c r="C35" s="3424">
        <v>27270</v>
      </c>
      <c r="D35" s="3424">
        <v>24270</v>
      </c>
      <c r="E35" s="3424">
        <v>24950</v>
      </c>
      <c r="F35" s="3430">
        <v>6600</v>
      </c>
      <c r="G35" s="3430">
        <v>16990</v>
      </c>
      <c r="I35" s="1022"/>
      <c r="N35" s="3424" t="s">
        <v>2852</v>
      </c>
      <c r="O35" s="3424" t="s">
        <v>2866</v>
      </c>
      <c r="P35" s="3424" t="s">
        <v>2916</v>
      </c>
      <c r="Q35" s="3424" t="s">
        <v>2945</v>
      </c>
      <c r="R35" s="3424" t="s">
        <v>2973</v>
      </c>
    </row>
    <row r="36" spans="1:18" ht="14.25" customHeight="1">
      <c r="A36" s="3424" t="s">
        <v>1145</v>
      </c>
      <c r="B36" s="1289" t="s">
        <v>1016</v>
      </c>
      <c r="C36" s="3424">
        <v>23490</v>
      </c>
      <c r="D36" s="3424">
        <v>23020</v>
      </c>
      <c r="E36" s="3424">
        <v>25230</v>
      </c>
      <c r="F36" s="3430">
        <v>6780</v>
      </c>
      <c r="G36" s="3430">
        <v>16120</v>
      </c>
      <c r="I36" s="1022"/>
      <c r="N36" s="3433" t="s">
        <v>2853</v>
      </c>
      <c r="O36" s="3461" t="s">
        <v>2867</v>
      </c>
      <c r="P36" s="3424" t="s">
        <v>2917</v>
      </c>
      <c r="Q36" s="3424" t="s">
        <v>2946</v>
      </c>
      <c r="R36" s="3424" t="s">
        <v>2974</v>
      </c>
    </row>
    <row r="37" spans="1:18" ht="14.25" customHeight="1">
      <c r="A37" s="3424" t="s">
        <v>1145</v>
      </c>
      <c r="B37" s="1289" t="s">
        <v>1023</v>
      </c>
      <c r="C37" s="3424">
        <v>24380</v>
      </c>
      <c r="D37" s="3424">
        <v>22240</v>
      </c>
      <c r="E37" s="3424">
        <v>25980</v>
      </c>
      <c r="F37" s="3430">
        <v>8160</v>
      </c>
      <c r="G37" s="3430">
        <v>15570</v>
      </c>
      <c r="I37" s="1023"/>
      <c r="N37" s="3433" t="s">
        <v>2854</v>
      </c>
      <c r="O37" s="3461" t="s">
        <v>2868</v>
      </c>
      <c r="P37" s="3424" t="s">
        <v>2918</v>
      </c>
      <c r="Q37" s="3424" t="s">
        <v>2947</v>
      </c>
      <c r="R37" s="3424" t="s">
        <v>2975</v>
      </c>
    </row>
    <row r="38" spans="1:18" ht="14.25" customHeight="1">
      <c r="A38" s="3424" t="s">
        <v>1145</v>
      </c>
      <c r="B38" s="1289" t="s">
        <v>1033</v>
      </c>
      <c r="C38" s="3424">
        <v>23120</v>
      </c>
      <c r="D38" s="3424">
        <v>24630</v>
      </c>
      <c r="E38" s="3424">
        <v>25030</v>
      </c>
      <c r="F38" s="3430">
        <v>7710</v>
      </c>
      <c r="G38" s="3430">
        <v>17240</v>
      </c>
      <c r="I38" s="1024"/>
      <c r="N38" s="3433" t="s">
        <v>2855</v>
      </c>
      <c r="O38" s="3461" t="s">
        <v>2869</v>
      </c>
      <c r="P38" s="3424" t="s">
        <v>2919</v>
      </c>
      <c r="Q38" s="3424" t="s">
        <v>2948</v>
      </c>
      <c r="R38" s="3424" t="s">
        <v>2976</v>
      </c>
    </row>
    <row r="39" spans="1:18" ht="14.25" customHeight="1">
      <c r="A39" s="3424" t="s">
        <v>1145</v>
      </c>
      <c r="B39" s="1289" t="s">
        <v>1042</v>
      </c>
      <c r="C39" s="3424">
        <v>22330</v>
      </c>
      <c r="D39" s="3424">
        <v>21140</v>
      </c>
      <c r="E39" s="3424">
        <v>23970</v>
      </c>
      <c r="F39" s="3430">
        <v>7940</v>
      </c>
      <c r="G39" s="3430">
        <v>14790</v>
      </c>
      <c r="I39" s="1024"/>
      <c r="N39" s="3433" t="s">
        <v>2856</v>
      </c>
      <c r="O39" s="3461" t="s">
        <v>2870</v>
      </c>
      <c r="P39" s="3424" t="s">
        <v>2920</v>
      </c>
      <c r="Q39" s="3424" t="s">
        <v>2949</v>
      </c>
      <c r="R39" s="3424" t="s">
        <v>2977</v>
      </c>
    </row>
    <row r="40" spans="1:18" ht="14.25" customHeight="1">
      <c r="A40" s="3424" t="s">
        <v>1145</v>
      </c>
      <c r="B40" s="1289" t="s">
        <v>1049</v>
      </c>
      <c r="C40" s="3424">
        <v>24740</v>
      </c>
      <c r="D40" s="3424">
        <v>24690</v>
      </c>
      <c r="E40" s="3424">
        <v>22610</v>
      </c>
      <c r="F40" s="3430"/>
      <c r="G40" s="3430">
        <v>17280</v>
      </c>
      <c r="I40" s="1024"/>
      <c r="N40" s="3433" t="s">
        <v>2857</v>
      </c>
      <c r="O40" s="3461" t="s">
        <v>2871</v>
      </c>
      <c r="P40" s="3424" t="s">
        <v>2921</v>
      </c>
      <c r="Q40" s="3424" t="s">
        <v>2950</v>
      </c>
      <c r="R40" s="3424" t="s">
        <v>2978</v>
      </c>
    </row>
    <row r="41" spans="1:18" ht="14.25" customHeight="1">
      <c r="A41" s="3424" t="s">
        <v>1145</v>
      </c>
      <c r="B41" s="1289" t="s">
        <v>1056</v>
      </c>
      <c r="C41" s="3424">
        <v>21220</v>
      </c>
      <c r="D41" s="3424">
        <v>21120</v>
      </c>
      <c r="E41" s="3424">
        <v>22590</v>
      </c>
      <c r="F41" s="3430"/>
      <c r="G41" s="3430">
        <v>14780</v>
      </c>
      <c r="I41" s="1024"/>
      <c r="N41" s="3433" t="s">
        <v>2858</v>
      </c>
      <c r="O41" s="3462" t="s">
        <v>2872</v>
      </c>
      <c r="P41" s="1289" t="s">
        <v>2922</v>
      </c>
      <c r="Q41" s="3433" t="s">
        <v>2951</v>
      </c>
      <c r="R41" s="1289" t="s">
        <v>2979</v>
      </c>
    </row>
    <row r="42" spans="1:18" ht="14.25" customHeight="1">
      <c r="A42" s="3424" t="s">
        <v>1145</v>
      </c>
      <c r="B42" s="1289" t="s">
        <v>1063</v>
      </c>
      <c r="C42" s="3424">
        <v>24800</v>
      </c>
      <c r="D42" s="3424">
        <v>22280</v>
      </c>
      <c r="E42" s="3424">
        <v>24350</v>
      </c>
      <c r="F42" s="3430"/>
      <c r="G42" s="3430">
        <v>15590</v>
      </c>
      <c r="I42" s="1024"/>
      <c r="O42" s="3424" t="s">
        <v>2873</v>
      </c>
      <c r="P42" s="3424" t="s">
        <v>2923</v>
      </c>
      <c r="Q42" s="3433" t="s">
        <v>2952</v>
      </c>
      <c r="R42" s="3424" t="s">
        <v>2980</v>
      </c>
    </row>
    <row r="43" spans="1:18" ht="14.25" customHeight="1">
      <c r="A43" s="3424" t="s">
        <v>1145</v>
      </c>
      <c r="B43" s="1289" t="s">
        <v>1071</v>
      </c>
      <c r="C43" s="3424">
        <v>21210</v>
      </c>
      <c r="D43" s="3424">
        <v>21160</v>
      </c>
      <c r="E43" s="3424">
        <v>22650</v>
      </c>
      <c r="F43" s="3430"/>
      <c r="G43" s="3430">
        <v>14800</v>
      </c>
      <c r="I43" s="1024"/>
      <c r="O43" s="3424" t="s">
        <v>2874</v>
      </c>
      <c r="P43" s="3424" t="s">
        <v>2924</v>
      </c>
      <c r="Q43" s="3433" t="s">
        <v>2953</v>
      </c>
      <c r="R43" s="3424" t="s">
        <v>2981</v>
      </c>
    </row>
    <row r="44" spans="1:18" ht="14.25" customHeight="1">
      <c r="A44" s="3424" t="s">
        <v>1145</v>
      </c>
      <c r="B44" s="1289" t="s">
        <v>1079</v>
      </c>
      <c r="C44" s="3424">
        <v>22370</v>
      </c>
      <c r="D44" s="3424">
        <v>23140</v>
      </c>
      <c r="E44" s="3424">
        <v>25090</v>
      </c>
      <c r="F44" s="3430"/>
      <c r="G44" s="3430">
        <v>16190</v>
      </c>
      <c r="I44" s="1024"/>
      <c r="O44" s="3424" t="s">
        <v>2875</v>
      </c>
      <c r="P44" s="3424" t="s">
        <v>2925</v>
      </c>
      <c r="Q44" s="3433" t="s">
        <v>2954</v>
      </c>
      <c r="R44" s="3424" t="s">
        <v>2982</v>
      </c>
    </row>
    <row r="45" spans="1:18" ht="14.25" customHeight="1">
      <c r="A45" s="3424" t="s">
        <v>1145</v>
      </c>
      <c r="B45" s="1289" t="s">
        <v>1084</v>
      </c>
      <c r="C45" s="3424">
        <v>21240</v>
      </c>
      <c r="D45" s="3424">
        <v>27050</v>
      </c>
      <c r="E45" s="3424">
        <v>28000</v>
      </c>
      <c r="F45" s="3430"/>
      <c r="G45" s="3430">
        <v>18940</v>
      </c>
      <c r="I45" s="1022"/>
      <c r="O45" s="3424" t="s">
        <v>2876</v>
      </c>
      <c r="P45" s="3424" t="s">
        <v>2926</v>
      </c>
      <c r="R45" s="3424" t="s">
        <v>2983</v>
      </c>
    </row>
    <row r="46" spans="1:18" ht="14.25" customHeight="1">
      <c r="A46" s="3424" t="s">
        <v>1145</v>
      </c>
      <c r="B46" s="1289" t="s">
        <v>1093</v>
      </c>
      <c r="C46" s="3424">
        <v>23240</v>
      </c>
      <c r="D46" s="3424">
        <v>23000</v>
      </c>
      <c r="E46" s="3424">
        <v>24980</v>
      </c>
      <c r="F46" s="3430"/>
      <c r="G46" s="3430">
        <v>16100</v>
      </c>
      <c r="I46" s="1024"/>
      <c r="O46" s="3424" t="s">
        <v>2877</v>
      </c>
      <c r="P46" s="3424"/>
      <c r="R46" s="3424" t="s">
        <v>2984</v>
      </c>
    </row>
    <row r="47" spans="1:18" ht="14.25" customHeight="1">
      <c r="A47" s="3424" t="s">
        <v>1145</v>
      </c>
      <c r="B47" s="2601" t="s">
        <v>1100</v>
      </c>
      <c r="C47" s="1287">
        <v>27150</v>
      </c>
      <c r="D47" s="1287">
        <v>23310</v>
      </c>
      <c r="E47" s="1287">
        <v>25150</v>
      </c>
      <c r="F47" s="3435"/>
      <c r="G47" s="3435">
        <v>16310</v>
      </c>
      <c r="I47" s="1024"/>
      <c r="O47" s="3424" t="s">
        <v>2878</v>
      </c>
      <c r="P47" s="3424"/>
      <c r="R47" s="3433" t="s">
        <v>2985</v>
      </c>
    </row>
    <row r="48" spans="1:18" ht="14.25" customHeight="1">
      <c r="A48" s="3424" t="s">
        <v>1145</v>
      </c>
      <c r="B48" s="3424" t="s">
        <v>1108</v>
      </c>
      <c r="C48" s="3424">
        <v>23100</v>
      </c>
      <c r="D48" s="3424">
        <v>21110</v>
      </c>
      <c r="E48" s="3424">
        <v>23080</v>
      </c>
      <c r="F48" s="3430"/>
      <c r="G48" s="3437">
        <v>14780</v>
      </c>
      <c r="I48" s="1022"/>
      <c r="O48" s="3424" t="s">
        <v>2879</v>
      </c>
      <c r="P48" s="3424"/>
      <c r="R48" s="3433" t="s">
        <v>2986</v>
      </c>
    </row>
    <row r="49" spans="1:18" ht="14.25" customHeight="1">
      <c r="A49" s="3424" t="s">
        <v>1145</v>
      </c>
      <c r="B49" s="1289" t="s">
        <v>1115</v>
      </c>
      <c r="C49" s="1289">
        <v>23400</v>
      </c>
      <c r="D49" s="1289">
        <v>22920</v>
      </c>
      <c r="E49" s="1289">
        <v>24900</v>
      </c>
      <c r="F49" s="3425"/>
      <c r="G49" s="3425">
        <v>16040</v>
      </c>
      <c r="I49" s="1024"/>
      <c r="O49" s="3424" t="s">
        <v>2880</v>
      </c>
      <c r="P49" s="3424"/>
      <c r="R49" s="3433" t="s">
        <v>2987</v>
      </c>
    </row>
    <row r="50" spans="1:18" ht="14.25" customHeight="1">
      <c r="A50" s="3424" t="s">
        <v>1145</v>
      </c>
      <c r="B50" s="3424" t="s">
        <v>2829</v>
      </c>
      <c r="C50" s="3424">
        <v>21200</v>
      </c>
      <c r="D50" s="3424">
        <v>26540</v>
      </c>
      <c r="E50" s="3424">
        <v>23200</v>
      </c>
      <c r="F50" s="3430"/>
      <c r="G50" s="3430">
        <v>18580</v>
      </c>
      <c r="I50" s="1024"/>
      <c r="O50" s="3433" t="s">
        <v>2881</v>
      </c>
      <c r="R50" s="3433" t="s">
        <v>2988</v>
      </c>
    </row>
    <row r="51" spans="1:18" ht="14.25" customHeight="1">
      <c r="A51" s="3424" t="s">
        <v>1145</v>
      </c>
      <c r="B51" s="3424" t="s">
        <v>2830</v>
      </c>
      <c r="C51" s="3424">
        <v>23000</v>
      </c>
      <c r="D51" s="3424">
        <v>23460</v>
      </c>
      <c r="E51" s="3424">
        <v>25290</v>
      </c>
      <c r="F51" s="3430"/>
      <c r="G51" s="3430">
        <v>16420</v>
      </c>
      <c r="I51" s="1024"/>
      <c r="O51" s="3433" t="s">
        <v>2882</v>
      </c>
      <c r="R51" s="3433" t="s">
        <v>2989</v>
      </c>
    </row>
    <row r="52" spans="1:18" ht="14.25" customHeight="1">
      <c r="A52" s="3424" t="s">
        <v>1145</v>
      </c>
      <c r="B52" s="3424" t="s">
        <v>2831</v>
      </c>
      <c r="C52" s="3424">
        <v>26660</v>
      </c>
      <c r="D52" s="3424">
        <v>22350</v>
      </c>
      <c r="E52" s="3424">
        <v>22920</v>
      </c>
      <c r="F52" s="3430"/>
      <c r="G52" s="3430">
        <v>15640</v>
      </c>
      <c r="I52" s="1024"/>
      <c r="O52" s="3433" t="s">
        <v>2883</v>
      </c>
    </row>
    <row r="53" spans="1:18" ht="14.25" customHeight="1">
      <c r="A53" s="3424" t="s">
        <v>1145</v>
      </c>
      <c r="B53" s="3424" t="s">
        <v>2832</v>
      </c>
      <c r="C53" s="3424">
        <v>23580</v>
      </c>
      <c r="D53" s="3424"/>
      <c r="E53" s="3424">
        <v>24280</v>
      </c>
      <c r="F53" s="3430"/>
      <c r="G53" s="3430"/>
      <c r="I53" s="1024"/>
      <c r="O53" s="3433" t="s">
        <v>2884</v>
      </c>
    </row>
    <row r="54" spans="1:18" ht="14.25" customHeight="1" thickBot="1">
      <c r="A54" s="3439" t="s">
        <v>1145</v>
      </c>
      <c r="B54" s="3427" t="s">
        <v>2833</v>
      </c>
      <c r="C54" s="3427">
        <v>22460</v>
      </c>
      <c r="D54" s="3427"/>
      <c r="E54" s="3427"/>
      <c r="F54" s="3428"/>
      <c r="G54" s="3440"/>
      <c r="I54" s="1024"/>
      <c r="O54" s="3433" t="s">
        <v>2885</v>
      </c>
    </row>
    <row r="55" spans="1:18" ht="14.25" customHeight="1">
      <c r="A55" s="3438" t="s">
        <v>853</v>
      </c>
      <c r="B55" s="1289" t="s">
        <v>2834</v>
      </c>
      <c r="C55" s="1289">
        <v>21970</v>
      </c>
      <c r="D55" s="1289">
        <v>20370</v>
      </c>
      <c r="E55" s="1289">
        <v>20180</v>
      </c>
      <c r="F55" s="3425">
        <v>5730</v>
      </c>
      <c r="G55" s="3425">
        <v>13820</v>
      </c>
      <c r="I55" s="1024"/>
      <c r="O55" s="3433" t="s">
        <v>2886</v>
      </c>
    </row>
    <row r="56" spans="1:18" ht="14.25" customHeight="1">
      <c r="A56" s="3424" t="s">
        <v>853</v>
      </c>
      <c r="B56" s="3424" t="s">
        <v>975</v>
      </c>
      <c r="C56" s="3424">
        <v>20470</v>
      </c>
      <c r="D56" s="3424">
        <v>20700</v>
      </c>
      <c r="E56" s="3424">
        <v>20380</v>
      </c>
      <c r="F56" s="3430">
        <v>4760</v>
      </c>
      <c r="G56" s="3430">
        <v>14050</v>
      </c>
      <c r="I56" s="1024"/>
      <c r="O56" s="3433" t="s">
        <v>2887</v>
      </c>
    </row>
    <row r="57" spans="1:18" ht="14.25" customHeight="1">
      <c r="A57" s="3424" t="s">
        <v>853</v>
      </c>
      <c r="B57" s="3424" t="s">
        <v>985</v>
      </c>
      <c r="C57" s="3424">
        <v>20790</v>
      </c>
      <c r="D57" s="3424">
        <v>21370</v>
      </c>
      <c r="E57" s="3424">
        <v>20890</v>
      </c>
      <c r="F57" s="3430">
        <v>4910</v>
      </c>
      <c r="G57" s="3430">
        <v>14510</v>
      </c>
      <c r="I57" s="1024"/>
      <c r="O57" s="3433" t="s">
        <v>2888</v>
      </c>
    </row>
    <row r="58" spans="1:18" ht="14.25" customHeight="1">
      <c r="A58" s="3424" t="s">
        <v>853</v>
      </c>
      <c r="B58" s="3424" t="s">
        <v>994</v>
      </c>
      <c r="C58" s="3424">
        <v>21460</v>
      </c>
      <c r="D58" s="3424">
        <v>20920</v>
      </c>
      <c r="E58" s="3424">
        <v>23410</v>
      </c>
      <c r="F58" s="3430">
        <v>5100</v>
      </c>
      <c r="G58" s="3430">
        <v>14200</v>
      </c>
      <c r="I58" s="1024"/>
      <c r="O58" s="3433" t="s">
        <v>2889</v>
      </c>
    </row>
    <row r="59" spans="1:18" ht="14.25" customHeight="1">
      <c r="A59" s="3424" t="s">
        <v>853</v>
      </c>
      <c r="B59" s="3424" t="s">
        <v>1004</v>
      </c>
      <c r="C59" s="3424">
        <v>21000</v>
      </c>
      <c r="D59" s="3424">
        <v>21550</v>
      </c>
      <c r="E59" s="3424">
        <v>21150</v>
      </c>
      <c r="F59" s="3430">
        <v>5250</v>
      </c>
      <c r="G59" s="3430">
        <v>14630</v>
      </c>
      <c r="I59" s="1024"/>
      <c r="O59" s="3433" t="s">
        <v>2890</v>
      </c>
    </row>
    <row r="60" spans="1:18" ht="14.25" customHeight="1">
      <c r="A60" s="3424" t="s">
        <v>853</v>
      </c>
      <c r="B60" s="3424" t="s">
        <v>1011</v>
      </c>
      <c r="C60" s="3424">
        <v>21640</v>
      </c>
      <c r="D60" s="3424">
        <v>21260</v>
      </c>
      <c r="E60" s="3424">
        <v>24040</v>
      </c>
      <c r="F60" s="3430">
        <v>4470</v>
      </c>
      <c r="G60" s="3430">
        <v>14430</v>
      </c>
      <c r="I60" s="1024"/>
      <c r="O60" s="3433" t="s">
        <v>2891</v>
      </c>
    </row>
    <row r="61" spans="1:18" ht="14.25" customHeight="1">
      <c r="A61" s="3424" t="s">
        <v>853</v>
      </c>
      <c r="B61" s="3424" t="s">
        <v>1017</v>
      </c>
      <c r="C61" s="3424">
        <v>21330</v>
      </c>
      <c r="D61" s="3424">
        <v>18640</v>
      </c>
      <c r="E61" s="3424">
        <v>21190</v>
      </c>
      <c r="F61" s="3430">
        <v>4180</v>
      </c>
      <c r="G61" s="3432">
        <v>12650</v>
      </c>
      <c r="I61" s="1024"/>
      <c r="O61" s="3433" t="s">
        <v>2892</v>
      </c>
    </row>
    <row r="62" spans="1:18" ht="14.25" customHeight="1">
      <c r="A62" s="3424" t="s">
        <v>853</v>
      </c>
      <c r="B62" s="3424" t="s">
        <v>1024</v>
      </c>
      <c r="C62" s="3424">
        <v>18710</v>
      </c>
      <c r="D62" s="3424">
        <v>19400</v>
      </c>
      <c r="E62" s="3424">
        <v>23750</v>
      </c>
      <c r="F62" s="3430">
        <v>4860</v>
      </c>
      <c r="G62" s="3432">
        <v>13170</v>
      </c>
      <c r="I62" s="1024"/>
      <c r="O62" s="3433" t="s">
        <v>2893</v>
      </c>
    </row>
    <row r="63" spans="1:18" ht="14.25" customHeight="1">
      <c r="A63" s="3424" t="s">
        <v>853</v>
      </c>
      <c r="B63" s="3424" t="s">
        <v>1034</v>
      </c>
      <c r="C63" s="3424">
        <v>19480</v>
      </c>
      <c r="D63" s="3424">
        <v>16830</v>
      </c>
      <c r="E63" s="3424">
        <v>21590</v>
      </c>
      <c r="F63" s="3430">
        <v>4560</v>
      </c>
      <c r="G63" s="3432">
        <v>11420</v>
      </c>
      <c r="I63" s="1024"/>
      <c r="O63" s="3433" t="s">
        <v>2894</v>
      </c>
    </row>
    <row r="64" spans="1:18" ht="14.25" customHeight="1">
      <c r="A64" s="3424" t="s">
        <v>853</v>
      </c>
      <c r="B64" s="3424" t="s">
        <v>1043</v>
      </c>
      <c r="C64" s="3424">
        <v>16920</v>
      </c>
      <c r="D64" s="3424">
        <v>19190</v>
      </c>
      <c r="E64" s="3424">
        <v>22200</v>
      </c>
      <c r="F64" s="3430">
        <v>4390</v>
      </c>
      <c r="G64" s="3432">
        <v>13030</v>
      </c>
      <c r="I64" s="1024"/>
      <c r="O64" s="3433" t="s">
        <v>2895</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2835</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2836</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2837</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2838</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2839</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2840</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2841</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2842</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2843</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2844</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2845</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2846</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2847</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2848</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2849</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2850</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2851</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2852</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2853</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2854</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2855</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2856</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2857</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2858</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2859</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2860</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2861</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2862</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2863</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2864</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2865</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2866</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2867</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2868</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2869</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2870</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2871</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2872</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2873</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2874</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2875</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2876</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2877</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2878</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2879</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2880</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2881</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2882</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2883</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2884</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2885</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2886</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2887</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2888</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2889</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2890</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2891</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2892</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2893</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2894</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2895</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2896</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2897</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2898</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2899</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2900</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2901</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2902</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2903</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2904</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2905</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2906</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2907</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2908</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2909</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2910</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2911</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2912</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2913</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2914</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2915</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2916</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2917</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2918</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2919</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2920</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2921</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2922</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2923</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2924</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2925</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2926</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2927</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2928</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2929</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2930</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2931</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2932</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2933</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2934</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2935</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2936</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2937</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2938</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2939</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2940</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2941</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2942</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2943</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2944</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2945</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2946</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2947</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2948</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2949</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2950</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2951</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2952</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2953</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2954</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2955</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2956</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2957</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2958</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2959</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2960</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2961</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2962</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2963</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2964</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2965</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2966</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2967</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2968</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2969</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2970</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2971</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2972</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2973</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2974</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2975</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2976</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2977</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2978</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2979</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2980</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2981</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2982</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2983</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2984</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2985</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2986</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2987</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2988</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2989</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2990</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2991</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2992</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2993</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2994</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2995</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2996</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2997</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2998</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2999</v>
      </c>
      <c r="C345" s="3433">
        <v>3190</v>
      </c>
      <c r="D345" s="3433">
        <v>3140</v>
      </c>
      <c r="E345" s="3433">
        <v>3450</v>
      </c>
      <c r="F345" s="3433">
        <v>720</v>
      </c>
      <c r="G345" s="3433">
        <v>1880</v>
      </c>
      <c r="H345" s="3446"/>
    </row>
    <row r="346" spans="1:21">
      <c r="A346" s="3433" t="s">
        <v>1157</v>
      </c>
      <c r="B346" s="3433" t="s">
        <v>3000</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3001</v>
      </c>
      <c r="C348" s="3433">
        <v>4000</v>
      </c>
      <c r="D348" s="3433">
        <v>3950</v>
      </c>
      <c r="E348" s="3433">
        <v>4430</v>
      </c>
      <c r="F348" s="3433">
        <v>760</v>
      </c>
      <c r="G348" s="3433">
        <v>2360</v>
      </c>
      <c r="H348" s="3446"/>
    </row>
    <row r="349" spans="1:21">
      <c r="A349" s="3433" t="s">
        <v>1157</v>
      </c>
      <c r="B349" s="3433" t="s">
        <v>3002</v>
      </c>
      <c r="C349" s="3433">
        <v>3820</v>
      </c>
      <c r="D349" s="3433">
        <v>3780</v>
      </c>
      <c r="E349" s="3433">
        <v>4170</v>
      </c>
      <c r="F349" s="3433">
        <v>710</v>
      </c>
      <c r="G349" s="3433">
        <v>2260</v>
      </c>
      <c r="H349" s="3446"/>
    </row>
    <row r="350" spans="1:21">
      <c r="A350" s="3433" t="s">
        <v>1157</v>
      </c>
      <c r="B350" s="3433" t="s">
        <v>3003</v>
      </c>
      <c r="C350" s="3433">
        <v>3760</v>
      </c>
      <c r="D350" s="3433">
        <v>3730</v>
      </c>
      <c r="E350" s="3433">
        <v>4100</v>
      </c>
      <c r="F350" s="3433">
        <v>800</v>
      </c>
      <c r="G350" s="3433">
        <v>2230</v>
      </c>
      <c r="H350" s="3446"/>
    </row>
    <row r="351" spans="1:21">
      <c r="A351" s="3433" t="s">
        <v>1157</v>
      </c>
      <c r="B351" s="3433" t="s">
        <v>3004</v>
      </c>
      <c r="C351" s="3433">
        <v>3610</v>
      </c>
      <c r="D351" s="3433">
        <v>3580</v>
      </c>
      <c r="E351" s="3433">
        <v>3930</v>
      </c>
      <c r="F351" s="3433">
        <v>700</v>
      </c>
      <c r="G351" s="3433">
        <v>2140</v>
      </c>
      <c r="H351" s="3446"/>
    </row>
    <row r="352" spans="1:21">
      <c r="A352" s="3433" t="s">
        <v>1157</v>
      </c>
      <c r="B352" s="3433" t="s">
        <v>3005</v>
      </c>
      <c r="C352" s="3433">
        <v>3670</v>
      </c>
      <c r="D352" s="3433">
        <v>3630</v>
      </c>
      <c r="E352" s="3433">
        <v>4000</v>
      </c>
      <c r="F352" s="3433">
        <v>750</v>
      </c>
      <c r="G352" s="3433">
        <v>2180</v>
      </c>
      <c r="H352" s="3446"/>
    </row>
    <row r="353" spans="1:8">
      <c r="A353" s="3433" t="s">
        <v>1157</v>
      </c>
      <c r="B353" s="3433" t="s">
        <v>3006</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3007</v>
      </c>
      <c r="C355" s="3433">
        <v>3650</v>
      </c>
      <c r="D355" s="3433">
        <v>3610</v>
      </c>
      <c r="E355" s="3433">
        <v>4200</v>
      </c>
      <c r="F355" s="3433">
        <v>640</v>
      </c>
      <c r="G355" s="3433">
        <v>2160</v>
      </c>
      <c r="H355" s="3446"/>
    </row>
    <row r="356" spans="1:8">
      <c r="A356" s="3433" t="s">
        <v>1157</v>
      </c>
      <c r="B356" s="3433" t="s">
        <v>3008</v>
      </c>
      <c r="C356" s="3433">
        <v>3260</v>
      </c>
      <c r="D356" s="3433">
        <v>3230</v>
      </c>
      <c r="E356" s="3433">
        <v>3740</v>
      </c>
      <c r="F356" s="3433">
        <v>600</v>
      </c>
      <c r="G356" s="3433">
        <v>1930</v>
      </c>
      <c r="H356" s="3446"/>
    </row>
    <row r="357" spans="1:8" ht="15" thickBot="1">
      <c r="A357" s="3449" t="s">
        <v>1157</v>
      </c>
      <c r="B357" s="3449" t="s">
        <v>3009</v>
      </c>
      <c r="C357" s="3449">
        <v>3690</v>
      </c>
      <c r="D357" s="3449">
        <v>3650</v>
      </c>
      <c r="E357" s="3449">
        <v>4020</v>
      </c>
      <c r="F357" s="3449">
        <v>700</v>
      </c>
      <c r="G357" s="3449">
        <v>2190</v>
      </c>
      <c r="H357" s="3446"/>
    </row>
    <row r="358" spans="1:8">
      <c r="A358" s="3450" t="s">
        <v>2764</v>
      </c>
      <c r="B358" s="3451" t="s">
        <v>3010</v>
      </c>
      <c r="C358" s="3451">
        <v>2080</v>
      </c>
      <c r="D358" s="3451">
        <v>2040</v>
      </c>
      <c r="E358" s="3451">
        <v>2010</v>
      </c>
      <c r="F358" s="3451">
        <v>530</v>
      </c>
      <c r="G358" s="3452">
        <v>1230</v>
      </c>
      <c r="H358" s="3446"/>
    </row>
    <row r="359" spans="1:8">
      <c r="A359" s="3453" t="s">
        <v>2764</v>
      </c>
      <c r="B359" s="3433" t="s">
        <v>3011</v>
      </c>
      <c r="C359" s="3433">
        <v>1850</v>
      </c>
      <c r="D359" s="3433">
        <v>1820</v>
      </c>
      <c r="E359" s="3433">
        <v>1780</v>
      </c>
      <c r="F359" s="3433">
        <v>520</v>
      </c>
      <c r="G359" s="3445">
        <v>1100</v>
      </c>
      <c r="H359" s="3446"/>
    </row>
    <row r="360" spans="1:8">
      <c r="A360" s="3453" t="s">
        <v>2764</v>
      </c>
      <c r="B360" s="3433" t="s">
        <v>3012</v>
      </c>
      <c r="C360" s="3433">
        <v>2020</v>
      </c>
      <c r="D360" s="3433">
        <v>1990</v>
      </c>
      <c r="E360" s="3433">
        <v>1950</v>
      </c>
      <c r="F360" s="3433">
        <v>500</v>
      </c>
      <c r="G360" s="3445">
        <v>1200</v>
      </c>
      <c r="H360" s="3446"/>
    </row>
    <row r="361" spans="1:8">
      <c r="A361" s="3453" t="s">
        <v>2764</v>
      </c>
      <c r="B361" s="3433" t="s">
        <v>999</v>
      </c>
      <c r="C361" s="3433">
        <v>2260</v>
      </c>
      <c r="D361" s="3433">
        <v>2220</v>
      </c>
      <c r="E361" s="3433">
        <v>2180</v>
      </c>
      <c r="F361" s="3433">
        <v>580</v>
      </c>
      <c r="G361" s="3445">
        <v>1340</v>
      </c>
      <c r="H361" s="3446"/>
    </row>
    <row r="362" spans="1:8">
      <c r="A362" s="3453" t="s">
        <v>2764</v>
      </c>
      <c r="B362" s="3433" t="s">
        <v>3013</v>
      </c>
      <c r="C362" s="3433">
        <v>2650</v>
      </c>
      <c r="D362" s="3433">
        <v>2610</v>
      </c>
      <c r="E362" s="3433">
        <v>2570</v>
      </c>
      <c r="F362" s="3433">
        <v>630</v>
      </c>
      <c r="G362" s="3445">
        <v>1570</v>
      </c>
      <c r="H362" s="3446"/>
    </row>
    <row r="363" spans="1:8">
      <c r="A363" s="3453" t="s">
        <v>2764</v>
      </c>
      <c r="B363" s="3433" t="s">
        <v>3014</v>
      </c>
      <c r="C363" s="3433">
        <v>2390</v>
      </c>
      <c r="D363" s="3433">
        <v>2360</v>
      </c>
      <c r="E363" s="3433">
        <v>2320</v>
      </c>
      <c r="F363" s="3433">
        <v>600</v>
      </c>
      <c r="G363" s="3445">
        <v>1420</v>
      </c>
      <c r="H363" s="3446"/>
    </row>
    <row r="364" spans="1:8">
      <c r="A364" s="3453" t="s">
        <v>2764</v>
      </c>
      <c r="B364" s="3433" t="s">
        <v>3015</v>
      </c>
      <c r="C364" s="3433">
        <v>2050</v>
      </c>
      <c r="D364" s="3433">
        <v>2030</v>
      </c>
      <c r="E364" s="3433">
        <v>1990</v>
      </c>
      <c r="F364" s="3433">
        <v>550</v>
      </c>
      <c r="G364" s="3445">
        <v>1220</v>
      </c>
      <c r="H364" s="3446"/>
    </row>
    <row r="365" spans="1:8">
      <c r="A365" s="3453" t="s">
        <v>2764</v>
      </c>
      <c r="B365" s="3433" t="s">
        <v>1047</v>
      </c>
      <c r="C365" s="3433">
        <v>2140</v>
      </c>
      <c r="D365" s="3433">
        <v>2100</v>
      </c>
      <c r="E365" s="3433">
        <v>2060</v>
      </c>
      <c r="F365" s="3433">
        <v>540</v>
      </c>
      <c r="G365" s="3445">
        <v>1270</v>
      </c>
      <c r="H365" s="3446"/>
    </row>
    <row r="366" spans="1:8">
      <c r="A366" s="3453" t="s">
        <v>2764</v>
      </c>
      <c r="B366" s="3433" t="s">
        <v>3016</v>
      </c>
      <c r="C366" s="3433">
        <v>2410</v>
      </c>
      <c r="D366" s="3433">
        <v>2370</v>
      </c>
      <c r="E366" s="3433">
        <v>2330</v>
      </c>
      <c r="F366" s="3433">
        <v>570</v>
      </c>
      <c r="G366" s="3445">
        <v>1440</v>
      </c>
      <c r="H366" s="3446"/>
    </row>
    <row r="367" spans="1:8">
      <c r="A367" s="3453" t="s">
        <v>2764</v>
      </c>
      <c r="B367" s="3433" t="s">
        <v>3017</v>
      </c>
      <c r="C367" s="3433">
        <v>2300</v>
      </c>
      <c r="D367" s="3433">
        <v>2260</v>
      </c>
      <c r="E367" s="3433">
        <v>2220</v>
      </c>
      <c r="F367" s="3433">
        <v>560</v>
      </c>
      <c r="G367" s="3445">
        <v>1370</v>
      </c>
      <c r="H367" s="3446"/>
    </row>
    <row r="368" spans="1:8">
      <c r="A368" s="3453" t="s">
        <v>2764</v>
      </c>
      <c r="B368" s="3433" t="s">
        <v>3018</v>
      </c>
      <c r="C368" s="3433">
        <v>2430</v>
      </c>
      <c r="D368" s="3433">
        <v>2390</v>
      </c>
      <c r="E368" s="3433">
        <v>2350</v>
      </c>
      <c r="F368" s="3433">
        <v>570</v>
      </c>
      <c r="G368" s="3445">
        <v>1450</v>
      </c>
      <c r="H368" s="3446"/>
    </row>
    <row r="369" spans="1:8">
      <c r="A369" s="3453" t="s">
        <v>2764</v>
      </c>
      <c r="B369" s="3433" t="s">
        <v>1061</v>
      </c>
      <c r="C369" s="3433">
        <v>2320</v>
      </c>
      <c r="D369" s="3433">
        <v>2290</v>
      </c>
      <c r="E369" s="3433">
        <v>2250</v>
      </c>
      <c r="F369" s="3433">
        <v>550</v>
      </c>
      <c r="G369" s="3445">
        <v>1380</v>
      </c>
      <c r="H369" s="3446"/>
    </row>
    <row r="370" spans="1:8">
      <c r="A370" s="3453" t="s">
        <v>2764</v>
      </c>
      <c r="B370" s="3433" t="s">
        <v>1069</v>
      </c>
      <c r="C370" s="3433">
        <v>2190</v>
      </c>
      <c r="D370" s="3433">
        <v>2170</v>
      </c>
      <c r="E370" s="3433">
        <v>2130</v>
      </c>
      <c r="F370" s="3433">
        <v>530</v>
      </c>
      <c r="G370" s="3445">
        <v>1310</v>
      </c>
      <c r="H370" s="3446"/>
    </row>
    <row r="371" spans="1:8">
      <c r="A371" s="3453" t="s">
        <v>2764</v>
      </c>
      <c r="B371" s="3433" t="s">
        <v>1077</v>
      </c>
      <c r="C371" s="3433">
        <v>2460</v>
      </c>
      <c r="D371" s="3433">
        <v>2420</v>
      </c>
      <c r="E371" s="3433">
        <v>2370</v>
      </c>
      <c r="F371" s="3433">
        <v>560</v>
      </c>
      <c r="G371" s="3445">
        <v>1470</v>
      </c>
      <c r="H371" s="3446"/>
    </row>
    <row r="372" spans="1:8">
      <c r="A372" s="3453" t="s">
        <v>2764</v>
      </c>
      <c r="B372" s="3433" t="s">
        <v>3019</v>
      </c>
      <c r="C372" s="3433">
        <v>2250</v>
      </c>
      <c r="D372" s="3433">
        <v>2210</v>
      </c>
      <c r="E372" s="3433">
        <v>2180</v>
      </c>
      <c r="F372" s="3433">
        <v>550</v>
      </c>
      <c r="G372" s="3445">
        <v>1340</v>
      </c>
      <c r="H372" s="3446"/>
    </row>
    <row r="373" spans="1:8">
      <c r="A373" s="3453" t="s">
        <v>2764</v>
      </c>
      <c r="B373" s="3433" t="s">
        <v>1106</v>
      </c>
      <c r="C373" s="3433">
        <v>2210</v>
      </c>
      <c r="D373" s="3433">
        <v>2190</v>
      </c>
      <c r="E373" s="3433">
        <v>2150</v>
      </c>
      <c r="F373" s="3433">
        <v>530</v>
      </c>
      <c r="G373" s="3445">
        <v>1320</v>
      </c>
      <c r="H373" s="3446"/>
    </row>
    <row r="374" spans="1:8">
      <c r="A374" s="3453" t="s">
        <v>2764</v>
      </c>
      <c r="B374" s="3433" t="s">
        <v>1114</v>
      </c>
      <c r="C374" s="3433">
        <v>2320</v>
      </c>
      <c r="D374" s="3433">
        <v>2280</v>
      </c>
      <c r="E374" s="3433">
        <v>2230</v>
      </c>
      <c r="F374" s="3433">
        <v>580</v>
      </c>
      <c r="G374" s="3445">
        <v>1380</v>
      </c>
      <c r="H374" s="3446"/>
    </row>
    <row r="375" spans="1:8">
      <c r="A375" s="3453" t="s">
        <v>2764</v>
      </c>
      <c r="B375" s="3433" t="s">
        <v>3020</v>
      </c>
      <c r="C375" s="3433">
        <v>2090</v>
      </c>
      <c r="D375" s="3433">
        <v>2050</v>
      </c>
      <c r="E375" s="3433">
        <v>2020</v>
      </c>
      <c r="F375" s="3433">
        <v>520</v>
      </c>
      <c r="G375" s="3445">
        <v>1240</v>
      </c>
      <c r="H375" s="3446"/>
    </row>
    <row r="376" spans="1:8">
      <c r="A376" s="3453" t="s">
        <v>2764</v>
      </c>
      <c r="B376" s="3433" t="s">
        <v>1126</v>
      </c>
      <c r="C376" s="3433">
        <v>2010</v>
      </c>
      <c r="D376" s="3433">
        <v>1980</v>
      </c>
      <c r="E376" s="3433">
        <v>1940</v>
      </c>
      <c r="F376" s="3433">
        <v>540</v>
      </c>
      <c r="G376" s="3445">
        <v>1190</v>
      </c>
      <c r="H376" s="3446"/>
    </row>
    <row r="377" spans="1:8" ht="15" thickBot="1">
      <c r="A377" s="3455" t="s">
        <v>2764</v>
      </c>
      <c r="B377" s="3449" t="s">
        <v>3021</v>
      </c>
      <c r="C377" s="3449">
        <v>1930</v>
      </c>
      <c r="D377" s="3449">
        <v>1890</v>
      </c>
      <c r="E377" s="3449">
        <v>1860</v>
      </c>
      <c r="F377" s="3449">
        <v>530</v>
      </c>
      <c r="G377" s="3456">
        <v>1150</v>
      </c>
      <c r="H377" s="3446"/>
    </row>
    <row r="378" spans="1:8">
      <c r="A378" s="3450" t="s">
        <v>2765</v>
      </c>
      <c r="B378" s="3451" t="s">
        <v>3022</v>
      </c>
      <c r="C378" s="3451">
        <v>1520</v>
      </c>
      <c r="D378" s="3451">
        <v>1490</v>
      </c>
      <c r="E378" s="3451">
        <v>1460</v>
      </c>
      <c r="F378" s="3451">
        <v>460</v>
      </c>
      <c r="G378" s="3452">
        <v>940</v>
      </c>
      <c r="H378" s="3446"/>
    </row>
    <row r="379" spans="1:8">
      <c r="A379" s="3453" t="s">
        <v>2765</v>
      </c>
      <c r="B379" s="3433" t="s">
        <v>3023</v>
      </c>
      <c r="C379" s="3433">
        <v>1500</v>
      </c>
      <c r="D379" s="3433">
        <v>1470</v>
      </c>
      <c r="E379" s="3433">
        <v>1430</v>
      </c>
      <c r="F379" s="3433">
        <v>460</v>
      </c>
      <c r="G379" s="3445">
        <v>920</v>
      </c>
      <c r="H379" s="3446"/>
    </row>
    <row r="380" spans="1:8">
      <c r="A380" s="3453" t="s">
        <v>2765</v>
      </c>
      <c r="B380" s="3433" t="s">
        <v>3024</v>
      </c>
      <c r="C380" s="3433">
        <v>1620</v>
      </c>
      <c r="D380" s="3433">
        <v>1590</v>
      </c>
      <c r="E380" s="3433">
        <v>1560</v>
      </c>
      <c r="F380" s="3433">
        <v>480</v>
      </c>
      <c r="G380" s="3445">
        <v>1000</v>
      </c>
      <c r="H380" s="3446"/>
    </row>
    <row r="381" spans="1:8">
      <c r="A381" s="3453" t="s">
        <v>2765</v>
      </c>
      <c r="B381" s="3433" t="s">
        <v>3025</v>
      </c>
      <c r="C381" s="3433">
        <v>1460</v>
      </c>
      <c r="D381" s="3433">
        <v>1430</v>
      </c>
      <c r="E381" s="3433">
        <v>1390</v>
      </c>
      <c r="F381" s="3433">
        <v>450</v>
      </c>
      <c r="G381" s="3445">
        <v>900</v>
      </c>
      <c r="H381" s="3446"/>
    </row>
    <row r="382" spans="1:8">
      <c r="A382" s="3453" t="s">
        <v>2765</v>
      </c>
      <c r="B382" s="3433" t="s">
        <v>3026</v>
      </c>
      <c r="C382" s="3433">
        <v>1310</v>
      </c>
      <c r="D382" s="3433">
        <v>1280</v>
      </c>
      <c r="E382" s="3433">
        <v>1250</v>
      </c>
      <c r="F382" s="3433">
        <v>440</v>
      </c>
      <c r="G382" s="3445">
        <v>800</v>
      </c>
      <c r="H382" s="3446"/>
    </row>
    <row r="383" spans="1:8">
      <c r="A383" s="3453" t="s">
        <v>2765</v>
      </c>
      <c r="B383" s="3433" t="s">
        <v>3027</v>
      </c>
      <c r="C383" s="3433">
        <v>1260</v>
      </c>
      <c r="D383" s="3433">
        <v>1230</v>
      </c>
      <c r="E383" s="3433">
        <v>1200</v>
      </c>
      <c r="F383" s="3433">
        <v>420</v>
      </c>
      <c r="G383" s="3445">
        <v>770</v>
      </c>
      <c r="H383" s="3446"/>
    </row>
    <row r="384" spans="1:8" ht="15" thickBot="1">
      <c r="A384" s="3454" t="s">
        <v>2765</v>
      </c>
      <c r="B384" s="3448" t="s">
        <v>3028</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39" t="s">
        <v>3191</v>
      </c>
      <c r="B1" s="3939"/>
      <c r="C1" s="3939"/>
      <c r="D1" s="3939"/>
      <c r="E1" s="3939"/>
      <c r="F1" s="3940"/>
    </row>
    <row r="2" spans="1:6">
      <c r="A2" s="3500" t="s">
        <v>3192</v>
      </c>
      <c r="B2" s="3501"/>
      <c r="C2" s="3501"/>
      <c r="D2" s="3501"/>
      <c r="E2" s="3501"/>
      <c r="F2" s="3501"/>
    </row>
    <row r="3" spans="1:6">
      <c r="A3" s="3500" t="s">
        <v>3193</v>
      </c>
      <c r="B3" s="3501"/>
      <c r="C3" s="3501"/>
      <c r="D3" s="3501"/>
      <c r="E3" s="3501"/>
      <c r="F3" s="3502" t="s">
        <v>3194</v>
      </c>
    </row>
    <row r="4" spans="1:6">
      <c r="A4" s="3503" t="s">
        <v>3189</v>
      </c>
      <c r="B4" s="3503" t="s">
        <v>2740</v>
      </c>
      <c r="C4" s="3503" t="s">
        <v>1212</v>
      </c>
      <c r="D4" s="3503" t="s">
        <v>3190</v>
      </c>
      <c r="E4" s="3503" t="s">
        <v>905</v>
      </c>
      <c r="F4" s="3503" t="s">
        <v>3195</v>
      </c>
    </row>
    <row r="5" spans="1:6">
      <c r="A5" s="3504" t="s">
        <v>2763</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2764</v>
      </c>
      <c r="B16" s="3506">
        <v>2230</v>
      </c>
      <c r="C16" s="3506">
        <v>2200</v>
      </c>
      <c r="D16" s="3506">
        <v>2180</v>
      </c>
      <c r="E16" s="3506">
        <v>570</v>
      </c>
      <c r="F16" s="3506">
        <v>1330</v>
      </c>
    </row>
    <row r="17" spans="1:6">
      <c r="A17" s="3504" t="s">
        <v>2765</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40" t="s">
        <v>2777</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2764</v>
      </c>
      <c r="M2" s="975" t="s">
        <v>2765</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40" t="s">
        <v>2778</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2764</v>
      </c>
      <c r="M94" s="981" t="s">
        <v>2765</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40" t="s">
        <v>2779</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2764</v>
      </c>
      <c r="M186" s="981" t="s">
        <v>2765</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40" t="s">
        <v>2780</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2764</v>
      </c>
      <c r="M278" s="981" t="s">
        <v>2765</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40" t="s">
        <v>2781</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2764</v>
      </c>
      <c r="M370" s="981" t="s">
        <v>2765</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9" customWidth="1"/>
    <col min="2" max="2" width="13.88671875" style="3499" customWidth="1"/>
    <col min="3" max="7" width="8.88671875" style="3464"/>
    <col min="8" max="16384" width="8.88671875" style="1581"/>
  </cols>
  <sheetData>
    <row r="1" spans="1:7">
      <c r="A1" s="3941" t="s">
        <v>3029</v>
      </c>
      <c r="B1" s="3941"/>
    </row>
    <row r="2" spans="1:7" ht="15" thickBot="1">
      <c r="A2" s="3465"/>
      <c r="B2" s="3465"/>
    </row>
    <row r="3" spans="1:7" ht="15" thickBot="1">
      <c r="A3" s="3465"/>
      <c r="B3" s="3465"/>
      <c r="C3" s="3466" t="s">
        <v>3030</v>
      </c>
      <c r="D3" s="3466" t="s">
        <v>3031</v>
      </c>
      <c r="E3" s="3466" t="s">
        <v>3032</v>
      </c>
      <c r="F3" s="3466" t="s">
        <v>3033</v>
      </c>
      <c r="G3" s="3466" t="s">
        <v>3034</v>
      </c>
    </row>
    <row r="4" spans="1:7" ht="15" thickBot="1">
      <c r="A4" s="3467" t="s">
        <v>3035</v>
      </c>
      <c r="B4" s="3468" t="s">
        <v>3036</v>
      </c>
      <c r="C4" s="3466"/>
      <c r="D4" s="3466"/>
      <c r="E4" s="3466"/>
      <c r="F4" s="3466"/>
      <c r="G4" s="3466"/>
    </row>
    <row r="5" spans="1:7">
      <c r="A5" s="3469" t="s">
        <v>3037</v>
      </c>
      <c r="B5" s="3470" t="s">
        <v>3038</v>
      </c>
      <c r="C5" s="3471">
        <v>9.8000000000000004E-2</v>
      </c>
      <c r="D5" s="3471">
        <v>8.6999999999999994E-2</v>
      </c>
      <c r="E5" s="3471">
        <v>8.6999999999999994E-2</v>
      </c>
      <c r="F5" s="3471">
        <v>9.8000000000000004E-2</v>
      </c>
      <c r="G5" s="3472">
        <v>9.5000000000000001E-2</v>
      </c>
    </row>
    <row r="6" spans="1:7">
      <c r="A6" s="3473" t="s">
        <v>990</v>
      </c>
      <c r="B6" s="3474" t="s">
        <v>3039</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5" thickBot="1">
      <c r="A9" s="3477" t="s">
        <v>990</v>
      </c>
      <c r="B9" s="3478" t="s">
        <v>1001</v>
      </c>
      <c r="C9" s="3479">
        <v>0.1</v>
      </c>
      <c r="D9" s="3479">
        <v>0.1</v>
      </c>
      <c r="E9" s="3479">
        <v>0.1</v>
      </c>
      <c r="F9" s="3480"/>
      <c r="G9" s="3481">
        <v>0.1</v>
      </c>
    </row>
    <row r="10" spans="1:7">
      <c r="A10" s="3469" t="s">
        <v>1031</v>
      </c>
      <c r="B10" s="3470" t="s">
        <v>3040</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3041</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5" thickBot="1">
      <c r="A29" s="3477" t="s">
        <v>1031</v>
      </c>
      <c r="B29" s="3478" t="s">
        <v>2827</v>
      </c>
      <c r="C29" s="3483"/>
      <c r="D29" s="3479">
        <v>5.1999999999999998E-2</v>
      </c>
      <c r="E29" s="3479">
        <v>7.0000000000000007E-2</v>
      </c>
      <c r="F29" s="3483"/>
      <c r="G29" s="3481">
        <v>7.0999999999999994E-2</v>
      </c>
    </row>
    <row r="30" spans="1:7">
      <c r="A30" s="3484" t="s">
        <v>1145</v>
      </c>
      <c r="B30" s="3470" t="s">
        <v>3042</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3043</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2829</v>
      </c>
      <c r="C50" s="3475">
        <v>9.8000000000000004E-2</v>
      </c>
      <c r="D50" s="3475">
        <v>7.2999999999999995E-2</v>
      </c>
      <c r="E50" s="3475">
        <v>7.0999999999999994E-2</v>
      </c>
      <c r="F50" s="3486"/>
      <c r="G50" s="3476">
        <v>7.2999999999999995E-2</v>
      </c>
    </row>
    <row r="51" spans="1:7">
      <c r="A51" s="3485" t="s">
        <v>1145</v>
      </c>
      <c r="B51" s="3474" t="s">
        <v>2830</v>
      </c>
      <c r="C51" s="3475">
        <v>9.9000000000000005E-2</v>
      </c>
      <c r="D51" s="3475">
        <v>8.5000000000000006E-2</v>
      </c>
      <c r="E51" s="3475">
        <v>6.3E-2</v>
      </c>
      <c r="F51" s="3486"/>
      <c r="G51" s="3476">
        <v>9.6000000000000002E-2</v>
      </c>
    </row>
    <row r="52" spans="1:7">
      <c r="A52" s="3485" t="s">
        <v>1145</v>
      </c>
      <c r="B52" s="3474" t="s">
        <v>2831</v>
      </c>
      <c r="C52" s="3475">
        <v>7.3999999999999996E-2</v>
      </c>
      <c r="D52" s="3475">
        <v>9.6000000000000002E-2</v>
      </c>
      <c r="E52" s="3475">
        <v>0.05</v>
      </c>
      <c r="F52" s="3486"/>
      <c r="G52" s="3476">
        <v>9.8000000000000004E-2</v>
      </c>
    </row>
    <row r="53" spans="1:7">
      <c r="A53" s="3485" t="s">
        <v>1145</v>
      </c>
      <c r="B53" s="3474" t="s">
        <v>2832</v>
      </c>
      <c r="C53" s="3475">
        <v>8.5999999999999993E-2</v>
      </c>
      <c r="D53" s="3486"/>
      <c r="E53" s="3475">
        <v>9.1999999999999998E-2</v>
      </c>
      <c r="F53" s="3486"/>
      <c r="G53" s="3487"/>
    </row>
    <row r="54" spans="1:7" ht="15" thickBot="1">
      <c r="A54" s="3488" t="s">
        <v>1145</v>
      </c>
      <c r="B54" s="3478" t="s">
        <v>2833</v>
      </c>
      <c r="C54" s="3479">
        <v>9.6000000000000002E-2</v>
      </c>
      <c r="D54" s="3480"/>
      <c r="E54" s="3489"/>
      <c r="F54" s="3480"/>
      <c r="G54" s="3490"/>
    </row>
    <row r="55" spans="1:7">
      <c r="A55" s="3484" t="s">
        <v>853</v>
      </c>
      <c r="B55" s="3470" t="s">
        <v>3044</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2835</v>
      </c>
      <c r="C78" s="3475">
        <v>0.1</v>
      </c>
      <c r="D78" s="3475">
        <v>8.5000000000000006E-2</v>
      </c>
      <c r="E78" s="3475">
        <v>9.6000000000000002E-2</v>
      </c>
      <c r="F78" s="3486"/>
      <c r="G78" s="3476">
        <v>9.6000000000000002E-2</v>
      </c>
    </row>
    <row r="79" spans="1:7">
      <c r="A79" s="3485" t="s">
        <v>853</v>
      </c>
      <c r="B79" s="3474" t="s">
        <v>2836</v>
      </c>
      <c r="C79" s="3475">
        <v>0.05</v>
      </c>
      <c r="D79" s="3475">
        <v>9.6000000000000002E-2</v>
      </c>
      <c r="E79" s="3475">
        <v>9.5000000000000001E-2</v>
      </c>
      <c r="F79" s="3486"/>
      <c r="G79" s="3476">
        <v>9.8000000000000004E-2</v>
      </c>
    </row>
    <row r="80" spans="1:7">
      <c r="A80" s="3485" t="s">
        <v>853</v>
      </c>
      <c r="B80" s="3474" t="s">
        <v>2837</v>
      </c>
      <c r="C80" s="3475">
        <v>8.5999999999999993E-2</v>
      </c>
      <c r="D80" s="3491"/>
      <c r="E80" s="3475">
        <v>0.1</v>
      </c>
      <c r="F80" s="3486"/>
      <c r="G80" s="3487"/>
    </row>
    <row r="81" spans="1:7">
      <c r="A81" s="3485" t="s">
        <v>853</v>
      </c>
      <c r="B81" s="3474" t="s">
        <v>2838</v>
      </c>
      <c r="C81" s="3475">
        <v>9.6000000000000002E-2</v>
      </c>
      <c r="D81" s="3486"/>
      <c r="E81" s="3475">
        <v>9.8000000000000004E-2</v>
      </c>
      <c r="F81" s="3486"/>
      <c r="G81" s="3487"/>
    </row>
    <row r="82" spans="1:7">
      <c r="A82" s="3485" t="s">
        <v>853</v>
      </c>
      <c r="B82" s="3474" t="s">
        <v>2839</v>
      </c>
      <c r="C82" s="3491"/>
      <c r="D82" s="3486"/>
      <c r="E82" s="3475">
        <v>7.6999999999999999E-2</v>
      </c>
      <c r="F82" s="3486"/>
      <c r="G82" s="3487"/>
    </row>
    <row r="83" spans="1:7">
      <c r="A83" s="3485" t="s">
        <v>853</v>
      </c>
      <c r="B83" s="3474" t="s">
        <v>3045</v>
      </c>
      <c r="C83" s="3486"/>
      <c r="D83" s="3486"/>
      <c r="E83" s="3486"/>
      <c r="F83" s="3475">
        <v>0.1</v>
      </c>
      <c r="G83" s="3492"/>
    </row>
    <row r="84" spans="1:7">
      <c r="A84" s="3485" t="s">
        <v>853</v>
      </c>
      <c r="B84" s="3474" t="s">
        <v>3046</v>
      </c>
      <c r="C84" s="3486"/>
      <c r="D84" s="3486"/>
      <c r="E84" s="3486"/>
      <c r="F84" s="3475">
        <v>0.1</v>
      </c>
      <c r="G84" s="3492"/>
    </row>
    <row r="85" spans="1:7">
      <c r="A85" s="3485" t="s">
        <v>853</v>
      </c>
      <c r="B85" s="3474" t="s">
        <v>3047</v>
      </c>
      <c r="C85" s="3486"/>
      <c r="D85" s="3486"/>
      <c r="E85" s="3486"/>
      <c r="F85" s="3475">
        <v>0.1</v>
      </c>
      <c r="G85" s="3492"/>
    </row>
    <row r="86" spans="1:7" ht="15" thickBot="1">
      <c r="A86" s="3488" t="s">
        <v>853</v>
      </c>
      <c r="B86" s="3478" t="s">
        <v>3048</v>
      </c>
      <c r="C86" s="3479">
        <v>9.8000000000000004E-2</v>
      </c>
      <c r="D86" s="3479">
        <v>9.8000000000000004E-2</v>
      </c>
      <c r="E86" s="3479">
        <v>9.6000000000000002E-2</v>
      </c>
      <c r="F86" s="3489"/>
      <c r="G86" s="3481">
        <v>0.1</v>
      </c>
    </row>
    <row r="87" spans="1:7">
      <c r="A87" s="3484" t="s">
        <v>1152</v>
      </c>
      <c r="B87" s="3470" t="s">
        <v>3049</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2845</v>
      </c>
      <c r="C113" s="3475">
        <v>0.1</v>
      </c>
      <c r="D113" s="3475">
        <v>0.1</v>
      </c>
      <c r="E113" s="3486"/>
      <c r="F113" s="3486"/>
      <c r="G113" s="3476">
        <v>0.1</v>
      </c>
    </row>
    <row r="114" spans="1:7">
      <c r="A114" s="3485" t="s">
        <v>1152</v>
      </c>
      <c r="B114" s="3474" t="s">
        <v>2846</v>
      </c>
      <c r="C114" s="3475">
        <v>9.7000000000000003E-2</v>
      </c>
      <c r="D114" s="3475">
        <v>9.7000000000000003E-2</v>
      </c>
      <c r="E114" s="3486"/>
      <c r="F114" s="3486"/>
      <c r="G114" s="3476">
        <v>9.9000000000000005E-2</v>
      </c>
    </row>
    <row r="115" spans="1:7">
      <c r="A115" s="3485" t="s">
        <v>1152</v>
      </c>
      <c r="B115" s="3474" t="s">
        <v>2847</v>
      </c>
      <c r="C115" s="3475">
        <v>0.1</v>
      </c>
      <c r="D115" s="3475">
        <v>0.1</v>
      </c>
      <c r="E115" s="3486"/>
      <c r="F115" s="3486"/>
      <c r="G115" s="3476">
        <v>0.1</v>
      </c>
    </row>
    <row r="116" spans="1:7">
      <c r="A116" s="3485" t="s">
        <v>1152</v>
      </c>
      <c r="B116" s="3474" t="s">
        <v>2848</v>
      </c>
      <c r="C116" s="3475">
        <v>0.1</v>
      </c>
      <c r="D116" s="3475">
        <v>0.1</v>
      </c>
      <c r="E116" s="3486"/>
      <c r="F116" s="3486"/>
      <c r="G116" s="3476">
        <v>0.1</v>
      </c>
    </row>
    <row r="117" spans="1:7">
      <c r="A117" s="3485" t="s">
        <v>1152</v>
      </c>
      <c r="B117" s="3474" t="s">
        <v>2849</v>
      </c>
      <c r="C117" s="3475">
        <v>9.7000000000000003E-2</v>
      </c>
      <c r="D117" s="3475">
        <v>9.7000000000000003E-2</v>
      </c>
      <c r="E117" s="3486"/>
      <c r="F117" s="3486"/>
      <c r="G117" s="3476">
        <v>9.7000000000000003E-2</v>
      </c>
    </row>
    <row r="118" spans="1:7">
      <c r="A118" s="3485" t="s">
        <v>1152</v>
      </c>
      <c r="B118" s="3474" t="s">
        <v>2850</v>
      </c>
      <c r="C118" s="3475">
        <v>0.1</v>
      </c>
      <c r="D118" s="3475">
        <v>0.1</v>
      </c>
      <c r="E118" s="3486"/>
      <c r="F118" s="3486"/>
      <c r="G118" s="3476">
        <v>0.1</v>
      </c>
    </row>
    <row r="119" spans="1:7">
      <c r="A119" s="3485" t="s">
        <v>1152</v>
      </c>
      <c r="B119" s="3474" t="s">
        <v>2851</v>
      </c>
      <c r="C119" s="3475">
        <v>5.0999999999999997E-2</v>
      </c>
      <c r="D119" s="3475">
        <v>5.1999999999999998E-2</v>
      </c>
      <c r="E119" s="3486"/>
      <c r="F119" s="3491"/>
      <c r="G119" s="3476">
        <v>0.06</v>
      </c>
    </row>
    <row r="120" spans="1:7">
      <c r="A120" s="3485" t="s">
        <v>1152</v>
      </c>
      <c r="B120" s="3474" t="s">
        <v>3050</v>
      </c>
      <c r="C120" s="3486"/>
      <c r="D120" s="3486"/>
      <c r="E120" s="3486"/>
      <c r="F120" s="3475">
        <v>0.1</v>
      </c>
      <c r="G120" s="3492"/>
    </row>
    <row r="121" spans="1:7">
      <c r="A121" s="3485" t="s">
        <v>1152</v>
      </c>
      <c r="B121" s="3474" t="s">
        <v>3051</v>
      </c>
      <c r="C121" s="3486"/>
      <c r="D121" s="3486"/>
      <c r="E121" s="3486"/>
      <c r="F121" s="3475">
        <v>0.1</v>
      </c>
      <c r="G121" s="3492"/>
    </row>
    <row r="122" spans="1:7">
      <c r="A122" s="3485" t="s">
        <v>1152</v>
      </c>
      <c r="B122" s="3474" t="s">
        <v>3052</v>
      </c>
      <c r="C122" s="3475">
        <v>0.1</v>
      </c>
      <c r="D122" s="3475">
        <v>0.1</v>
      </c>
      <c r="E122" s="3475">
        <v>9.8000000000000004E-2</v>
      </c>
      <c r="F122" s="3475">
        <v>0.1</v>
      </c>
      <c r="G122" s="3476">
        <v>0.1</v>
      </c>
    </row>
    <row r="123" spans="1:7">
      <c r="A123" s="3485" t="s">
        <v>1152</v>
      </c>
      <c r="B123" s="3474" t="s">
        <v>2855</v>
      </c>
      <c r="C123" s="3475">
        <v>0.1</v>
      </c>
      <c r="D123" s="3475">
        <v>0.1</v>
      </c>
      <c r="E123" s="3475">
        <v>9.8000000000000004E-2</v>
      </c>
      <c r="F123" s="3475">
        <v>0.1</v>
      </c>
      <c r="G123" s="3476">
        <v>0.1</v>
      </c>
    </row>
    <row r="124" spans="1:7">
      <c r="A124" s="3485" t="s">
        <v>1152</v>
      </c>
      <c r="B124" s="3474" t="s">
        <v>2856</v>
      </c>
      <c r="C124" s="3475">
        <v>0.1</v>
      </c>
      <c r="D124" s="3475">
        <v>0.1</v>
      </c>
      <c r="E124" s="3475">
        <v>9.8000000000000004E-2</v>
      </c>
      <c r="F124" s="3491"/>
      <c r="G124" s="3476">
        <v>0.1</v>
      </c>
    </row>
    <row r="125" spans="1:7">
      <c r="A125" s="3485" t="s">
        <v>1152</v>
      </c>
      <c r="B125" s="3474" t="s">
        <v>2857</v>
      </c>
      <c r="C125" s="3475">
        <v>9.8000000000000004E-2</v>
      </c>
      <c r="D125" s="3475">
        <v>9.8000000000000004E-2</v>
      </c>
      <c r="E125" s="3475">
        <v>9.6000000000000002E-2</v>
      </c>
      <c r="F125" s="3491"/>
      <c r="G125" s="3476">
        <v>0.1</v>
      </c>
    </row>
    <row r="126" spans="1:7" ht="15" thickBot="1">
      <c r="A126" s="3488" t="s">
        <v>1152</v>
      </c>
      <c r="B126" s="3478" t="s">
        <v>3053</v>
      </c>
      <c r="C126" s="3479">
        <v>0.1</v>
      </c>
      <c r="D126" s="3479">
        <v>0.1</v>
      </c>
      <c r="E126" s="3479">
        <v>9.8000000000000004E-2</v>
      </c>
      <c r="F126" s="3479">
        <v>0.1</v>
      </c>
      <c r="G126" s="3481">
        <v>0.1</v>
      </c>
    </row>
    <row r="127" spans="1:7">
      <c r="A127" s="3484" t="s">
        <v>1153</v>
      </c>
      <c r="B127" s="3470" t="s">
        <v>3054</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3055</v>
      </c>
      <c r="C148" s="3475">
        <v>0.13</v>
      </c>
      <c r="D148" s="3475">
        <v>0.13</v>
      </c>
      <c r="E148" s="3475">
        <v>0.13</v>
      </c>
      <c r="F148" s="3486"/>
      <c r="G148" s="3476">
        <v>0.13</v>
      </c>
    </row>
    <row r="149" spans="1:7">
      <c r="A149" s="3485" t="s">
        <v>1153</v>
      </c>
      <c r="B149" s="3474" t="s">
        <v>3056</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2862</v>
      </c>
      <c r="C153" s="3475">
        <v>0.13</v>
      </c>
      <c r="D153" s="3475">
        <v>0.13</v>
      </c>
      <c r="E153" s="3475">
        <v>0.13</v>
      </c>
      <c r="F153" s="3475">
        <v>0.13</v>
      </c>
      <c r="G153" s="3476">
        <v>0.13</v>
      </c>
    </row>
    <row r="154" spans="1:7">
      <c r="A154" s="3485" t="s">
        <v>1153</v>
      </c>
      <c r="B154" s="3474" t="s">
        <v>3057</v>
      </c>
      <c r="C154" s="3475">
        <v>0.121</v>
      </c>
      <c r="D154" s="3475">
        <v>0.121</v>
      </c>
      <c r="E154" s="3475">
        <v>0.105</v>
      </c>
      <c r="F154" s="3475">
        <v>0.121</v>
      </c>
      <c r="G154" s="3476">
        <v>0.123</v>
      </c>
    </row>
    <row r="155" spans="1:7">
      <c r="A155" s="3485" t="s">
        <v>1153</v>
      </c>
      <c r="B155" s="3474" t="s">
        <v>2864</v>
      </c>
      <c r="C155" s="3475">
        <v>0.1</v>
      </c>
      <c r="D155" s="3475">
        <v>0.1</v>
      </c>
      <c r="E155" s="3475">
        <v>0.1</v>
      </c>
      <c r="F155" s="3475">
        <v>0.1</v>
      </c>
      <c r="G155" s="3476">
        <v>0.1</v>
      </c>
    </row>
    <row r="156" spans="1:7">
      <c r="A156" s="3485" t="s">
        <v>1153</v>
      </c>
      <c r="B156" s="3474" t="s">
        <v>3058</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3059</v>
      </c>
      <c r="C160" s="3475">
        <v>0.13</v>
      </c>
      <c r="D160" s="3475">
        <v>0.13</v>
      </c>
      <c r="E160" s="3475">
        <v>0.124</v>
      </c>
      <c r="F160" s="3475">
        <v>0.126</v>
      </c>
      <c r="G160" s="3476">
        <v>0.13</v>
      </c>
    </row>
    <row r="161" spans="1:7">
      <c r="A161" s="3485" t="s">
        <v>1153</v>
      </c>
      <c r="B161" s="3474" t="s">
        <v>2867</v>
      </c>
      <c r="C161" s="3475">
        <v>0.13</v>
      </c>
      <c r="D161" s="3475">
        <v>0.13</v>
      </c>
      <c r="E161" s="3475">
        <v>0.124</v>
      </c>
      <c r="F161" s="3475">
        <v>0.127</v>
      </c>
      <c r="G161" s="3476">
        <v>0.13</v>
      </c>
    </row>
    <row r="162" spans="1:7">
      <c r="A162" s="3485" t="s">
        <v>1153</v>
      </c>
      <c r="B162" s="3474" t="s">
        <v>2868</v>
      </c>
      <c r="C162" s="3475">
        <v>0.1</v>
      </c>
      <c r="D162" s="3475">
        <v>0.1</v>
      </c>
      <c r="E162" s="3475">
        <v>0.1</v>
      </c>
      <c r="F162" s="3475">
        <v>0.121</v>
      </c>
      <c r="G162" s="3476">
        <v>0.105</v>
      </c>
    </row>
    <row r="163" spans="1:7">
      <c r="A163" s="3485" t="s">
        <v>1153</v>
      </c>
      <c r="B163" s="3474" t="s">
        <v>2869</v>
      </c>
      <c r="C163" s="3475">
        <v>0.1</v>
      </c>
      <c r="D163" s="3475">
        <v>0.1</v>
      </c>
      <c r="E163" s="3475">
        <v>0.1</v>
      </c>
      <c r="F163" s="3475">
        <v>0.1</v>
      </c>
      <c r="G163" s="3476">
        <v>0.1</v>
      </c>
    </row>
    <row r="164" spans="1:7">
      <c r="A164" s="3485" t="s">
        <v>1153</v>
      </c>
      <c r="B164" s="3474" t="s">
        <v>2870</v>
      </c>
      <c r="C164" s="3491"/>
      <c r="D164" s="3491"/>
      <c r="E164" s="3491"/>
      <c r="F164" s="3475">
        <v>0.1</v>
      </c>
      <c r="G164" s="3487"/>
    </row>
    <row r="165" spans="1:7">
      <c r="A165" s="3485" t="s">
        <v>1153</v>
      </c>
      <c r="B165" s="3474" t="s">
        <v>3060</v>
      </c>
      <c r="C165" s="3475">
        <v>0.126</v>
      </c>
      <c r="D165" s="3475">
        <v>0.126</v>
      </c>
      <c r="E165" s="3475">
        <v>0.11899999999999999</v>
      </c>
      <c r="F165" s="3475">
        <v>0.13</v>
      </c>
      <c r="G165" s="3476">
        <v>0.128</v>
      </c>
    </row>
    <row r="166" spans="1:7">
      <c r="A166" s="3485" t="s">
        <v>1153</v>
      </c>
      <c r="B166" s="3474" t="s">
        <v>2872</v>
      </c>
      <c r="C166" s="3475">
        <v>0.129</v>
      </c>
      <c r="D166" s="3475">
        <v>0.129</v>
      </c>
      <c r="E166" s="3475">
        <v>0.123</v>
      </c>
      <c r="F166" s="3475">
        <v>0.128</v>
      </c>
      <c r="G166" s="3476">
        <v>0.13</v>
      </c>
    </row>
    <row r="167" spans="1:7">
      <c r="A167" s="3485" t="s">
        <v>1153</v>
      </c>
      <c r="B167" s="3474" t="s">
        <v>2873</v>
      </c>
      <c r="C167" s="3475">
        <v>0.125</v>
      </c>
      <c r="D167" s="3475">
        <v>0.125</v>
      </c>
      <c r="E167" s="3475">
        <v>0.11700000000000001</v>
      </c>
      <c r="F167" s="3475">
        <v>0.13</v>
      </c>
      <c r="G167" s="3476">
        <v>0.126</v>
      </c>
    </row>
    <row r="168" spans="1:7">
      <c r="A168" s="3485" t="s">
        <v>1153</v>
      </c>
      <c r="B168" s="3474" t="s">
        <v>2874</v>
      </c>
      <c r="C168" s="3475">
        <v>0.128</v>
      </c>
      <c r="D168" s="3475">
        <v>0.128</v>
      </c>
      <c r="E168" s="3475">
        <v>0.123</v>
      </c>
      <c r="F168" s="3486"/>
      <c r="G168" s="3476">
        <v>0.13</v>
      </c>
    </row>
    <row r="169" spans="1:7">
      <c r="A169" s="3485" t="s">
        <v>1153</v>
      </c>
      <c r="B169" s="3474" t="s">
        <v>3061</v>
      </c>
      <c r="C169" s="3491"/>
      <c r="D169" s="3491"/>
      <c r="E169" s="3491"/>
      <c r="F169" s="3475">
        <v>0.05</v>
      </c>
      <c r="G169" s="3487"/>
    </row>
    <row r="170" spans="1:7">
      <c r="A170" s="3485" t="s">
        <v>1153</v>
      </c>
      <c r="B170" s="3474" t="s">
        <v>3062</v>
      </c>
      <c r="C170" s="3491"/>
      <c r="D170" s="3491"/>
      <c r="E170" s="3491"/>
      <c r="F170" s="3475">
        <v>0.05</v>
      </c>
      <c r="G170" s="3487"/>
    </row>
    <row r="171" spans="1:7">
      <c r="A171" s="3485" t="s">
        <v>1153</v>
      </c>
      <c r="B171" s="3474" t="s">
        <v>3063</v>
      </c>
      <c r="C171" s="3491"/>
      <c r="D171" s="3491"/>
      <c r="E171" s="3491"/>
      <c r="F171" s="3475">
        <v>0.05</v>
      </c>
      <c r="G171" s="3492"/>
    </row>
    <row r="172" spans="1:7">
      <c r="A172" s="3485" t="s">
        <v>1153</v>
      </c>
      <c r="B172" s="3474" t="s">
        <v>3064</v>
      </c>
      <c r="C172" s="3491"/>
      <c r="D172" s="3491"/>
      <c r="E172" s="3491"/>
      <c r="F172" s="3475">
        <v>0.05</v>
      </c>
      <c r="G172" s="3492"/>
    </row>
    <row r="173" spans="1:7">
      <c r="A173" s="3485" t="s">
        <v>1153</v>
      </c>
      <c r="B173" s="3474" t="s">
        <v>3065</v>
      </c>
      <c r="C173" s="3491"/>
      <c r="D173" s="3491"/>
      <c r="E173" s="3491"/>
      <c r="F173" s="3475">
        <v>0.05</v>
      </c>
      <c r="G173" s="3487"/>
    </row>
    <row r="174" spans="1:7">
      <c r="A174" s="3485" t="s">
        <v>1153</v>
      </c>
      <c r="B174" s="3474" t="s">
        <v>3066</v>
      </c>
      <c r="C174" s="3491"/>
      <c r="D174" s="3491"/>
      <c r="E174" s="3491"/>
      <c r="F174" s="3475">
        <v>0.05</v>
      </c>
      <c r="G174" s="3487"/>
    </row>
    <row r="175" spans="1:7">
      <c r="A175" s="3485" t="s">
        <v>1153</v>
      </c>
      <c r="B175" s="3474" t="s">
        <v>3067</v>
      </c>
      <c r="C175" s="3491"/>
      <c r="D175" s="3491"/>
      <c r="E175" s="3491"/>
      <c r="F175" s="3475">
        <v>0.05</v>
      </c>
      <c r="G175" s="3487"/>
    </row>
    <row r="176" spans="1:7">
      <c r="A176" s="3485" t="s">
        <v>1153</v>
      </c>
      <c r="B176" s="3474" t="s">
        <v>3068</v>
      </c>
      <c r="C176" s="3491"/>
      <c r="D176" s="3491"/>
      <c r="E176" s="3491"/>
      <c r="F176" s="3475">
        <v>0.05</v>
      </c>
      <c r="G176" s="3487"/>
    </row>
    <row r="177" spans="1:7">
      <c r="A177" s="3485" t="s">
        <v>1153</v>
      </c>
      <c r="B177" s="3474" t="s">
        <v>3069</v>
      </c>
      <c r="C177" s="3486"/>
      <c r="D177" s="3486"/>
      <c r="E177" s="3486"/>
      <c r="F177" s="3475">
        <v>0.05</v>
      </c>
      <c r="G177" s="3492"/>
    </row>
    <row r="178" spans="1:7">
      <c r="A178" s="3485" t="s">
        <v>1153</v>
      </c>
      <c r="B178" s="3474" t="s">
        <v>3070</v>
      </c>
      <c r="C178" s="3486"/>
      <c r="D178" s="3486"/>
      <c r="E178" s="3486"/>
      <c r="F178" s="3475">
        <v>0.05</v>
      </c>
      <c r="G178" s="3492"/>
    </row>
    <row r="179" spans="1:7">
      <c r="A179" s="3485" t="s">
        <v>1153</v>
      </c>
      <c r="B179" s="3474" t="s">
        <v>3071</v>
      </c>
      <c r="C179" s="3486"/>
      <c r="D179" s="3486"/>
      <c r="E179" s="3486"/>
      <c r="F179" s="3475">
        <v>0.05</v>
      </c>
      <c r="G179" s="3492"/>
    </row>
    <row r="180" spans="1:7">
      <c r="A180" s="3485" t="s">
        <v>1153</v>
      </c>
      <c r="B180" s="3474" t="s">
        <v>3072</v>
      </c>
      <c r="C180" s="3486"/>
      <c r="D180" s="3486"/>
      <c r="E180" s="3486"/>
      <c r="F180" s="3475">
        <v>0.05</v>
      </c>
      <c r="G180" s="3492"/>
    </row>
    <row r="181" spans="1:7">
      <c r="A181" s="3485" t="s">
        <v>1153</v>
      </c>
      <c r="B181" s="3474" t="s">
        <v>3073</v>
      </c>
      <c r="C181" s="3486"/>
      <c r="D181" s="3486"/>
      <c r="E181" s="3486"/>
      <c r="F181" s="3475">
        <v>0.05</v>
      </c>
      <c r="G181" s="3492"/>
    </row>
    <row r="182" spans="1:7">
      <c r="A182" s="3485" t="s">
        <v>1153</v>
      </c>
      <c r="B182" s="3474" t="s">
        <v>3074</v>
      </c>
      <c r="C182" s="3486"/>
      <c r="D182" s="3486"/>
      <c r="E182" s="3486"/>
      <c r="F182" s="3475">
        <v>0.05</v>
      </c>
      <c r="G182" s="3492"/>
    </row>
    <row r="183" spans="1:7">
      <c r="A183" s="3485" t="s">
        <v>1153</v>
      </c>
      <c r="B183" s="3474" t="s">
        <v>3075</v>
      </c>
      <c r="C183" s="3486"/>
      <c r="D183" s="3486"/>
      <c r="E183" s="3486"/>
      <c r="F183" s="3475">
        <v>0.05</v>
      </c>
      <c r="G183" s="3492"/>
    </row>
    <row r="184" spans="1:7">
      <c r="A184" s="3485" t="s">
        <v>1153</v>
      </c>
      <c r="B184" s="3474" t="s">
        <v>3076</v>
      </c>
      <c r="C184" s="3486"/>
      <c r="D184" s="3486"/>
      <c r="E184" s="3486"/>
      <c r="F184" s="3475">
        <v>0.05</v>
      </c>
      <c r="G184" s="3492"/>
    </row>
    <row r="185" spans="1:7">
      <c r="A185" s="3485" t="s">
        <v>1153</v>
      </c>
      <c r="B185" s="3474" t="s">
        <v>3077</v>
      </c>
      <c r="C185" s="3486"/>
      <c r="D185" s="3486"/>
      <c r="E185" s="3486"/>
      <c r="F185" s="3475">
        <v>0.05</v>
      </c>
      <c r="G185" s="3492"/>
    </row>
    <row r="186" spans="1:7">
      <c r="A186" s="3485" t="s">
        <v>1153</v>
      </c>
      <c r="B186" s="3474" t="s">
        <v>3078</v>
      </c>
      <c r="C186" s="3486"/>
      <c r="D186" s="3486"/>
      <c r="E186" s="3486"/>
      <c r="F186" s="3475">
        <v>0.05</v>
      </c>
      <c r="G186" s="3492"/>
    </row>
    <row r="187" spans="1:7">
      <c r="A187" s="3485" t="s">
        <v>1153</v>
      </c>
      <c r="B187" s="3474" t="s">
        <v>3079</v>
      </c>
      <c r="C187" s="3486"/>
      <c r="D187" s="3486"/>
      <c r="E187" s="3486"/>
      <c r="F187" s="3475">
        <v>0.05</v>
      </c>
      <c r="G187" s="3492"/>
    </row>
    <row r="188" spans="1:7">
      <c r="A188" s="3485" t="s">
        <v>1153</v>
      </c>
      <c r="B188" s="3474" t="s">
        <v>3080</v>
      </c>
      <c r="C188" s="3486"/>
      <c r="D188" s="3486"/>
      <c r="E188" s="3486"/>
      <c r="F188" s="3475">
        <v>0.05</v>
      </c>
      <c r="G188" s="3492"/>
    </row>
    <row r="189" spans="1:7" ht="15" thickBot="1">
      <c r="A189" s="3488" t="s">
        <v>1153</v>
      </c>
      <c r="B189" s="3478" t="s">
        <v>3081</v>
      </c>
      <c r="C189" s="3480"/>
      <c r="D189" s="3480"/>
      <c r="E189" s="3480"/>
      <c r="F189" s="3479">
        <v>0.05</v>
      </c>
      <c r="G189" s="3493"/>
    </row>
    <row r="190" spans="1:7">
      <c r="A190" s="3484" t="s">
        <v>1154</v>
      </c>
      <c r="B190" s="3470" t="s">
        <v>3082</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3083</v>
      </c>
      <c r="C199" s="3475">
        <v>0.13</v>
      </c>
      <c r="D199" s="3475">
        <v>0.13</v>
      </c>
      <c r="E199" s="3475">
        <v>0.13</v>
      </c>
      <c r="F199" s="3475">
        <v>0.13</v>
      </c>
      <c r="G199" s="3476">
        <v>0.13</v>
      </c>
    </row>
    <row r="200" spans="1:7">
      <c r="A200" s="3485" t="s">
        <v>1154</v>
      </c>
      <c r="B200" s="3474" t="s">
        <v>2898</v>
      </c>
      <c r="C200" s="3491"/>
      <c r="D200" s="3491"/>
      <c r="E200" s="3491"/>
      <c r="F200" s="3475">
        <v>0.13</v>
      </c>
      <c r="G200" s="3487"/>
    </row>
    <row r="201" spans="1:7">
      <c r="A201" s="3485" t="s">
        <v>1154</v>
      </c>
      <c r="B201" s="3474" t="s">
        <v>3084</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3085</v>
      </c>
      <c r="C203" s="3475">
        <v>0.129</v>
      </c>
      <c r="D203" s="3475">
        <v>0.129</v>
      </c>
      <c r="E203" s="3475">
        <v>0.13</v>
      </c>
      <c r="F203" s="3475">
        <v>0.13</v>
      </c>
      <c r="G203" s="3476">
        <v>0.13</v>
      </c>
    </row>
    <row r="204" spans="1:7">
      <c r="A204" s="3485" t="s">
        <v>1154</v>
      </c>
      <c r="B204" s="3474" t="s">
        <v>2901</v>
      </c>
      <c r="C204" s="3475">
        <v>0.129</v>
      </c>
      <c r="D204" s="3475">
        <v>0.129</v>
      </c>
      <c r="E204" s="3475">
        <v>0.123</v>
      </c>
      <c r="F204" s="3475">
        <v>0.13</v>
      </c>
      <c r="G204" s="3476">
        <v>0.13</v>
      </c>
    </row>
    <row r="205" spans="1:7">
      <c r="A205" s="3485" t="s">
        <v>1154</v>
      </c>
      <c r="B205" s="3474" t="s">
        <v>2902</v>
      </c>
      <c r="C205" s="3475">
        <v>0.13</v>
      </c>
      <c r="D205" s="3475">
        <v>0.13</v>
      </c>
      <c r="E205" s="3475">
        <v>0.13</v>
      </c>
      <c r="F205" s="3475">
        <v>0.13</v>
      </c>
      <c r="G205" s="3476">
        <v>0.13</v>
      </c>
    </row>
    <row r="206" spans="1:7">
      <c r="A206" s="3485" t="s">
        <v>1154</v>
      </c>
      <c r="B206" s="3474" t="s">
        <v>2903</v>
      </c>
      <c r="C206" s="3475">
        <v>0.13</v>
      </c>
      <c r="D206" s="3475">
        <v>0.13</v>
      </c>
      <c r="E206" s="3475">
        <v>0.13</v>
      </c>
      <c r="F206" s="3475">
        <v>0.128</v>
      </c>
      <c r="G206" s="3476">
        <v>0.13</v>
      </c>
    </row>
    <row r="207" spans="1:7">
      <c r="A207" s="3485" t="s">
        <v>1154</v>
      </c>
      <c r="B207" s="3474" t="s">
        <v>2904</v>
      </c>
      <c r="C207" s="3475">
        <v>0.13</v>
      </c>
      <c r="D207" s="3475">
        <v>0.13</v>
      </c>
      <c r="E207" s="3475">
        <v>0.13</v>
      </c>
      <c r="F207" s="3475">
        <v>0.13</v>
      </c>
      <c r="G207" s="3476">
        <v>0.13</v>
      </c>
    </row>
    <row r="208" spans="1:7">
      <c r="A208" s="3485" t="s">
        <v>1154</v>
      </c>
      <c r="B208" s="3474" t="s">
        <v>3086</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2906</v>
      </c>
      <c r="C210" s="3475">
        <v>0.121</v>
      </c>
      <c r="D210" s="3475">
        <v>0.121</v>
      </c>
      <c r="E210" s="3475">
        <v>0.125</v>
      </c>
      <c r="F210" s="3475">
        <v>0.13</v>
      </c>
      <c r="G210" s="3476">
        <v>0.123</v>
      </c>
    </row>
    <row r="211" spans="1:7">
      <c r="A211" s="3485" t="s">
        <v>1154</v>
      </c>
      <c r="B211" s="3474" t="s">
        <v>3087</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3088</v>
      </c>
      <c r="C214" s="3475">
        <v>0.128</v>
      </c>
      <c r="D214" s="3475">
        <v>0.128</v>
      </c>
      <c r="E214" s="3475">
        <v>0.13</v>
      </c>
      <c r="F214" s="3475">
        <v>0.13</v>
      </c>
      <c r="G214" s="3476">
        <v>0.13</v>
      </c>
    </row>
    <row r="215" spans="1:7">
      <c r="A215" s="3485" t="s">
        <v>1154</v>
      </c>
      <c r="B215" s="3474" t="s">
        <v>3089</v>
      </c>
      <c r="C215" s="3475">
        <v>0.13</v>
      </c>
      <c r="D215" s="3475">
        <v>0.13</v>
      </c>
      <c r="E215" s="3475">
        <v>0.13</v>
      </c>
      <c r="F215" s="3475">
        <v>0.129</v>
      </c>
      <c r="G215" s="3476">
        <v>0.13</v>
      </c>
    </row>
    <row r="216" spans="1:7">
      <c r="A216" s="3485" t="s">
        <v>1154</v>
      </c>
      <c r="B216" s="3474" t="s">
        <v>3090</v>
      </c>
      <c r="C216" s="3475">
        <v>0.13</v>
      </c>
      <c r="D216" s="3475">
        <v>0.13</v>
      </c>
      <c r="E216" s="3475">
        <v>0.13</v>
      </c>
      <c r="F216" s="3475">
        <v>0.13</v>
      </c>
      <c r="G216" s="3476">
        <v>0.13</v>
      </c>
    </row>
    <row r="217" spans="1:7">
      <c r="A217" s="3485" t="s">
        <v>1154</v>
      </c>
      <c r="B217" s="3474" t="s">
        <v>2910</v>
      </c>
      <c r="C217" s="3475">
        <v>0.129</v>
      </c>
      <c r="D217" s="3475">
        <v>0.129</v>
      </c>
      <c r="E217" s="3475">
        <v>0.13</v>
      </c>
      <c r="F217" s="3475">
        <v>0.13</v>
      </c>
      <c r="G217" s="3476">
        <v>0.13</v>
      </c>
    </row>
    <row r="218" spans="1:7">
      <c r="A218" s="3485" t="s">
        <v>1154</v>
      </c>
      <c r="B218" s="3474" t="s">
        <v>3091</v>
      </c>
      <c r="C218" s="3486"/>
      <c r="D218" s="3486"/>
      <c r="E218" s="3486"/>
      <c r="F218" s="3475">
        <v>0.05</v>
      </c>
      <c r="G218" s="3492"/>
    </row>
    <row r="219" spans="1:7">
      <c r="A219" s="3485" t="s">
        <v>1154</v>
      </c>
      <c r="B219" s="3474" t="s">
        <v>3092</v>
      </c>
      <c r="C219" s="3486"/>
      <c r="D219" s="3486"/>
      <c r="E219" s="3486"/>
      <c r="F219" s="3475">
        <v>0.05</v>
      </c>
      <c r="G219" s="3492"/>
    </row>
    <row r="220" spans="1:7">
      <c r="A220" s="3485" t="s">
        <v>1154</v>
      </c>
      <c r="B220" s="3474" t="s">
        <v>3093</v>
      </c>
      <c r="C220" s="3486"/>
      <c r="D220" s="3486"/>
      <c r="E220" s="3486"/>
      <c r="F220" s="3475">
        <v>0.05</v>
      </c>
      <c r="G220" s="3492"/>
    </row>
    <row r="221" spans="1:7">
      <c r="A221" s="3485" t="s">
        <v>1154</v>
      </c>
      <c r="B221" s="3474" t="s">
        <v>3094</v>
      </c>
      <c r="C221" s="3486"/>
      <c r="D221" s="3486"/>
      <c r="E221" s="3486"/>
      <c r="F221" s="3475">
        <v>0.05</v>
      </c>
      <c r="G221" s="3492"/>
    </row>
    <row r="222" spans="1:7">
      <c r="A222" s="3485" t="s">
        <v>1154</v>
      </c>
      <c r="B222" s="3474" t="s">
        <v>3095</v>
      </c>
      <c r="C222" s="3486"/>
      <c r="D222" s="3486"/>
      <c r="E222" s="3486"/>
      <c r="F222" s="3475">
        <v>0.05</v>
      </c>
      <c r="G222" s="3492"/>
    </row>
    <row r="223" spans="1:7">
      <c r="A223" s="3485" t="s">
        <v>1154</v>
      </c>
      <c r="B223" s="3474" t="s">
        <v>3096</v>
      </c>
      <c r="C223" s="3486"/>
      <c r="D223" s="3486"/>
      <c r="E223" s="3486"/>
      <c r="F223" s="3475">
        <v>0.05</v>
      </c>
      <c r="G223" s="3492"/>
    </row>
    <row r="224" spans="1:7">
      <c r="A224" s="3485" t="s">
        <v>1154</v>
      </c>
      <c r="B224" s="3474" t="s">
        <v>3097</v>
      </c>
      <c r="C224" s="3486"/>
      <c r="D224" s="3486"/>
      <c r="E224" s="3486"/>
      <c r="F224" s="3475">
        <v>0.05</v>
      </c>
      <c r="G224" s="3492"/>
    </row>
    <row r="225" spans="1:7">
      <c r="A225" s="3485" t="s">
        <v>1154</v>
      </c>
      <c r="B225" s="3474" t="s">
        <v>3098</v>
      </c>
      <c r="C225" s="3486"/>
      <c r="D225" s="3486"/>
      <c r="E225" s="3486"/>
      <c r="F225" s="3475">
        <v>0.05</v>
      </c>
      <c r="G225" s="3492"/>
    </row>
    <row r="226" spans="1:7">
      <c r="A226" s="3485" t="s">
        <v>1154</v>
      </c>
      <c r="B226" s="3474" t="s">
        <v>3099</v>
      </c>
      <c r="C226" s="3486"/>
      <c r="D226" s="3486"/>
      <c r="E226" s="3486"/>
      <c r="F226" s="3475">
        <v>0.05</v>
      </c>
      <c r="G226" s="3492"/>
    </row>
    <row r="227" spans="1:7">
      <c r="A227" s="3485" t="s">
        <v>1154</v>
      </c>
      <c r="B227" s="3474" t="s">
        <v>3100</v>
      </c>
      <c r="C227" s="3486"/>
      <c r="D227" s="3486"/>
      <c r="E227" s="3486"/>
      <c r="F227" s="3475">
        <v>0.05</v>
      </c>
      <c r="G227" s="3492"/>
    </row>
    <row r="228" spans="1:7">
      <c r="A228" s="3485" t="s">
        <v>1154</v>
      </c>
      <c r="B228" s="3474" t="s">
        <v>3101</v>
      </c>
      <c r="C228" s="3486"/>
      <c r="D228" s="3486"/>
      <c r="E228" s="3486"/>
      <c r="F228" s="3475">
        <v>0.05</v>
      </c>
      <c r="G228" s="3492"/>
    </row>
    <row r="229" spans="1:7">
      <c r="A229" s="3485" t="s">
        <v>1154</v>
      </c>
      <c r="B229" s="3474" t="s">
        <v>3102</v>
      </c>
      <c r="C229" s="3486"/>
      <c r="D229" s="3486"/>
      <c r="E229" s="3486"/>
      <c r="F229" s="3475">
        <v>0.05</v>
      </c>
      <c r="G229" s="3492"/>
    </row>
    <row r="230" spans="1:7">
      <c r="A230" s="3485" t="s">
        <v>1154</v>
      </c>
      <c r="B230" s="3474" t="s">
        <v>3103</v>
      </c>
      <c r="C230" s="3486"/>
      <c r="D230" s="3486"/>
      <c r="E230" s="3486"/>
      <c r="F230" s="3475">
        <v>0.05</v>
      </c>
      <c r="G230" s="3492"/>
    </row>
    <row r="231" spans="1:7">
      <c r="A231" s="3485" t="s">
        <v>1154</v>
      </c>
      <c r="B231" s="3474" t="s">
        <v>3104</v>
      </c>
      <c r="C231" s="3486"/>
      <c r="D231" s="3486"/>
      <c r="E231" s="3486"/>
      <c r="F231" s="3475">
        <v>0.05</v>
      </c>
      <c r="G231" s="3492"/>
    </row>
    <row r="232" spans="1:7">
      <c r="A232" s="3485" t="s">
        <v>1154</v>
      </c>
      <c r="B232" s="3474" t="s">
        <v>3105</v>
      </c>
      <c r="C232" s="3486"/>
      <c r="D232" s="3486"/>
      <c r="E232" s="3486"/>
      <c r="F232" s="3475">
        <v>0.05</v>
      </c>
      <c r="G232" s="3492"/>
    </row>
    <row r="233" spans="1:7" ht="15" thickBot="1">
      <c r="A233" s="3488" t="s">
        <v>1154</v>
      </c>
      <c r="B233" s="3478" t="s">
        <v>3106</v>
      </c>
      <c r="C233" s="3480"/>
      <c r="D233" s="3480"/>
      <c r="E233" s="3480"/>
      <c r="F233" s="3479">
        <v>0.05</v>
      </c>
      <c r="G233" s="3493"/>
    </row>
    <row r="234" spans="1:7">
      <c r="A234" s="3484" t="s">
        <v>1155</v>
      </c>
      <c r="B234" s="3470" t="s">
        <v>3107</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2928</v>
      </c>
      <c r="C238" s="3475">
        <v>0.14899999999999999</v>
      </c>
      <c r="D238" s="3475">
        <v>0.14899999999999999</v>
      </c>
      <c r="E238" s="3475">
        <v>0.15</v>
      </c>
      <c r="F238" s="3475">
        <v>0.15</v>
      </c>
      <c r="G238" s="3476">
        <v>0.15</v>
      </c>
    </row>
    <row r="239" spans="1:7">
      <c r="A239" s="3485" t="s">
        <v>1155</v>
      </c>
      <c r="B239" s="3474" t="s">
        <v>3108</v>
      </c>
      <c r="C239" s="3475">
        <v>0.15</v>
      </c>
      <c r="D239" s="3475">
        <v>0.15</v>
      </c>
      <c r="E239" s="3475">
        <v>0.15</v>
      </c>
      <c r="F239" s="3475">
        <v>0.15</v>
      </c>
      <c r="G239" s="3476">
        <v>0.15</v>
      </c>
    </row>
    <row r="240" spans="1:7">
      <c r="A240" s="3485" t="s">
        <v>1155</v>
      </c>
      <c r="B240" s="3474" t="s">
        <v>3109</v>
      </c>
      <c r="C240" s="3475">
        <v>0.15</v>
      </c>
      <c r="D240" s="3475">
        <v>0.15</v>
      </c>
      <c r="E240" s="3475">
        <v>0.15</v>
      </c>
      <c r="F240" s="3475">
        <v>0.15</v>
      </c>
      <c r="G240" s="3476">
        <v>0.15</v>
      </c>
    </row>
    <row r="241" spans="1:7">
      <c r="A241" s="3485" t="s">
        <v>1155</v>
      </c>
      <c r="B241" s="3474" t="s">
        <v>3110</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3111</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3112</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3113</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3114</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3115</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2937</v>
      </c>
      <c r="C258" s="3475">
        <v>0.14299999999999999</v>
      </c>
      <c r="D258" s="3475">
        <v>0.14299999999999999</v>
      </c>
      <c r="E258" s="3475">
        <v>0.15</v>
      </c>
      <c r="F258" s="3475">
        <v>0.14799999999999999</v>
      </c>
      <c r="G258" s="3476">
        <v>0.14599999999999999</v>
      </c>
    </row>
    <row r="259" spans="1:7">
      <c r="A259" s="3485" t="s">
        <v>1155</v>
      </c>
      <c r="B259" s="3474" t="s">
        <v>3116</v>
      </c>
      <c r="C259" s="3475">
        <v>0.14399999999999999</v>
      </c>
      <c r="D259" s="3475">
        <v>0.14399999999999999</v>
      </c>
      <c r="E259" s="3475">
        <v>0.14899999999999999</v>
      </c>
      <c r="F259" s="3475">
        <v>0.14699999999999999</v>
      </c>
      <c r="G259" s="3476">
        <v>0.14599999999999999</v>
      </c>
    </row>
    <row r="260" spans="1:7">
      <c r="A260" s="3485" t="s">
        <v>1155</v>
      </c>
      <c r="B260" s="3474" t="s">
        <v>3117</v>
      </c>
      <c r="C260" s="3475">
        <v>0.109</v>
      </c>
      <c r="D260" s="3475">
        <v>0.111</v>
      </c>
      <c r="E260" s="3475">
        <v>0.13100000000000001</v>
      </c>
      <c r="F260" s="3475">
        <v>0.126</v>
      </c>
      <c r="G260" s="3476">
        <v>0.11899999999999999</v>
      </c>
    </row>
    <row r="261" spans="1:7">
      <c r="A261" s="3485" t="s">
        <v>1155</v>
      </c>
      <c r="B261" s="3474" t="s">
        <v>3118</v>
      </c>
      <c r="C261" s="3475">
        <v>0.1</v>
      </c>
      <c r="D261" s="3475">
        <v>0.1</v>
      </c>
      <c r="E261" s="3475">
        <v>0.11799999999999999</v>
      </c>
      <c r="F261" s="3475">
        <v>0.108</v>
      </c>
      <c r="G261" s="3476">
        <v>0.107</v>
      </c>
    </row>
    <row r="262" spans="1:7">
      <c r="A262" s="3485" t="s">
        <v>1155</v>
      </c>
      <c r="B262" s="3474" t="s">
        <v>3119</v>
      </c>
      <c r="C262" s="3475">
        <v>0.1</v>
      </c>
      <c r="D262" s="3475">
        <v>0.1</v>
      </c>
      <c r="E262" s="3475">
        <v>0.1</v>
      </c>
      <c r="F262" s="3475">
        <v>0.14099999999999999</v>
      </c>
      <c r="G262" s="3476">
        <v>0.1</v>
      </c>
    </row>
    <row r="263" spans="1:7">
      <c r="A263" s="3485" t="s">
        <v>1155</v>
      </c>
      <c r="B263" s="3474" t="s">
        <v>3120</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3121</v>
      </c>
      <c r="C265" s="3486"/>
      <c r="D265" s="3486"/>
      <c r="E265" s="3486"/>
      <c r="F265" s="3475">
        <v>0.05</v>
      </c>
      <c r="G265" s="3492"/>
    </row>
    <row r="266" spans="1:7">
      <c r="A266" s="3485" t="s">
        <v>1155</v>
      </c>
      <c r="B266" s="3474" t="s">
        <v>3122</v>
      </c>
      <c r="C266" s="3486"/>
      <c r="D266" s="3486"/>
      <c r="E266" s="3486"/>
      <c r="F266" s="3475">
        <v>0.05</v>
      </c>
      <c r="G266" s="3492"/>
    </row>
    <row r="267" spans="1:7">
      <c r="A267" s="3485" t="s">
        <v>1155</v>
      </c>
      <c r="B267" s="3474" t="s">
        <v>3123</v>
      </c>
      <c r="C267" s="3486"/>
      <c r="D267" s="3486"/>
      <c r="E267" s="3486"/>
      <c r="F267" s="3475">
        <v>0.05</v>
      </c>
      <c r="G267" s="3492"/>
    </row>
    <row r="268" spans="1:7">
      <c r="A268" s="3485" t="s">
        <v>1155</v>
      </c>
      <c r="B268" s="3474" t="s">
        <v>3124</v>
      </c>
      <c r="C268" s="3486"/>
      <c r="D268" s="3486"/>
      <c r="E268" s="3486"/>
      <c r="F268" s="3475">
        <v>0.05</v>
      </c>
      <c r="G268" s="3492"/>
    </row>
    <row r="269" spans="1:7">
      <c r="A269" s="3485" t="s">
        <v>1155</v>
      </c>
      <c r="B269" s="3474" t="s">
        <v>3125</v>
      </c>
      <c r="C269" s="3486"/>
      <c r="D269" s="3486"/>
      <c r="E269" s="3486"/>
      <c r="F269" s="3475">
        <v>0.05</v>
      </c>
      <c r="G269" s="3492"/>
    </row>
    <row r="270" spans="1:7">
      <c r="A270" s="3485" t="s">
        <v>1155</v>
      </c>
      <c r="B270" s="3474" t="s">
        <v>3126</v>
      </c>
      <c r="C270" s="3486"/>
      <c r="D270" s="3486"/>
      <c r="E270" s="3486"/>
      <c r="F270" s="3475">
        <v>0.05</v>
      </c>
      <c r="G270" s="3492"/>
    </row>
    <row r="271" spans="1:7">
      <c r="A271" s="3485" t="s">
        <v>1155</v>
      </c>
      <c r="B271" s="3474" t="s">
        <v>3127</v>
      </c>
      <c r="C271" s="3486"/>
      <c r="D271" s="3486"/>
      <c r="E271" s="3486"/>
      <c r="F271" s="3475">
        <v>0.05</v>
      </c>
      <c r="G271" s="3492"/>
    </row>
    <row r="272" spans="1:7">
      <c r="A272" s="3485" t="s">
        <v>1155</v>
      </c>
      <c r="B272" s="3474" t="s">
        <v>3128</v>
      </c>
      <c r="C272" s="3486"/>
      <c r="D272" s="3486"/>
      <c r="E272" s="3486"/>
      <c r="F272" s="3475">
        <v>0.05</v>
      </c>
      <c r="G272" s="3492"/>
    </row>
    <row r="273" spans="1:7">
      <c r="A273" s="3485" t="s">
        <v>1155</v>
      </c>
      <c r="B273" s="3474" t="s">
        <v>3129</v>
      </c>
      <c r="C273" s="3486"/>
      <c r="D273" s="3486"/>
      <c r="E273" s="3486"/>
      <c r="F273" s="3475">
        <v>0.05</v>
      </c>
      <c r="G273" s="3492"/>
    </row>
    <row r="274" spans="1:7">
      <c r="A274" s="3485" t="s">
        <v>1155</v>
      </c>
      <c r="B274" s="3474" t="s">
        <v>3130</v>
      </c>
      <c r="C274" s="3486"/>
      <c r="D274" s="3486"/>
      <c r="E274" s="3486"/>
      <c r="F274" s="3475">
        <v>0.05</v>
      </c>
      <c r="G274" s="3492"/>
    </row>
    <row r="275" spans="1:7">
      <c r="A275" s="3485" t="s">
        <v>1155</v>
      </c>
      <c r="B275" s="3474" t="s">
        <v>3131</v>
      </c>
      <c r="C275" s="3486"/>
      <c r="D275" s="3486"/>
      <c r="E275" s="3486"/>
      <c r="F275" s="3475">
        <v>0.05</v>
      </c>
      <c r="G275" s="3492"/>
    </row>
    <row r="276" spans="1:7" ht="15" thickBot="1">
      <c r="A276" s="3488" t="s">
        <v>1155</v>
      </c>
      <c r="B276" s="3478" t="s">
        <v>3132</v>
      </c>
      <c r="C276" s="3480"/>
      <c r="D276" s="3480"/>
      <c r="E276" s="3480"/>
      <c r="F276" s="3479">
        <v>0.05</v>
      </c>
      <c r="G276" s="3493"/>
    </row>
    <row r="277" spans="1:7">
      <c r="A277" s="3484" t="s">
        <v>1156</v>
      </c>
      <c r="B277" s="3470" t="s">
        <v>3133</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3134</v>
      </c>
      <c r="C279" s="3475">
        <v>0.15</v>
      </c>
      <c r="D279" s="3475">
        <v>0.15</v>
      </c>
      <c r="E279" s="3475">
        <v>0.15</v>
      </c>
      <c r="F279" s="3475">
        <v>0.15</v>
      </c>
      <c r="G279" s="3476">
        <v>0.15</v>
      </c>
    </row>
    <row r="280" spans="1:7">
      <c r="A280" s="3485" t="s">
        <v>1156</v>
      </c>
      <c r="B280" s="3474" t="s">
        <v>3135</v>
      </c>
      <c r="C280" s="3475">
        <v>0.15</v>
      </c>
      <c r="D280" s="3475">
        <v>0.15</v>
      </c>
      <c r="E280" s="3475">
        <v>0.15</v>
      </c>
      <c r="F280" s="3475">
        <v>0.15</v>
      </c>
      <c r="G280" s="3476">
        <v>0.15</v>
      </c>
    </row>
    <row r="281" spans="1:7">
      <c r="A281" s="3485" t="s">
        <v>1156</v>
      </c>
      <c r="B281" s="3474" t="s">
        <v>3136</v>
      </c>
      <c r="C281" s="3475">
        <v>0.15</v>
      </c>
      <c r="D281" s="3475">
        <v>0.15</v>
      </c>
      <c r="E281" s="3475">
        <v>0.15</v>
      </c>
      <c r="F281" s="3475">
        <v>0.15</v>
      </c>
      <c r="G281" s="3476">
        <v>0.15</v>
      </c>
    </row>
    <row r="282" spans="1:7">
      <c r="A282" s="3485" t="s">
        <v>1156</v>
      </c>
      <c r="B282" s="3474" t="s">
        <v>3137</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3138</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3139</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2962</v>
      </c>
      <c r="C293" s="3475">
        <v>0.15</v>
      </c>
      <c r="D293" s="3475">
        <v>0.15</v>
      </c>
      <c r="E293" s="3475">
        <v>0.15</v>
      </c>
      <c r="F293" s="3475">
        <v>0.14499999999999999</v>
      </c>
      <c r="G293" s="3476">
        <v>0.15</v>
      </c>
    </row>
    <row r="294" spans="1:7">
      <c r="A294" s="3485" t="s">
        <v>1156</v>
      </c>
      <c r="B294" s="3474" t="s">
        <v>3140</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2964</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3141</v>
      </c>
      <c r="C302" s="3475">
        <v>0.15</v>
      </c>
      <c r="D302" s="3475">
        <v>0.15</v>
      </c>
      <c r="E302" s="3475">
        <v>0.15</v>
      </c>
      <c r="F302" s="3475">
        <v>0.14699999999999999</v>
      </c>
      <c r="G302" s="3476">
        <v>0.15</v>
      </c>
    </row>
    <row r="303" spans="1:7">
      <c r="A303" s="3485" t="s">
        <v>1156</v>
      </c>
      <c r="B303" s="3474" t="s">
        <v>2966</v>
      </c>
      <c r="C303" s="3475">
        <v>0.15</v>
      </c>
      <c r="D303" s="3475">
        <v>0.15</v>
      </c>
      <c r="E303" s="3475">
        <v>0.15</v>
      </c>
      <c r="F303" s="3475">
        <v>0.14199999999999999</v>
      </c>
      <c r="G303" s="3476">
        <v>0.15</v>
      </c>
    </row>
    <row r="304" spans="1:7">
      <c r="A304" s="3485" t="s">
        <v>1156</v>
      </c>
      <c r="B304" s="3474" t="s">
        <v>2967</v>
      </c>
      <c r="C304" s="3475">
        <v>0.15</v>
      </c>
      <c r="D304" s="3475">
        <v>0.15</v>
      </c>
      <c r="E304" s="3475">
        <v>0.15</v>
      </c>
      <c r="F304" s="3475">
        <v>0.14499999999999999</v>
      </c>
      <c r="G304" s="3476">
        <v>0.15</v>
      </c>
    </row>
    <row r="305" spans="1:7">
      <c r="A305" s="3485" t="s">
        <v>1156</v>
      </c>
      <c r="B305" s="3474" t="s">
        <v>2968</v>
      </c>
      <c r="C305" s="3475">
        <v>0.15</v>
      </c>
      <c r="D305" s="3475">
        <v>0.15</v>
      </c>
      <c r="E305" s="3475">
        <v>0.15</v>
      </c>
      <c r="F305" s="3475">
        <v>0.111</v>
      </c>
      <c r="G305" s="3476">
        <v>0.15</v>
      </c>
    </row>
    <row r="306" spans="1:7">
      <c r="A306" s="3485" t="s">
        <v>1156</v>
      </c>
      <c r="B306" s="3474" t="s">
        <v>3142</v>
      </c>
      <c r="C306" s="3475">
        <v>0.15</v>
      </c>
      <c r="D306" s="3475">
        <v>0.15</v>
      </c>
      <c r="E306" s="3475">
        <v>0.15</v>
      </c>
      <c r="F306" s="3475">
        <v>0.126</v>
      </c>
      <c r="G306" s="3476">
        <v>0.15</v>
      </c>
    </row>
    <row r="307" spans="1:7">
      <c r="A307" s="3485" t="s">
        <v>1156</v>
      </c>
      <c r="B307" s="3474" t="s">
        <v>2970</v>
      </c>
      <c r="C307" s="3475">
        <v>0.15</v>
      </c>
      <c r="D307" s="3475">
        <v>0.15</v>
      </c>
      <c r="E307" s="3475">
        <v>0.15</v>
      </c>
      <c r="F307" s="3475">
        <v>0.12</v>
      </c>
      <c r="G307" s="3476">
        <v>0.15</v>
      </c>
    </row>
    <row r="308" spans="1:7">
      <c r="A308" s="3485" t="s">
        <v>1156</v>
      </c>
      <c r="B308" s="3474" t="s">
        <v>3143</v>
      </c>
      <c r="C308" s="3475">
        <v>0.15</v>
      </c>
      <c r="D308" s="3475">
        <v>0.15</v>
      </c>
      <c r="E308" s="3475">
        <v>0.15</v>
      </c>
      <c r="F308" s="3475">
        <v>0.13</v>
      </c>
      <c r="G308" s="3476">
        <v>0.15</v>
      </c>
    </row>
    <row r="309" spans="1:7">
      <c r="A309" s="3485" t="s">
        <v>1156</v>
      </c>
      <c r="B309" s="3474" t="s">
        <v>3144</v>
      </c>
      <c r="C309" s="3475">
        <v>0.15</v>
      </c>
      <c r="D309" s="3475">
        <v>0.15</v>
      </c>
      <c r="E309" s="3475">
        <v>0.15</v>
      </c>
      <c r="F309" s="3475">
        <v>0.14099999999999999</v>
      </c>
      <c r="G309" s="3476">
        <v>0.15</v>
      </c>
    </row>
    <row r="310" spans="1:7">
      <c r="A310" s="3485" t="s">
        <v>1156</v>
      </c>
      <c r="B310" s="3474" t="s">
        <v>2973</v>
      </c>
      <c r="C310" s="3475">
        <v>0.15</v>
      </c>
      <c r="D310" s="3475">
        <v>0.15</v>
      </c>
      <c r="E310" s="3475">
        <v>0.15</v>
      </c>
      <c r="F310" s="3475">
        <v>0.15</v>
      </c>
      <c r="G310" s="3476">
        <v>0.15</v>
      </c>
    </row>
    <row r="311" spans="1:7">
      <c r="A311" s="3485" t="s">
        <v>1156</v>
      </c>
      <c r="B311" s="3474" t="s">
        <v>3145</v>
      </c>
      <c r="C311" s="3475">
        <v>0.13200000000000001</v>
      </c>
      <c r="D311" s="3475">
        <v>0.13300000000000001</v>
      </c>
      <c r="E311" s="3475">
        <v>0.14499999999999999</v>
      </c>
      <c r="F311" s="3475">
        <v>0.14199999999999999</v>
      </c>
      <c r="G311" s="3476">
        <v>0.14000000000000001</v>
      </c>
    </row>
    <row r="312" spans="1:7">
      <c r="A312" s="3485" t="s">
        <v>1156</v>
      </c>
      <c r="B312" s="3474" t="s">
        <v>2975</v>
      </c>
      <c r="C312" s="3475">
        <v>0.13800000000000001</v>
      </c>
      <c r="D312" s="3475">
        <v>0.14000000000000001</v>
      </c>
      <c r="E312" s="3475">
        <v>0.14599999999999999</v>
      </c>
      <c r="F312" s="3475">
        <v>0.14899999999999999</v>
      </c>
      <c r="G312" s="3476">
        <v>0.14199999999999999</v>
      </c>
    </row>
    <row r="313" spans="1:7">
      <c r="A313" s="3485" t="s">
        <v>1156</v>
      </c>
      <c r="B313" s="3474" t="s">
        <v>2976</v>
      </c>
      <c r="C313" s="3475">
        <v>0.125</v>
      </c>
      <c r="D313" s="3475">
        <v>0.127</v>
      </c>
      <c r="E313" s="3475">
        <v>0.14399999999999999</v>
      </c>
      <c r="F313" s="3475">
        <v>0.115</v>
      </c>
      <c r="G313" s="3476">
        <v>0.13600000000000001</v>
      </c>
    </row>
    <row r="314" spans="1:7">
      <c r="A314" s="3485" t="s">
        <v>1156</v>
      </c>
      <c r="B314" s="3474" t="s">
        <v>3146</v>
      </c>
      <c r="C314" s="3491"/>
      <c r="D314" s="3491"/>
      <c r="E314" s="3491"/>
      <c r="F314" s="3475">
        <v>0.05</v>
      </c>
      <c r="G314" s="3492"/>
    </row>
    <row r="315" spans="1:7">
      <c r="A315" s="3485" t="s">
        <v>1156</v>
      </c>
      <c r="B315" s="3474" t="s">
        <v>3147</v>
      </c>
      <c r="C315" s="3491"/>
      <c r="D315" s="3491"/>
      <c r="E315" s="3491"/>
      <c r="F315" s="3475">
        <v>0.05</v>
      </c>
      <c r="G315" s="3492"/>
    </row>
    <row r="316" spans="1:7">
      <c r="A316" s="3485" t="s">
        <v>1156</v>
      </c>
      <c r="B316" s="3474" t="s">
        <v>3148</v>
      </c>
      <c r="C316" s="3486"/>
      <c r="D316" s="3486"/>
      <c r="E316" s="3486"/>
      <c r="F316" s="3475">
        <v>0.05</v>
      </c>
      <c r="G316" s="3492"/>
    </row>
    <row r="317" spans="1:7">
      <c r="A317" s="3485" t="s">
        <v>1156</v>
      </c>
      <c r="B317" s="3474" t="s">
        <v>3149</v>
      </c>
      <c r="C317" s="3486"/>
      <c r="D317" s="3486"/>
      <c r="E317" s="3486"/>
      <c r="F317" s="3475">
        <v>0.05</v>
      </c>
      <c r="G317" s="3492"/>
    </row>
    <row r="318" spans="1:7">
      <c r="A318" s="3485" t="s">
        <v>1156</v>
      </c>
      <c r="B318" s="3474" t="s">
        <v>3150</v>
      </c>
      <c r="C318" s="3486"/>
      <c r="D318" s="3486"/>
      <c r="E318" s="3486"/>
      <c r="F318" s="3475">
        <v>0.05</v>
      </c>
      <c r="G318" s="3492"/>
    </row>
    <row r="319" spans="1:7">
      <c r="A319" s="3485" t="s">
        <v>1156</v>
      </c>
      <c r="B319" s="3474" t="s">
        <v>3151</v>
      </c>
      <c r="C319" s="3486"/>
      <c r="D319" s="3486"/>
      <c r="E319" s="3486"/>
      <c r="F319" s="3475">
        <v>0.05</v>
      </c>
      <c r="G319" s="3492"/>
    </row>
    <row r="320" spans="1:7">
      <c r="A320" s="3485" t="s">
        <v>1156</v>
      </c>
      <c r="B320" s="3474" t="s">
        <v>3152</v>
      </c>
      <c r="C320" s="3486"/>
      <c r="D320" s="3486"/>
      <c r="E320" s="3486"/>
      <c r="F320" s="3475">
        <v>0.05</v>
      </c>
      <c r="G320" s="3492"/>
    </row>
    <row r="321" spans="1:7">
      <c r="A321" s="3485" t="s">
        <v>1156</v>
      </c>
      <c r="B321" s="3474" t="s">
        <v>3153</v>
      </c>
      <c r="C321" s="3486"/>
      <c r="D321" s="3486"/>
      <c r="E321" s="3486"/>
      <c r="F321" s="3475">
        <v>0.05</v>
      </c>
      <c r="G321" s="3492"/>
    </row>
    <row r="322" spans="1:7">
      <c r="A322" s="3485" t="s">
        <v>1156</v>
      </c>
      <c r="B322" s="3474" t="s">
        <v>3154</v>
      </c>
      <c r="C322" s="3486"/>
      <c r="D322" s="3486"/>
      <c r="E322" s="3486"/>
      <c r="F322" s="3475">
        <v>0.05</v>
      </c>
      <c r="G322" s="3492"/>
    </row>
    <row r="323" spans="1:7">
      <c r="A323" s="3485" t="s">
        <v>1156</v>
      </c>
      <c r="B323" s="3474" t="s">
        <v>3155</v>
      </c>
      <c r="C323" s="3486"/>
      <c r="D323" s="3486"/>
      <c r="E323" s="3486"/>
      <c r="F323" s="3475">
        <v>0.05</v>
      </c>
      <c r="G323" s="3492"/>
    </row>
    <row r="324" spans="1:7">
      <c r="A324" s="3485" t="s">
        <v>1156</v>
      </c>
      <c r="B324" s="3474" t="s">
        <v>3156</v>
      </c>
      <c r="C324" s="3486"/>
      <c r="D324" s="3486"/>
      <c r="E324" s="3486"/>
      <c r="F324" s="3475">
        <v>0.05</v>
      </c>
      <c r="G324" s="3492"/>
    </row>
    <row r="325" spans="1:7">
      <c r="A325" s="3485" t="s">
        <v>1156</v>
      </c>
      <c r="B325" s="3474" t="s">
        <v>3157</v>
      </c>
      <c r="C325" s="3486"/>
      <c r="D325" s="3486"/>
      <c r="E325" s="3486"/>
      <c r="F325" s="3475">
        <v>0.05</v>
      </c>
      <c r="G325" s="3492"/>
    </row>
    <row r="326" spans="1:7" ht="15" thickBot="1">
      <c r="A326" s="3488" t="s">
        <v>1156</v>
      </c>
      <c r="B326" s="3478" t="s">
        <v>3158</v>
      </c>
      <c r="C326" s="3480"/>
      <c r="D326" s="3480"/>
      <c r="E326" s="3480"/>
      <c r="F326" s="3479">
        <v>0.05</v>
      </c>
      <c r="G326" s="3493"/>
    </row>
    <row r="327" spans="1:7">
      <c r="A327" s="3484" t="s">
        <v>1157</v>
      </c>
      <c r="B327" s="3470" t="s">
        <v>3159</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3160</v>
      </c>
      <c r="C329" s="3475">
        <v>0.15</v>
      </c>
      <c r="D329" s="3475">
        <v>0.15</v>
      </c>
      <c r="E329" s="3475">
        <v>0.15</v>
      </c>
      <c r="F329" s="3475">
        <v>0.15</v>
      </c>
      <c r="G329" s="3476">
        <v>0.15</v>
      </c>
    </row>
    <row r="330" spans="1:7">
      <c r="A330" s="3485" t="s">
        <v>1157</v>
      </c>
      <c r="B330" s="3474" t="s">
        <v>3161</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2993</v>
      </c>
      <c r="C332" s="3475">
        <v>0.15</v>
      </c>
      <c r="D332" s="3475">
        <v>0.15</v>
      </c>
      <c r="E332" s="3475">
        <v>0.15</v>
      </c>
      <c r="F332" s="3475">
        <v>0.15</v>
      </c>
      <c r="G332" s="3476">
        <v>0.15</v>
      </c>
    </row>
    <row r="333" spans="1:7">
      <c r="A333" s="3485" t="s">
        <v>1157</v>
      </c>
      <c r="B333" s="3474" t="s">
        <v>3162</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2995</v>
      </c>
      <c r="C336" s="3475">
        <v>0.15</v>
      </c>
      <c r="D336" s="3475">
        <v>0.15</v>
      </c>
      <c r="E336" s="3475">
        <v>0.15</v>
      </c>
      <c r="F336" s="3475">
        <v>0.14199999999999999</v>
      </c>
      <c r="G336" s="3476">
        <v>0.15</v>
      </c>
    </row>
    <row r="337" spans="1:7">
      <c r="A337" s="3485" t="s">
        <v>1157</v>
      </c>
      <c r="B337" s="3474" t="s">
        <v>3163</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3164</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3165</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2999</v>
      </c>
      <c r="C345" s="3475">
        <v>0.15</v>
      </c>
      <c r="D345" s="3475">
        <v>0.15</v>
      </c>
      <c r="E345" s="3475">
        <v>0.15</v>
      </c>
      <c r="F345" s="3475">
        <v>0.13800000000000001</v>
      </c>
      <c r="G345" s="3476">
        <v>0.15</v>
      </c>
    </row>
    <row r="346" spans="1:7">
      <c r="A346" s="3485" t="s">
        <v>1157</v>
      </c>
      <c r="B346" s="3474" t="s">
        <v>3166</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3001</v>
      </c>
      <c r="C348" s="3475">
        <v>0.15</v>
      </c>
      <c r="D348" s="3475">
        <v>0.15</v>
      </c>
      <c r="E348" s="3475">
        <v>0.15</v>
      </c>
      <c r="F348" s="3475">
        <v>0.14399999999999999</v>
      </c>
      <c r="G348" s="3476">
        <v>0.15</v>
      </c>
    </row>
    <row r="349" spans="1:7">
      <c r="A349" s="3485" t="s">
        <v>1157</v>
      </c>
      <c r="B349" s="3474" t="s">
        <v>3002</v>
      </c>
      <c r="C349" s="3475">
        <v>0.15</v>
      </c>
      <c r="D349" s="3475">
        <v>0.15</v>
      </c>
      <c r="E349" s="3475">
        <v>0.15</v>
      </c>
      <c r="F349" s="3475">
        <v>0.15</v>
      </c>
      <c r="G349" s="3476">
        <v>0.15</v>
      </c>
    </row>
    <row r="350" spans="1:7">
      <c r="A350" s="3485" t="s">
        <v>1157</v>
      </c>
      <c r="B350" s="3474" t="s">
        <v>3167</v>
      </c>
      <c r="C350" s="3475">
        <v>0.15</v>
      </c>
      <c r="D350" s="3475">
        <v>0.15</v>
      </c>
      <c r="E350" s="3475">
        <v>0.15</v>
      </c>
      <c r="F350" s="3475">
        <v>0.14699999999999999</v>
      </c>
      <c r="G350" s="3476">
        <v>0.15</v>
      </c>
    </row>
    <row r="351" spans="1:7">
      <c r="A351" s="3485" t="s">
        <v>1157</v>
      </c>
      <c r="B351" s="3474" t="s">
        <v>3004</v>
      </c>
      <c r="C351" s="3475">
        <v>0.15</v>
      </c>
      <c r="D351" s="3475">
        <v>0.15</v>
      </c>
      <c r="E351" s="3475">
        <v>0.15</v>
      </c>
      <c r="F351" s="3475">
        <v>0.13</v>
      </c>
      <c r="G351" s="3476">
        <v>0.15</v>
      </c>
    </row>
    <row r="352" spans="1:7">
      <c r="A352" s="3485" t="s">
        <v>1157</v>
      </c>
      <c r="B352" s="3474" t="s">
        <v>3005</v>
      </c>
      <c r="C352" s="3475">
        <v>0.15</v>
      </c>
      <c r="D352" s="3475">
        <v>0.15</v>
      </c>
      <c r="E352" s="3475">
        <v>0.15</v>
      </c>
      <c r="F352" s="3475">
        <v>0.14599999999999999</v>
      </c>
      <c r="G352" s="3476">
        <v>0.15</v>
      </c>
    </row>
    <row r="353" spans="1:7">
      <c r="A353" s="3485" t="s">
        <v>1157</v>
      </c>
      <c r="B353" s="3474" t="s">
        <v>3168</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3007</v>
      </c>
      <c r="C355" s="3475">
        <v>0.15</v>
      </c>
      <c r="D355" s="3475">
        <v>0.15</v>
      </c>
      <c r="E355" s="3475">
        <v>0.15</v>
      </c>
      <c r="F355" s="3475">
        <v>0.15</v>
      </c>
      <c r="G355" s="3476">
        <v>0.15</v>
      </c>
    </row>
    <row r="356" spans="1:7">
      <c r="A356" s="3485" t="s">
        <v>1157</v>
      </c>
      <c r="B356" s="3474" t="s">
        <v>3008</v>
      </c>
      <c r="C356" s="3475">
        <v>0.15</v>
      </c>
      <c r="D356" s="3475">
        <v>0.15</v>
      </c>
      <c r="E356" s="3475">
        <v>0.15</v>
      </c>
      <c r="F356" s="3475">
        <v>0.15</v>
      </c>
      <c r="G356" s="3476">
        <v>0.15</v>
      </c>
    </row>
    <row r="357" spans="1:7" ht="15" thickBot="1">
      <c r="A357" s="3488" t="s">
        <v>1157</v>
      </c>
      <c r="B357" s="3478" t="s">
        <v>3169</v>
      </c>
      <c r="C357" s="3479">
        <v>0.126</v>
      </c>
      <c r="D357" s="3479">
        <v>0.127</v>
      </c>
      <c r="E357" s="3479">
        <v>0.14299999999999999</v>
      </c>
      <c r="F357" s="3479">
        <v>0.125</v>
      </c>
      <c r="G357" s="3481">
        <v>0.129</v>
      </c>
    </row>
    <row r="358" spans="1:7">
      <c r="A358" s="3484" t="s">
        <v>3170</v>
      </c>
      <c r="B358" s="3470" t="s">
        <v>3171</v>
      </c>
      <c r="C358" s="3471">
        <v>0.15</v>
      </c>
      <c r="D358" s="3471">
        <v>0.15</v>
      </c>
      <c r="E358" s="3471">
        <v>0.15</v>
      </c>
      <c r="F358" s="3471">
        <v>0.15</v>
      </c>
      <c r="G358" s="3472">
        <v>0.15</v>
      </c>
    </row>
    <row r="359" spans="1:7">
      <c r="A359" s="3485" t="s">
        <v>3170</v>
      </c>
      <c r="B359" s="3474" t="s">
        <v>3172</v>
      </c>
      <c r="C359" s="3475">
        <v>0.1</v>
      </c>
      <c r="D359" s="3475">
        <v>0.1</v>
      </c>
      <c r="E359" s="3475">
        <v>0.1</v>
      </c>
      <c r="F359" s="3475">
        <v>0.1</v>
      </c>
      <c r="G359" s="3476">
        <v>0.1</v>
      </c>
    </row>
    <row r="360" spans="1:7">
      <c r="A360" s="3485" t="s">
        <v>3170</v>
      </c>
      <c r="B360" s="3474" t="s">
        <v>3173</v>
      </c>
      <c r="C360" s="3475">
        <v>0.15</v>
      </c>
      <c r="D360" s="3475">
        <v>0.15</v>
      </c>
      <c r="E360" s="3475">
        <v>0.15</v>
      </c>
      <c r="F360" s="3475">
        <v>0.14899999999999999</v>
      </c>
      <c r="G360" s="3476">
        <v>0.15</v>
      </c>
    </row>
    <row r="361" spans="1:7">
      <c r="A361" s="3485" t="s">
        <v>3170</v>
      </c>
      <c r="B361" s="3474" t="s">
        <v>999</v>
      </c>
      <c r="C361" s="3475">
        <v>0.15</v>
      </c>
      <c r="D361" s="3475">
        <v>0.15</v>
      </c>
      <c r="E361" s="3475">
        <v>0.15</v>
      </c>
      <c r="F361" s="3475">
        <v>0.115</v>
      </c>
      <c r="G361" s="3476">
        <v>0.15</v>
      </c>
    </row>
    <row r="362" spans="1:7">
      <c r="A362" s="3485" t="s">
        <v>3170</v>
      </c>
      <c r="B362" s="3474" t="s">
        <v>3174</v>
      </c>
      <c r="C362" s="3475">
        <v>0.15</v>
      </c>
      <c r="D362" s="3475">
        <v>0.15</v>
      </c>
      <c r="E362" s="3475">
        <v>0.15</v>
      </c>
      <c r="F362" s="3475">
        <v>0.106</v>
      </c>
      <c r="G362" s="3476">
        <v>0.15</v>
      </c>
    </row>
    <row r="363" spans="1:7">
      <c r="A363" s="3485" t="s">
        <v>3170</v>
      </c>
      <c r="B363" s="3474" t="s">
        <v>3014</v>
      </c>
      <c r="C363" s="3475">
        <v>0.15</v>
      </c>
      <c r="D363" s="3475">
        <v>0.15</v>
      </c>
      <c r="E363" s="3475">
        <v>0.15</v>
      </c>
      <c r="F363" s="3475">
        <v>0.14699999999999999</v>
      </c>
      <c r="G363" s="3476">
        <v>0.15</v>
      </c>
    </row>
    <row r="364" spans="1:7">
      <c r="A364" s="3485" t="s">
        <v>3170</v>
      </c>
      <c r="B364" s="3474" t="s">
        <v>3175</v>
      </c>
      <c r="C364" s="3475">
        <v>0.15</v>
      </c>
      <c r="D364" s="3475">
        <v>0.15</v>
      </c>
      <c r="E364" s="3475">
        <v>0.15</v>
      </c>
      <c r="F364" s="3475">
        <v>0.14799999999999999</v>
      </c>
      <c r="G364" s="3476">
        <v>0.15</v>
      </c>
    </row>
    <row r="365" spans="1:7">
      <c r="A365" s="3485" t="s">
        <v>3170</v>
      </c>
      <c r="B365" s="3474" t="s">
        <v>1047</v>
      </c>
      <c r="C365" s="3475">
        <v>0.15</v>
      </c>
      <c r="D365" s="3475">
        <v>0.15</v>
      </c>
      <c r="E365" s="3475">
        <v>0.15</v>
      </c>
      <c r="F365" s="3475">
        <v>0.15</v>
      </c>
      <c r="G365" s="3476">
        <v>0.15</v>
      </c>
    </row>
    <row r="366" spans="1:7">
      <c r="A366" s="3485" t="s">
        <v>3170</v>
      </c>
      <c r="B366" s="3474" t="s">
        <v>3016</v>
      </c>
      <c r="C366" s="3475">
        <v>0.15</v>
      </c>
      <c r="D366" s="3475">
        <v>0.15</v>
      </c>
      <c r="E366" s="3475">
        <v>0.15</v>
      </c>
      <c r="F366" s="3475">
        <v>0.15</v>
      </c>
      <c r="G366" s="3476">
        <v>0.15</v>
      </c>
    </row>
    <row r="367" spans="1:7">
      <c r="A367" s="3485" t="s">
        <v>3170</v>
      </c>
      <c r="B367" s="3474" t="s">
        <v>3176</v>
      </c>
      <c r="C367" s="3475">
        <v>0.15</v>
      </c>
      <c r="D367" s="3475">
        <v>0.15</v>
      </c>
      <c r="E367" s="3475">
        <v>0.15</v>
      </c>
      <c r="F367" s="3475">
        <v>0.14699999999999999</v>
      </c>
      <c r="G367" s="3476">
        <v>0.15</v>
      </c>
    </row>
    <row r="368" spans="1:7">
      <c r="A368" s="3485" t="s">
        <v>3170</v>
      </c>
      <c r="B368" s="3474" t="s">
        <v>3177</v>
      </c>
      <c r="C368" s="3475">
        <v>0.15</v>
      </c>
      <c r="D368" s="3475">
        <v>0.15</v>
      </c>
      <c r="E368" s="3475">
        <v>0.15</v>
      </c>
      <c r="F368" s="3475">
        <v>0.13600000000000001</v>
      </c>
      <c r="G368" s="3476">
        <v>0.15</v>
      </c>
    </row>
    <row r="369" spans="1:7">
      <c r="A369" s="3485" t="s">
        <v>3170</v>
      </c>
      <c r="B369" s="3474" t="s">
        <v>1061</v>
      </c>
      <c r="C369" s="3475">
        <v>0.15</v>
      </c>
      <c r="D369" s="3475">
        <v>0.15</v>
      </c>
      <c r="E369" s="3475">
        <v>0.15</v>
      </c>
      <c r="F369" s="3475">
        <v>0.14399999999999999</v>
      </c>
      <c r="G369" s="3476">
        <v>0.15</v>
      </c>
    </row>
    <row r="370" spans="1:7">
      <c r="A370" s="3485" t="s">
        <v>3170</v>
      </c>
      <c r="B370" s="3474" t="s">
        <v>1069</v>
      </c>
      <c r="C370" s="3475">
        <v>0.15</v>
      </c>
      <c r="D370" s="3475">
        <v>0.15</v>
      </c>
      <c r="E370" s="3475">
        <v>0.15</v>
      </c>
      <c r="F370" s="3475">
        <v>0.14599999999999999</v>
      </c>
      <c r="G370" s="3476">
        <v>0.15</v>
      </c>
    </row>
    <row r="371" spans="1:7">
      <c r="A371" s="3485" t="s">
        <v>3170</v>
      </c>
      <c r="B371" s="3474" t="s">
        <v>1077</v>
      </c>
      <c r="C371" s="3475">
        <v>0.15</v>
      </c>
      <c r="D371" s="3475">
        <v>0.15</v>
      </c>
      <c r="E371" s="3475">
        <v>0.15</v>
      </c>
      <c r="F371" s="3475">
        <v>0.12</v>
      </c>
      <c r="G371" s="3476">
        <v>0.15</v>
      </c>
    </row>
    <row r="372" spans="1:7">
      <c r="A372" s="3485" t="s">
        <v>3170</v>
      </c>
      <c r="B372" s="3474" t="s">
        <v>3178</v>
      </c>
      <c r="C372" s="3475">
        <v>0.15</v>
      </c>
      <c r="D372" s="3475">
        <v>0.15</v>
      </c>
      <c r="E372" s="3475">
        <v>0.15</v>
      </c>
      <c r="F372" s="3475">
        <v>0.14299999999999999</v>
      </c>
      <c r="G372" s="3476">
        <v>0.15</v>
      </c>
    </row>
    <row r="373" spans="1:7">
      <c r="A373" s="3485" t="s">
        <v>3170</v>
      </c>
      <c r="B373" s="3474" t="s">
        <v>1106</v>
      </c>
      <c r="C373" s="3475">
        <v>0.15</v>
      </c>
      <c r="D373" s="3475">
        <v>0.15</v>
      </c>
      <c r="E373" s="3475">
        <v>0.15</v>
      </c>
      <c r="F373" s="3475">
        <v>0.14599999999999999</v>
      </c>
      <c r="G373" s="3476">
        <v>0.15</v>
      </c>
    </row>
    <row r="374" spans="1:7">
      <c r="A374" s="3485" t="s">
        <v>3170</v>
      </c>
      <c r="B374" s="3474" t="s">
        <v>1114</v>
      </c>
      <c r="C374" s="3475">
        <v>0.15</v>
      </c>
      <c r="D374" s="3475">
        <v>0.15</v>
      </c>
      <c r="E374" s="3475">
        <v>0.15</v>
      </c>
      <c r="F374" s="3475">
        <v>0.14399999999999999</v>
      </c>
      <c r="G374" s="3476">
        <v>0.15</v>
      </c>
    </row>
    <row r="375" spans="1:7">
      <c r="A375" s="3485" t="s">
        <v>3170</v>
      </c>
      <c r="B375" s="3474" t="s">
        <v>3179</v>
      </c>
      <c r="C375" s="3475">
        <v>0.15</v>
      </c>
      <c r="D375" s="3475">
        <v>0.15</v>
      </c>
      <c r="E375" s="3475">
        <v>0.15</v>
      </c>
      <c r="F375" s="3475">
        <v>0.13</v>
      </c>
      <c r="G375" s="3476">
        <v>0.15</v>
      </c>
    </row>
    <row r="376" spans="1:7">
      <c r="A376" s="3485" t="s">
        <v>3170</v>
      </c>
      <c r="B376" s="3474" t="s">
        <v>1126</v>
      </c>
      <c r="C376" s="3475">
        <v>0.15</v>
      </c>
      <c r="D376" s="3475">
        <v>0.15</v>
      </c>
      <c r="E376" s="3475">
        <v>0.15</v>
      </c>
      <c r="F376" s="3475">
        <v>0.14199999999999999</v>
      </c>
      <c r="G376" s="3476">
        <v>0.15</v>
      </c>
    </row>
    <row r="377" spans="1:7" ht="15" thickBot="1">
      <c r="A377" s="3488" t="s">
        <v>3170</v>
      </c>
      <c r="B377" s="3478" t="s">
        <v>3021</v>
      </c>
      <c r="C377" s="3479">
        <v>0.15</v>
      </c>
      <c r="D377" s="3479">
        <v>0.15</v>
      </c>
      <c r="E377" s="3479">
        <v>0.15</v>
      </c>
      <c r="F377" s="3479">
        <v>0.14000000000000001</v>
      </c>
      <c r="G377" s="3481">
        <v>0.15</v>
      </c>
    </row>
    <row r="378" spans="1:7">
      <c r="A378" s="3484" t="s">
        <v>3180</v>
      </c>
      <c r="B378" s="3470" t="s">
        <v>3181</v>
      </c>
      <c r="C378" s="3471">
        <v>0.15</v>
      </c>
      <c r="D378" s="3471">
        <v>0.15</v>
      </c>
      <c r="E378" s="3471">
        <v>0.15</v>
      </c>
      <c r="F378" s="3471">
        <v>0.107</v>
      </c>
      <c r="G378" s="3472">
        <v>0.15</v>
      </c>
    </row>
    <row r="379" spans="1:7">
      <c r="A379" s="3485" t="s">
        <v>3180</v>
      </c>
      <c r="B379" s="3474" t="s">
        <v>3182</v>
      </c>
      <c r="C379" s="3475">
        <v>0.15</v>
      </c>
      <c r="D379" s="3475">
        <v>0.15</v>
      </c>
      <c r="E379" s="3475">
        <v>0.15</v>
      </c>
      <c r="F379" s="3475">
        <v>0.115</v>
      </c>
      <c r="G379" s="3476">
        <v>0.14899999999999999</v>
      </c>
    </row>
    <row r="380" spans="1:7">
      <c r="A380" s="3485" t="s">
        <v>3183</v>
      </c>
      <c r="B380" s="3474" t="s">
        <v>3184</v>
      </c>
      <c r="C380" s="3475">
        <v>0.15</v>
      </c>
      <c r="D380" s="3475">
        <v>0.15</v>
      </c>
      <c r="E380" s="3475">
        <v>0.15</v>
      </c>
      <c r="F380" s="3475">
        <v>0.1</v>
      </c>
      <c r="G380" s="3476">
        <v>0.14799999999999999</v>
      </c>
    </row>
    <row r="381" spans="1:7">
      <c r="A381" s="3485" t="s">
        <v>3183</v>
      </c>
      <c r="B381" s="3474" t="s">
        <v>3185</v>
      </c>
      <c r="C381" s="3475">
        <v>0.15</v>
      </c>
      <c r="D381" s="3475">
        <v>0.15</v>
      </c>
      <c r="E381" s="3475">
        <v>0.15</v>
      </c>
      <c r="F381" s="3475">
        <v>0.126</v>
      </c>
      <c r="G381" s="3476">
        <v>0.15</v>
      </c>
    </row>
    <row r="382" spans="1:7">
      <c r="A382" s="3485" t="s">
        <v>3183</v>
      </c>
      <c r="B382" s="3474" t="s">
        <v>3186</v>
      </c>
      <c r="C382" s="3475">
        <v>0.15</v>
      </c>
      <c r="D382" s="3475">
        <v>0.15</v>
      </c>
      <c r="E382" s="3475">
        <v>0.15</v>
      </c>
      <c r="F382" s="3475">
        <v>0.15</v>
      </c>
      <c r="G382" s="3476">
        <v>0.15</v>
      </c>
    </row>
    <row r="383" spans="1:7">
      <c r="A383" s="3485" t="s">
        <v>3183</v>
      </c>
      <c r="B383" s="3474" t="s">
        <v>3187</v>
      </c>
      <c r="C383" s="3475">
        <v>0.15</v>
      </c>
      <c r="D383" s="3475">
        <v>0.15</v>
      </c>
      <c r="E383" s="3475">
        <v>0.15</v>
      </c>
      <c r="F383" s="3475">
        <v>0.14699999999999999</v>
      </c>
      <c r="G383" s="3476">
        <v>0.15</v>
      </c>
    </row>
    <row r="384" spans="1:7" ht="15" thickBot="1">
      <c r="A384" s="3495" t="s">
        <v>3183</v>
      </c>
      <c r="B384" s="3496" t="s">
        <v>3188</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9"/>
    <col min="2" max="6" width="9" style="2639" customWidth="1"/>
    <col min="7" max="7" width="9" style="2667" customWidth="1"/>
    <col min="8" max="12" width="9" style="2639" customWidth="1"/>
    <col min="13" max="13" width="2.21875" style="2639" customWidth="1"/>
    <col min="14" max="14" width="9" style="2667" customWidth="1"/>
    <col min="15" max="17" width="9" style="2639" customWidth="1"/>
    <col min="18" max="18" width="2.33203125" style="2639" customWidth="1"/>
    <col min="19" max="19" width="7.109375" style="2667" customWidth="1"/>
    <col min="20" max="22" width="7.109375" style="2639" customWidth="1"/>
    <col min="23" max="23" width="24" style="2639" customWidth="1"/>
    <col min="24" max="25" width="9" style="2639"/>
    <col min="26" max="27" width="11.6640625" style="2639" customWidth="1"/>
    <col min="28" max="28" width="9" style="2639"/>
    <col min="29" max="29" width="2" style="2639" customWidth="1"/>
    <col min="30" max="16384" width="9" style="2639"/>
  </cols>
  <sheetData>
    <row r="1" spans="1:34" s="2617" customFormat="1">
      <c r="B1" s="3944" t="s">
        <v>1858</v>
      </c>
      <c r="C1" s="3944"/>
      <c r="D1" s="3944"/>
      <c r="E1" s="3944"/>
      <c r="F1" s="3944"/>
      <c r="G1" s="3943" t="s">
        <v>1859</v>
      </c>
      <c r="H1" s="3943"/>
      <c r="I1" s="3943"/>
      <c r="J1" s="3943"/>
      <c r="K1" s="3943"/>
      <c r="L1" s="3943"/>
      <c r="N1" s="3943" t="s">
        <v>1860</v>
      </c>
      <c r="O1" s="3943"/>
      <c r="P1" s="3943"/>
      <c r="Q1" s="3943"/>
      <c r="S1" s="3943" t="s">
        <v>1861</v>
      </c>
      <c r="T1" s="3943"/>
      <c r="U1" s="3943"/>
      <c r="V1" s="3943"/>
      <c r="X1" s="3942" t="s">
        <v>1921</v>
      </c>
      <c r="Y1" s="3943"/>
      <c r="Z1" s="3943"/>
      <c r="AA1" s="3943"/>
      <c r="AB1" s="3943"/>
      <c r="AD1" s="3942" t="s">
        <v>1925</v>
      </c>
      <c r="AE1" s="3943"/>
      <c r="AF1" s="3943"/>
      <c r="AG1" s="3943"/>
      <c r="AH1" s="3943"/>
    </row>
    <row r="2" spans="1:34" s="2618" customFormat="1" ht="15" thickBot="1">
      <c r="B2" s="2619" t="s">
        <v>1862</v>
      </c>
      <c r="C2" s="2619" t="s">
        <v>1923</v>
      </c>
      <c r="D2" s="2620" t="s">
        <v>1179</v>
      </c>
      <c r="E2" s="2620" t="s">
        <v>1469</v>
      </c>
      <c r="F2" s="2619" t="s">
        <v>1924</v>
      </c>
      <c r="G2" s="2621"/>
      <c r="I2" s="2619" t="s">
        <v>2216</v>
      </c>
      <c r="J2" s="2620" t="s">
        <v>2218</v>
      </c>
      <c r="K2" s="2620" t="s">
        <v>2219</v>
      </c>
      <c r="L2" s="2619" t="s">
        <v>2220</v>
      </c>
      <c r="N2" s="2619" t="s">
        <v>1862</v>
      </c>
      <c r="O2" s="2620" t="s">
        <v>2217</v>
      </c>
      <c r="P2" s="2620" t="s">
        <v>1469</v>
      </c>
      <c r="Q2" s="2619" t="s">
        <v>1924</v>
      </c>
      <c r="S2" s="2619" t="s">
        <v>1862</v>
      </c>
      <c r="T2" s="2620" t="s">
        <v>2217</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4">
      <c r="A3" s="2622" t="s">
        <v>2227</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4">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2448</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2447</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2446</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2445</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2444</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2293</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2292</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2291</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2290</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2288</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2287</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2252</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2250</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2248</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8" thickBot="1">
      <c r="A19" s="2641" t="s">
        <v>2247</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2245</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8" thickBot="1">
      <c r="A21" s="2641" t="s">
        <v>2244</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2243</v>
      </c>
      <c r="B22" s="2652">
        <f t="shared" si="11"/>
        <v>464.37293017158942</v>
      </c>
      <c r="C22" s="2652">
        <f t="shared" si="12"/>
        <v>344.73679941385956</v>
      </c>
      <c r="D22" s="2652">
        <f t="shared" si="2"/>
        <v>344.73679941385956</v>
      </c>
      <c r="E22" s="2652">
        <f t="shared" si="3"/>
        <v>663.2377795103107</v>
      </c>
      <c r="F22" s="2653">
        <f t="shared" si="4"/>
        <v>304.75936311478398</v>
      </c>
      <c r="G22" s="3946">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 customHeight="1">
      <c r="A23" s="2641" t="s">
        <v>2236</v>
      </c>
      <c r="B23" s="2642">
        <f t="shared" si="11"/>
        <v>459.95733971036987</v>
      </c>
      <c r="C23" s="2642">
        <f t="shared" si="12"/>
        <v>341.22221064422405</v>
      </c>
      <c r="D23" s="2642">
        <f t="shared" si="2"/>
        <v>341.22221064422405</v>
      </c>
      <c r="E23" s="2642">
        <f t="shared" si="3"/>
        <v>657.19161663724799</v>
      </c>
      <c r="F23" s="2642">
        <f t="shared" si="4"/>
        <v>300.87803644464805</v>
      </c>
      <c r="G23" s="3946"/>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 customHeight="1">
      <c r="A24" s="2641" t="s">
        <v>2237</v>
      </c>
      <c r="B24" s="2642">
        <f t="shared" si="11"/>
        <v>453.11529869999993</v>
      </c>
      <c r="C24" s="2642">
        <f t="shared" si="12"/>
        <v>336.47787264000004</v>
      </c>
      <c r="D24" s="2642">
        <f t="shared" si="2"/>
        <v>336.47787264000004</v>
      </c>
      <c r="E24" s="2642">
        <f t="shared" si="3"/>
        <v>647.35186823999993</v>
      </c>
      <c r="F24" s="2642">
        <f t="shared" si="4"/>
        <v>295.73229452000004</v>
      </c>
      <c r="G24" s="3946"/>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2233</v>
      </c>
      <c r="B25" s="2642">
        <f t="shared" si="11"/>
        <v>446.46299999999997</v>
      </c>
      <c r="C25" s="2642">
        <f t="shared" si="12"/>
        <v>333.27840000000003</v>
      </c>
      <c r="D25" s="2642">
        <f t="shared" ref="D25:D30" si="13">C25</f>
        <v>333.27840000000003</v>
      </c>
      <c r="E25" s="2642">
        <f t="shared" si="3"/>
        <v>637.28279999999995</v>
      </c>
      <c r="F25" s="2642">
        <f t="shared" si="4"/>
        <v>288.68830000000003</v>
      </c>
      <c r="G25" s="3952"/>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2226</v>
      </c>
      <c r="B26" s="2658">
        <v>439</v>
      </c>
      <c r="C26" s="2658">
        <v>327</v>
      </c>
      <c r="D26" s="2658">
        <f t="shared" si="13"/>
        <v>327</v>
      </c>
      <c r="E26" s="2658">
        <v>627</v>
      </c>
      <c r="F26" s="2659">
        <v>283</v>
      </c>
      <c r="G26" s="3951">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 customHeight="1">
      <c r="A27" s="2641" t="s">
        <v>2228</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46"/>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46"/>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52"/>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51">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46"/>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46"/>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8"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47"/>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8" thickBot="1">
      <c r="A34" s="2641" t="s">
        <v>892</v>
      </c>
      <c r="B34" s="2663">
        <v>333</v>
      </c>
      <c r="C34" s="2663">
        <v>277</v>
      </c>
      <c r="D34" s="2663">
        <f t="shared" si="20"/>
        <v>277</v>
      </c>
      <c r="E34" s="2663">
        <v>459</v>
      </c>
      <c r="F34" s="2664">
        <v>249</v>
      </c>
      <c r="G34" s="3945">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46"/>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46"/>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47"/>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8" thickBot="1">
      <c r="A38" s="2641" t="s">
        <v>888</v>
      </c>
      <c r="B38" s="2670">
        <v>318</v>
      </c>
      <c r="C38" s="2670">
        <v>268</v>
      </c>
      <c r="D38" s="2670">
        <f t="shared" si="20"/>
        <v>268</v>
      </c>
      <c r="E38" s="2670">
        <v>437</v>
      </c>
      <c r="F38" s="2671">
        <v>237</v>
      </c>
      <c r="G38" s="3945">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46"/>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8"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46"/>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8"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47"/>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8" thickBot="1">
      <c r="A42" s="2641" t="s">
        <v>1865</v>
      </c>
      <c r="B42" s="2663">
        <v>299</v>
      </c>
      <c r="C42" s="2663">
        <v>252</v>
      </c>
      <c r="D42" s="2663">
        <f t="shared" si="20"/>
        <v>252</v>
      </c>
      <c r="E42" s="2663">
        <v>409</v>
      </c>
      <c r="F42" s="2664">
        <v>227</v>
      </c>
      <c r="G42" s="3948">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49"/>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49"/>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50"/>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8" thickBot="1">
      <c r="A46" s="2641" t="s">
        <v>1869</v>
      </c>
      <c r="B46" s="2691">
        <v>278</v>
      </c>
      <c r="C46" s="2691">
        <v>234</v>
      </c>
      <c r="D46" s="2691">
        <f t="shared" si="20"/>
        <v>234</v>
      </c>
      <c r="E46" s="2691">
        <v>379</v>
      </c>
      <c r="F46" s="2692">
        <v>220</v>
      </c>
      <c r="G46" s="3945">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46"/>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46"/>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8" thickBot="1">
      <c r="A49" s="2641" t="s">
        <v>1872</v>
      </c>
      <c r="B49" s="2642">
        <f>B48/(1+N48)</f>
        <v>275.19025476197027</v>
      </c>
      <c r="C49" s="2693">
        <v>232</v>
      </c>
      <c r="D49" s="2693">
        <f t="shared" si="20"/>
        <v>232</v>
      </c>
      <c r="E49" s="2642">
        <f t="shared" si="29"/>
        <v>375.65990977608692</v>
      </c>
      <c r="F49" s="2642">
        <f t="shared" si="29"/>
        <v>214.12518283971252</v>
      </c>
      <c r="G49" s="3947"/>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8" thickBot="1">
      <c r="A50" s="2641" t="s">
        <v>1873</v>
      </c>
      <c r="B50" s="2663">
        <v>275</v>
      </c>
      <c r="C50" s="2663">
        <v>232</v>
      </c>
      <c r="D50" s="2663">
        <f t="shared" si="20"/>
        <v>232</v>
      </c>
      <c r="E50" s="2663">
        <v>376</v>
      </c>
      <c r="F50" s="2664">
        <v>213</v>
      </c>
      <c r="G50" s="3945">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46">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46">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8"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47">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8" thickBot="1">
      <c r="A54" s="2641" t="s">
        <v>1877</v>
      </c>
      <c r="B54" s="2663">
        <v>269</v>
      </c>
      <c r="C54" s="2663">
        <v>221</v>
      </c>
      <c r="D54" s="2663">
        <f t="shared" si="20"/>
        <v>221</v>
      </c>
      <c r="E54" s="2663">
        <v>373</v>
      </c>
      <c r="F54" s="2664">
        <v>196</v>
      </c>
      <c r="G54" s="3945">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46">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46">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8"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47">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8" thickBot="1">
      <c r="A58" s="2641" t="s">
        <v>1881</v>
      </c>
      <c r="B58" s="2663">
        <v>220</v>
      </c>
      <c r="C58" s="2663">
        <v>187</v>
      </c>
      <c r="D58" s="2663">
        <f t="shared" si="20"/>
        <v>187</v>
      </c>
      <c r="E58" s="2663">
        <v>301</v>
      </c>
      <c r="F58" s="2664">
        <v>168</v>
      </c>
      <c r="G58" s="3945">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46">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46">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47">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8" thickBot="1">
      <c r="A62" s="2641" t="s">
        <v>1885</v>
      </c>
      <c r="B62" s="2691">
        <v>214</v>
      </c>
      <c r="C62" s="2691">
        <v>188</v>
      </c>
      <c r="D62" s="2691">
        <f t="shared" si="20"/>
        <v>188</v>
      </c>
      <c r="E62" s="2691">
        <v>289</v>
      </c>
      <c r="F62" s="2692">
        <v>166</v>
      </c>
      <c r="G62" s="3945">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46">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46">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8"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47">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8" thickBot="1">
      <c r="A66" s="2641" t="s">
        <v>1889</v>
      </c>
      <c r="B66" s="2663">
        <v>188</v>
      </c>
      <c r="C66" s="2663">
        <v>165</v>
      </c>
      <c r="D66" s="2663">
        <f t="shared" si="20"/>
        <v>165</v>
      </c>
      <c r="E66" s="2663">
        <v>254</v>
      </c>
      <c r="F66" s="2664">
        <v>148</v>
      </c>
      <c r="G66" s="3945">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46">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46">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47">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8" thickBot="1">
      <c r="A70" s="2641" t="s">
        <v>1893</v>
      </c>
      <c r="B70" s="2670">
        <v>159</v>
      </c>
      <c r="C70" s="2670">
        <v>141</v>
      </c>
      <c r="D70" s="2670">
        <f t="shared" si="20"/>
        <v>141</v>
      </c>
      <c r="E70" s="2670">
        <v>195</v>
      </c>
      <c r="F70" s="2671">
        <v>122</v>
      </c>
      <c r="G70" s="3945">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46">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46">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47">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8" thickBot="1">
      <c r="A74" s="2641" t="s">
        <v>1897</v>
      </c>
      <c r="B74" s="2670">
        <v>138</v>
      </c>
      <c r="C74" s="2670">
        <v>131</v>
      </c>
      <c r="D74" s="2670">
        <f t="shared" si="20"/>
        <v>131</v>
      </c>
      <c r="E74" s="2670">
        <v>155</v>
      </c>
      <c r="F74" s="2671">
        <v>114</v>
      </c>
      <c r="G74" s="3945">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46">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46">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47">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8" thickBot="1">
      <c r="A78" s="2641" t="s">
        <v>1901</v>
      </c>
      <c r="B78" s="2691">
        <v>121</v>
      </c>
      <c r="C78" s="2691">
        <v>122</v>
      </c>
      <c r="D78" s="2691">
        <f t="shared" si="20"/>
        <v>122</v>
      </c>
      <c r="E78" s="2691">
        <v>124</v>
      </c>
      <c r="F78" s="2692">
        <v>107</v>
      </c>
      <c r="G78" s="3945">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46">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46">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8"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47">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8" thickBot="1">
      <c r="A82" s="2641" t="s">
        <v>1905</v>
      </c>
      <c r="B82" s="2711">
        <v>111</v>
      </c>
      <c r="C82" s="2711">
        <v>114</v>
      </c>
      <c r="D82" s="2711">
        <f t="shared" si="20"/>
        <v>114</v>
      </c>
      <c r="E82" s="2711">
        <v>108</v>
      </c>
      <c r="F82" s="2712">
        <v>104</v>
      </c>
      <c r="G82" s="3945">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46">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46">
        <v>2003</v>
      </c>
      <c r="H84" s="2656">
        <v>2</v>
      </c>
      <c r="I84" s="2713"/>
      <c r="J84" s="2713"/>
      <c r="K84" s="2713"/>
      <c r="L84" s="2713"/>
      <c r="X84" s="2705"/>
      <c r="Y84" s="2705"/>
      <c r="Z84" s="2705"/>
    </row>
    <row r="85" spans="1:26" ht="13.8" thickBot="1">
      <c r="A85" s="2641" t="s">
        <v>1908</v>
      </c>
      <c r="B85" s="2715">
        <f t="shared" si="54"/>
        <v>107.25</v>
      </c>
      <c r="C85" s="2715">
        <f t="shared" si="54"/>
        <v>108.75</v>
      </c>
      <c r="D85" s="2715">
        <f t="shared" si="20"/>
        <v>108.75</v>
      </c>
      <c r="E85" s="2715">
        <f t="shared" si="55"/>
        <v>105.75</v>
      </c>
      <c r="F85" s="2715">
        <f t="shared" si="55"/>
        <v>102.5</v>
      </c>
      <c r="G85" s="3947">
        <v>2003</v>
      </c>
      <c r="H85" s="2716">
        <v>1</v>
      </c>
      <c r="I85" s="2713"/>
      <c r="J85" s="2713"/>
      <c r="K85" s="2713"/>
      <c r="L85" s="2713"/>
      <c r="S85" s="2644"/>
      <c r="T85" s="2640"/>
      <c r="U85" s="2640"/>
      <c r="X85" s="2705"/>
      <c r="Y85" s="2705"/>
      <c r="Z85" s="2705"/>
    </row>
    <row r="86" spans="1:26" ht="13.8" thickBot="1">
      <c r="A86" s="2641" t="s">
        <v>1909</v>
      </c>
      <c r="B86" s="2717">
        <v>106</v>
      </c>
      <c r="C86" s="2717">
        <v>107</v>
      </c>
      <c r="D86" s="2717">
        <f t="shared" si="20"/>
        <v>107</v>
      </c>
      <c r="E86" s="2717">
        <v>105</v>
      </c>
      <c r="F86" s="2718">
        <v>102</v>
      </c>
      <c r="G86" s="3945">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46">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46">
        <v>2002</v>
      </c>
      <c r="H88" s="2656">
        <v>2</v>
      </c>
      <c r="I88" s="2713"/>
      <c r="J88" s="2713"/>
      <c r="K88" s="2713"/>
      <c r="L88" s="2713"/>
      <c r="X88" s="2705"/>
      <c r="Y88" s="2705"/>
      <c r="Z88" s="2705"/>
    </row>
    <row r="89" spans="1:26" s="2678" customFormat="1" ht="13.8" thickBot="1">
      <c r="A89" s="2674" t="s">
        <v>1912</v>
      </c>
      <c r="B89" s="2681">
        <f t="shared" si="56"/>
        <v>103</v>
      </c>
      <c r="C89" s="2681">
        <f t="shared" si="56"/>
        <v>104</v>
      </c>
      <c r="D89" s="2681">
        <f t="shared" si="20"/>
        <v>104</v>
      </c>
      <c r="E89" s="2681">
        <f t="shared" si="57"/>
        <v>103.5</v>
      </c>
      <c r="F89" s="2681">
        <f t="shared" si="57"/>
        <v>100.5</v>
      </c>
      <c r="G89" s="3947">
        <v>2002</v>
      </c>
      <c r="H89" s="2719">
        <v>1</v>
      </c>
      <c r="I89" s="2720"/>
      <c r="J89" s="2720"/>
      <c r="K89" s="2720"/>
      <c r="L89" s="2720"/>
      <c r="N89" s="2721"/>
      <c r="S89" s="2721"/>
      <c r="X89" s="2722"/>
      <c r="Y89" s="2722"/>
      <c r="Z89" s="2722"/>
    </row>
    <row r="90" spans="1:26" ht="13.8"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8"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8"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受贵公司委托，我公司对北京市出让国有建设用地使用权抵押价格进行了预评估。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9791.14平方米。根据《建设工程规划许可证》[]、《出让合同》[]，估价对象规划建筑面积为127591.06平方米。</v>
      </c>
    </row>
    <row r="7" spans="1:4" ht="52.2">
      <c r="A7" s="1583" t="s">
        <v>2029</v>
      </c>
    </row>
    <row r="8" spans="1:4" ht="17.399999999999999">
      <c r="A8" s="1582" t="s">
        <v>1430</v>
      </c>
    </row>
    <row r="9" spans="1:4" ht="69.599999999999994">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585" t="s">
        <v>1544</v>
      </c>
    </row>
    <row r="11" spans="1:4" ht="17.399999999999999">
      <c r="A11" s="1568" t="str">
        <f>TEXT(项目基本情况!D3,"yyyy年m月d日;;")&amp;IF(项目基本情况!B3=项目基本情况!D3,"（评估专业人员勘察现场之日）","")</f>
        <v>2023年4月12日</v>
      </c>
    </row>
    <row r="12" spans="1:4" ht="17.399999999999999">
      <c r="A12" s="1585" t="s">
        <v>1543</v>
      </c>
    </row>
    <row r="13" spans="1:4" ht="17.399999999999999">
      <c r="A13" s="1579" t="s">
        <v>2203</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根据《国有土地使用证》[]，估价对象（分摊）出让国有建设用地使用权面积为9791.14平方米。根据《建设工程规划许可证》[]、《出让合同》[]，估价对象规划建筑面积为127591.06平方米。</v>
      </c>
    </row>
    <row r="21" spans="1:1" ht="17.399999999999999">
      <c r="A21" s="1579" t="s">
        <v>1592</v>
      </c>
    </row>
    <row r="22" spans="1:1" ht="69.599999999999994">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本次估价对象为出让国有建设用地使用权，《国有土地使用证》[]证载土地终止日期为商业2052年11月4日、办公2062年11月4日、车库2062年11月4日。截至估价期日，出让国有建设用地使用权剩余土地使用年限为。</v>
      </c>
    </row>
    <row r="23" spans="1:1" ht="17.399999999999999">
      <c r="A23" s="1579" t="str">
        <f>IF(项目基本情况!A17="出让","本次评估设定估价对象剩余土地使用年限为"&amp;项目基本情况!D20&amp;"。","")</f>
        <v>本次评估设定估价对象剩余土地使用年限为。</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2023年4月12日，在规划利用条件下、设定土地开发程度为红线外“七通”、宗地内场地，设定用途为，剩余土地使用年限为的出让国有建设用地使用权价格。</v>
      </c>
    </row>
    <row r="26" spans="1:1" ht="52.2">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RowHeight="14.4"/>
  <cols>
    <col min="1" max="1" width="12.33203125" customWidth="1"/>
    <col min="11" max="17" width="0" hidden="1" customWidth="1"/>
    <col min="24" max="30" width="0" hidden="1" customWidth="1"/>
  </cols>
  <sheetData>
    <row r="1" spans="1:30">
      <c r="A1" s="3400">
        <f>基准地价!G23</f>
        <v>45028</v>
      </c>
      <c r="B1" s="3348" t="s">
        <v>2792</v>
      </c>
      <c r="C1" s="3349"/>
      <c r="D1" s="3349"/>
      <c r="E1" s="3349"/>
      <c r="F1" s="3349"/>
      <c r="G1" s="3349"/>
      <c r="H1" s="3349"/>
      <c r="I1" s="3349"/>
      <c r="J1" s="3350"/>
      <c r="K1" s="3349" t="s">
        <v>2793</v>
      </c>
      <c r="L1" s="3349"/>
      <c r="M1" s="3349"/>
      <c r="N1" s="3349"/>
      <c r="O1" s="3349"/>
      <c r="P1" s="3349"/>
      <c r="Q1" s="3350"/>
      <c r="R1" s="3953" t="s">
        <v>2802</v>
      </c>
      <c r="S1" s="3954"/>
      <c r="T1" s="3954"/>
      <c r="U1" s="3954"/>
      <c r="V1" s="3954"/>
      <c r="W1" s="3954"/>
      <c r="X1" s="3350"/>
      <c r="Y1" s="3953" t="s">
        <v>2813</v>
      </c>
      <c r="Z1" s="3954"/>
      <c r="AA1" s="3954"/>
      <c r="AB1" s="3954"/>
      <c r="AC1" s="3954"/>
      <c r="AD1" s="3954"/>
    </row>
    <row r="2" spans="1:30" ht="15" thickBot="1">
      <c r="A2" s="3341"/>
      <c r="B2" s="3351"/>
      <c r="C2" s="3352"/>
      <c r="D2" s="3353" t="s">
        <v>2795</v>
      </c>
      <c r="E2" s="3354" t="s">
        <v>2796</v>
      </c>
      <c r="F2" s="3354" t="s">
        <v>2797</v>
      </c>
      <c r="G2" s="3354" t="s">
        <v>2798</v>
      </c>
      <c r="H2" s="3354" t="s">
        <v>2799</v>
      </c>
      <c r="I2" s="3354" t="s">
        <v>2739</v>
      </c>
      <c r="J2" s="3355"/>
      <c r="K2" s="3353" t="s">
        <v>2795</v>
      </c>
      <c r="L2" s="3354" t="s">
        <v>2796</v>
      </c>
      <c r="M2" s="3354" t="s">
        <v>2797</v>
      </c>
      <c r="N2" s="3354" t="s">
        <v>2798</v>
      </c>
      <c r="O2" s="3354" t="s">
        <v>2799</v>
      </c>
      <c r="P2" s="3354" t="s">
        <v>2739</v>
      </c>
      <c r="Q2" s="3355"/>
      <c r="R2" s="3353" t="s">
        <v>2803</v>
      </c>
      <c r="S2" s="3354" t="s">
        <v>2804</v>
      </c>
      <c r="T2" s="3354" t="s">
        <v>2805</v>
      </c>
      <c r="U2" s="3354" t="s">
        <v>2806</v>
      </c>
      <c r="V2" s="3354" t="s">
        <v>2807</v>
      </c>
      <c r="W2" s="3354" t="s">
        <v>2808</v>
      </c>
      <c r="X2" s="3355"/>
      <c r="Y2" s="3353" t="s">
        <v>2795</v>
      </c>
      <c r="Z2" s="3354" t="s">
        <v>1470</v>
      </c>
      <c r="AA2" s="3354" t="s">
        <v>2814</v>
      </c>
      <c r="AB2" s="3354" t="s">
        <v>1469</v>
      </c>
      <c r="AC2" s="3354" t="s">
        <v>2799</v>
      </c>
      <c r="AD2" s="3354" t="s">
        <v>2456</v>
      </c>
    </row>
    <row r="3" spans="1:30">
      <c r="A3" s="3342" t="s">
        <v>2782</v>
      </c>
      <c r="B3" s="3356"/>
      <c r="C3" s="3357"/>
      <c r="D3" s="3357">
        <f>ROUND(AVERAGEIF(D4:D16,"&lt;&gt;0"),2)</f>
        <v>0.81</v>
      </c>
      <c r="E3" s="3357">
        <f>ROUND(AVERAGEIF(E4:E16,"&lt;&gt;0"),2)</f>
        <v>0.33</v>
      </c>
      <c r="F3" s="3357">
        <f>ROUND(AVERAGEIF(F4:F16,"&lt;&gt;0"),2)</f>
        <v>0.15</v>
      </c>
      <c r="G3" s="3357">
        <f>ROUND(AVERAGEIF(G4:G16,"&lt;&gt;0"),2)</f>
        <v>0.89</v>
      </c>
      <c r="H3" s="3357">
        <f>ROUND(AVERAGEIF(H4:H16,"&lt;&gt;0"),2)</f>
        <v>0.66</v>
      </c>
      <c r="I3" s="3357">
        <f>F3</f>
        <v>0.15</v>
      </c>
      <c r="J3" s="3358"/>
      <c r="K3" s="3359">
        <f>ROUND(AVERAGEIF(K4:K16,"&lt;&gt;0"),4)</f>
        <v>8.0999999999999996E-3</v>
      </c>
      <c r="L3" s="3360">
        <f>ROUND(AVERAGEIF(L4:L16,"&lt;&gt;0"),4)</f>
        <v>3.3E-3</v>
      </c>
      <c r="M3" s="3360">
        <f>ROUND(AVERAGEIF(M4:M16,"&lt;&gt;0"),4)</f>
        <v>1.5E-3</v>
      </c>
      <c r="N3" s="3360">
        <f>ROUND(AVERAGEIF(N4:N16,"&lt;&gt;0"),4)</f>
        <v>8.8999999999999999E-3</v>
      </c>
      <c r="O3" s="3360">
        <f>ROUND(AVERAGEIF(O4:O16,"&lt;&gt;0"),4)</f>
        <v>6.6E-3</v>
      </c>
      <c r="P3" s="3360">
        <f>M3</f>
        <v>1.5E-3</v>
      </c>
      <c r="Q3" s="3358"/>
      <c r="R3" s="3375">
        <f>ROUND(SUMPRODUCT(PRODUCT(1+K4:K16)),4)</f>
        <v>1.0668</v>
      </c>
      <c r="S3" s="3376">
        <f>ROUND(SUMPRODUCT(PRODUCT(1+L4:L16)),4)</f>
        <v>1.0266999999999999</v>
      </c>
      <c r="T3" s="3376">
        <f>ROUND(SUMPRODUCT(PRODUCT(1+M4:M16)),4)</f>
        <v>1.0119</v>
      </c>
      <c r="U3" s="3376">
        <f>ROUND(SUMPRODUCT(PRODUCT(1+N4:N16)),4)</f>
        <v>1.0734999999999999</v>
      </c>
      <c r="V3" s="3376">
        <f>ROUND(SUMPRODUCT(PRODUCT(1+O4:O16)),4)</f>
        <v>1.054</v>
      </c>
      <c r="W3" s="3375">
        <f>T3</f>
        <v>1.0119</v>
      </c>
      <c r="X3" s="3358"/>
      <c r="Y3" s="3383">
        <f>ROUND(AVERAGEIF(Y5:Y16,"&lt;&gt;0"),4)</f>
        <v>8.6999999999999994E-3</v>
      </c>
      <c r="Z3" s="3384">
        <f>ROUND(AVERAGEIF(Z5:Z16,"&lt;&gt;0"),4)</f>
        <v>3.5000000000000001E-3</v>
      </c>
      <c r="AA3" s="3385">
        <f>ROUND(AVERAGEIF(AA5:AA16,"&lt;&gt;0"),4)</f>
        <v>8.9999999999999998E-4</v>
      </c>
      <c r="AB3" s="3383">
        <f>ROUND(AVERAGEIF(AB5:AB16,"&lt;&gt;0"),4)</f>
        <v>9.4999999999999998E-3</v>
      </c>
      <c r="AC3" s="3386">
        <f>ROUND(AVERAGEIF(AC5:AC16,"&lt;&gt;0"),4)</f>
        <v>6.1000000000000004E-3</v>
      </c>
      <c r="AD3" s="3383">
        <f>AA3</f>
        <v>8.9999999999999998E-4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3255</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1.0565</v>
      </c>
      <c r="S5" s="3381">
        <f>ROUND(IF(项目基本情况!$B$8="出让",SUMPRODUCT(PRODUCT(1+L5:$L$16)),SUMPRODUCT(PRODUCT(1+L5:$L$15))),4)</f>
        <v>1.0250999999999999</v>
      </c>
      <c r="T5" s="3381">
        <f>ROUND(IF(项目基本情况!$B$8="出让",SUMPRODUCT(PRODUCT(1+M5:$M$16)),SUMPRODUCT(PRODUCT(1+M5:$M$15))),4)</f>
        <v>1.0145</v>
      </c>
      <c r="U5" s="3381">
        <f>ROUND(IF(项目基本情况!$B$8="出让",SUMPRODUCT(PRODUCT(1+N5:$N$16)),SUMPRODUCT(PRODUCT(1+N5:$N$15))),4)</f>
        <v>1.0618000000000001</v>
      </c>
      <c r="V5" s="3381">
        <f>ROUND(IF(项目基本情况!$B$8="出让",SUMPRODUCT(PRODUCT(1+O5:$O$16)),SUMPRODUCT(PRODUCT(1+O5:$O$15))),4)</f>
        <v>1.0502</v>
      </c>
      <c r="W5" s="3381">
        <f>T5</f>
        <v>1.0145</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3256</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1.0565</v>
      </c>
      <c r="S6" s="3381">
        <f>ROUND(IF(项目基本情况!$B$8="出让",SUMPRODUCT(PRODUCT(1+L6:$L$16)),SUMPRODUCT(PRODUCT(1+L6:$L$15))),4)</f>
        <v>1.0250999999999999</v>
      </c>
      <c r="T6" s="3381">
        <f>ROUND(IF(项目基本情况!$B$8="出让",SUMPRODUCT(PRODUCT(1+M6:$M$16)),SUMPRODUCT(PRODUCT(1+M6:$M$15))),4)</f>
        <v>1.0145</v>
      </c>
      <c r="U6" s="3381">
        <f>ROUND(IF(项目基本情况!$B$8="出让",SUMPRODUCT(PRODUCT(1+N6:$N$16)),SUMPRODUCT(PRODUCT(1+N6:$N$15))),4)</f>
        <v>1.0618000000000001</v>
      </c>
      <c r="V6" s="3381">
        <f>ROUND(IF(项目基本情况!$B$8="出让",SUMPRODUCT(PRODUCT(1+O6:$O$16)),SUMPRODUCT(PRODUCT(1+O6:$O$15))),4)</f>
        <v>1.0502</v>
      </c>
      <c r="W6" s="3381">
        <f t="shared" ref="W6:W8" si="9">T6</f>
        <v>1.0145</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3254</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1.0565</v>
      </c>
      <c r="S7" s="3381">
        <f>ROUND(IF(项目基本情况!$B$8="出让",SUMPRODUCT(PRODUCT(1+L7:$L$16)),SUMPRODUCT(PRODUCT(1+L7:$L$15))),4)</f>
        <v>1.0250999999999999</v>
      </c>
      <c r="T7" s="3381">
        <f>ROUND(IF(项目基本情况!$B$8="出让",SUMPRODUCT(PRODUCT(1+M7:$M$16)),SUMPRODUCT(PRODUCT(1+M7:$M$15))),4)</f>
        <v>1.0145</v>
      </c>
      <c r="U7" s="3381">
        <f>ROUND(IF(项目基本情况!$B$8="出让",SUMPRODUCT(PRODUCT(1+N7:$N$16)),SUMPRODUCT(PRODUCT(1+N7:$N$15))),4)</f>
        <v>1.0618000000000001</v>
      </c>
      <c r="V7" s="3381">
        <f>ROUND(IF(项目基本情况!$B$8="出让",SUMPRODUCT(PRODUCT(1+O7:$O$16)),SUMPRODUCT(PRODUCT(1+O7:$O$15))),4)</f>
        <v>1.0502</v>
      </c>
      <c r="W7" s="3381">
        <f t="shared" si="9"/>
        <v>1.0145</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4" t="s">
        <v>2783</v>
      </c>
      <c r="B8" s="3403">
        <v>2023</v>
      </c>
      <c r="C8" s="3404">
        <v>1</v>
      </c>
      <c r="D8" s="3404">
        <v>0</v>
      </c>
      <c r="E8" s="3404">
        <v>0</v>
      </c>
      <c r="F8" s="3404">
        <v>0</v>
      </c>
      <c r="G8" s="3404">
        <v>0</v>
      </c>
      <c r="H8" s="3404">
        <v>0</v>
      </c>
      <c r="I8" s="3405">
        <f t="shared" si="0"/>
        <v>0</v>
      </c>
      <c r="J8" s="3365"/>
      <c r="K8" s="3366">
        <f t="shared" si="3"/>
        <v>0</v>
      </c>
      <c r="L8" s="3367">
        <f t="shared" si="4"/>
        <v>0</v>
      </c>
      <c r="M8" s="3367">
        <f t="shared" si="5"/>
        <v>0</v>
      </c>
      <c r="N8" s="3367">
        <f t="shared" si="6"/>
        <v>0</v>
      </c>
      <c r="O8" s="3367">
        <f t="shared" si="7"/>
        <v>0</v>
      </c>
      <c r="P8" s="3367">
        <f t="shared" si="8"/>
        <v>0</v>
      </c>
      <c r="Q8" s="3365"/>
      <c r="R8" s="3381">
        <f>ROUND(IF(项目基本情况!$B$8="出让",SUMPRODUCT(PRODUCT(1+K8:$K$16)),SUMPRODUCT(PRODUCT(1+K8:$K$15))),4)</f>
        <v>1.0565</v>
      </c>
      <c r="S8" s="3381">
        <f>ROUND(IF(项目基本情况!$B$8="出让",SUMPRODUCT(PRODUCT(1+L8:$L$16)),SUMPRODUCT(PRODUCT(1+L8:$L$15))),4)</f>
        <v>1.0250999999999999</v>
      </c>
      <c r="T8" s="3381">
        <f>ROUND(IF(项目基本情况!$B$8="出让",SUMPRODUCT(PRODUCT(1+M8:$M$16)),SUMPRODUCT(PRODUCT(1+M8:$M$15))),4)</f>
        <v>1.0145</v>
      </c>
      <c r="U8" s="3381">
        <f>ROUND(IF(项目基本情况!$B$8="出让",SUMPRODUCT(PRODUCT(1+N8:$N$16)),SUMPRODUCT(PRODUCT(1+N8:$N$15))),4)</f>
        <v>1.0618000000000001</v>
      </c>
      <c r="V8" s="3381">
        <f>ROUND(IF(项目基本情况!$B$8="出让",SUMPRODUCT(PRODUCT(1+O8:$O$16)),SUMPRODUCT(PRODUCT(1+O8:$O$15))),4)</f>
        <v>1.0502</v>
      </c>
      <c r="W8" s="3381">
        <f t="shared" si="9"/>
        <v>1.0145</v>
      </c>
      <c r="X8" s="3365"/>
      <c r="Y8" s="3390">
        <f t="shared" ref="Y8:AC8" si="13">IF(D8=0,0,ROUND(AVERAGE(D8:D19)/100,4))</f>
        <v>0</v>
      </c>
      <c r="Z8" s="3390">
        <f t="shared" si="13"/>
        <v>0</v>
      </c>
      <c r="AA8" s="3390">
        <f t="shared" si="13"/>
        <v>0</v>
      </c>
      <c r="AB8" s="3390">
        <f t="shared" si="13"/>
        <v>0</v>
      </c>
      <c r="AC8" s="3390">
        <f t="shared" si="13"/>
        <v>0</v>
      </c>
      <c r="AD8" s="3390">
        <f t="shared" si="11"/>
        <v>0</v>
      </c>
    </row>
    <row r="9" spans="1:30">
      <c r="A9" s="3345" t="s">
        <v>3252</v>
      </c>
      <c r="B9" s="3406">
        <v>2022</v>
      </c>
      <c r="C9" s="3407">
        <v>4</v>
      </c>
      <c r="D9" s="3407">
        <v>0.62</v>
      </c>
      <c r="E9" s="3407">
        <v>0.2</v>
      </c>
      <c r="F9" s="3407">
        <v>0.11</v>
      </c>
      <c r="G9" s="3407">
        <v>0.69</v>
      </c>
      <c r="H9" s="3408">
        <v>0.53</v>
      </c>
      <c r="I9" s="3409">
        <f t="shared" si="0"/>
        <v>0.11</v>
      </c>
      <c r="J9" s="3368"/>
      <c r="K9" s="3369">
        <f t="shared" si="1"/>
        <v>6.1999999999999998E-3</v>
      </c>
      <c r="L9" s="3370">
        <f t="shared" si="1"/>
        <v>2E-3</v>
      </c>
      <c r="M9" s="3370">
        <f t="shared" si="1"/>
        <v>1.1000000000000001E-3</v>
      </c>
      <c r="N9" s="3370">
        <f t="shared" si="1"/>
        <v>6.8999999999999999E-3</v>
      </c>
      <c r="O9" s="3370">
        <f t="shared" si="1"/>
        <v>5.3E-3</v>
      </c>
      <c r="P9" s="3370">
        <f t="shared" ref="P9:P16" si="14">M9</f>
        <v>1.1000000000000001E-3</v>
      </c>
      <c r="Q9" s="3368"/>
      <c r="R9" s="3368">
        <f>ROUND(IF(项目基本情况!B8="出让",SUMPRODUCT(PRODUCT(1+K9:K16)),SUMPRODUCT(PRODUCT(1+K9:K15))),4)</f>
        <v>1.0565</v>
      </c>
      <c r="S9" s="3368">
        <f>ROUND(IF(项目基本情况!B8="出让",SUMPRODUCT(PRODUCT(1+L9:L16)),SUMPRODUCT(PRODUCT(1+L9:L15))),4)</f>
        <v>1.0250999999999999</v>
      </c>
      <c r="T9" s="3368">
        <f>ROUND(IF(项目基本情况!B8="出让",SUMPRODUCT(PRODUCT(1+M9:M16)),SUMPRODUCT(PRODUCT(1+M9:M15))),4)</f>
        <v>1.0145</v>
      </c>
      <c r="U9" s="3368">
        <f>ROUND(IF(项目基本情况!B8="出让",SUMPRODUCT(PRODUCT(1+N9:N16)),SUMPRODUCT(PRODUCT(1+N9:N15))),4)</f>
        <v>1.0618000000000001</v>
      </c>
      <c r="V9" s="3368">
        <f>ROUND(IF(项目基本情况!B8="出让",SUMPRODUCT(PRODUCT(1+O9:O16)),SUMPRODUCT(PRODUCT(1+O9:O15))),4)</f>
        <v>1.0502</v>
      </c>
      <c r="W9" s="3368">
        <f t="shared" ref="W9:W16" si="15">T9</f>
        <v>1.0145</v>
      </c>
      <c r="X9" s="3368"/>
      <c r="Y9" s="3370">
        <f>IF(D9=0,0,ROUND(AVERAGE(D9:D17)/100,4))</f>
        <v>8.0999999999999996E-3</v>
      </c>
      <c r="Z9" s="3370">
        <f>IF(E9=0,0,ROUND(AVERAGE(E9:E16)/100,4))</f>
        <v>3.3E-3</v>
      </c>
      <c r="AA9" s="3370">
        <f>IF(F9=0,0,ROUND(AVERAGE(F9:F16)/100,4))</f>
        <v>1.5E-3</v>
      </c>
      <c r="AB9" s="3370">
        <f>IF(G9=0,0,ROUND(AVERAGE(G9:G16)/100,4))</f>
        <v>8.8999999999999999E-3</v>
      </c>
      <c r="AC9" s="3370">
        <f>IF(H9=0,0,ROUND(AVERAGE(H9:H16)/100,4))</f>
        <v>6.6E-3</v>
      </c>
      <c r="AD9" s="3370">
        <f t="shared" si="2"/>
        <v>1.5E-3</v>
      </c>
    </row>
    <row r="10" spans="1:30">
      <c r="A10" s="3344" t="s">
        <v>3250</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1.05</v>
      </c>
      <c r="S10" s="3381">
        <f>ROUND(IF(项目基本情况!B8="出让",SUMPRODUCT(PRODUCT(1+L10:L16)),SUMPRODUCT(PRODUCT(1+L10:L15))),4)</f>
        <v>1.0229999999999999</v>
      </c>
      <c r="T10" s="3381">
        <f>ROUND(IF(项目基本情况!B8="出让",SUMPRODUCT(PRODUCT(1+M10:M16)),SUMPRODUCT(PRODUCT(1+M10:M15))),4)</f>
        <v>1.0134000000000001</v>
      </c>
      <c r="U10" s="3381">
        <f>ROUND(IF(项目基本情况!B8="出让",SUMPRODUCT(PRODUCT(1+N10:N16)),SUMPRODUCT(PRODUCT(1+N10:N15))),4)</f>
        <v>1.0545</v>
      </c>
      <c r="V10" s="3381">
        <f>ROUND(IF(项目基本情况!B8="出让",SUMPRODUCT(PRODUCT(1+O10:O16)),SUMPRODUCT(PRODUCT(1+O10:O15))),4)</f>
        <v>1.0447</v>
      </c>
      <c r="W10" s="3381">
        <f t="shared" si="15"/>
        <v>1.0134000000000001</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3251</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1.0430999999999999</v>
      </c>
      <c r="S11" s="3381">
        <f>ROUND(IF(项目基本情况!B8="出让",SUMPRODUCT(PRODUCT(1+L11:L16)),SUMPRODUCT(PRODUCT(1+L11:L15))),4)</f>
        <v>1.0197000000000001</v>
      </c>
      <c r="T11" s="3381">
        <f>ROUND(IF(项目基本情况!B8="出让",SUMPRODUCT(PRODUCT(1+M11:M16)),SUMPRODUCT(PRODUCT(1+M11:M15))),4)</f>
        <v>1.0109999999999999</v>
      </c>
      <c r="U11" s="3381">
        <f>ROUND(IF(项目基本情况!B8="出让",SUMPRODUCT(PRODUCT(1+N11:N16)),SUMPRODUCT(PRODUCT(1+N11:N15))),4)</f>
        <v>1.0468999999999999</v>
      </c>
      <c r="V11" s="3381">
        <f>ROUND(IF(项目基本情况!B8="出让",SUMPRODUCT(PRODUCT(1+O11:O16)),SUMPRODUCT(PRODUCT(1+O11:O15))),4)</f>
        <v>1.0382</v>
      </c>
      <c r="W11" s="3381">
        <f t="shared" si="15"/>
        <v>1.0109999999999999</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2784</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1.0335000000000001</v>
      </c>
      <c r="S12" s="3381">
        <f>ROUND(IF(项目基本情况!B8="出让",SUMPRODUCT(PRODUCT(1+L12:L16)),SUMPRODUCT(PRODUCT(1+L12:L15))),4)</f>
        <v>1.0182</v>
      </c>
      <c r="T12" s="3381">
        <f>ROUND(IF(项目基本情况!B8="出让",SUMPRODUCT(PRODUCT(1+M12:M16)),SUMPRODUCT(PRODUCT(1+M12:M15))),4)</f>
        <v>1.0108999999999999</v>
      </c>
      <c r="U12" s="3381">
        <f>ROUND(IF(项目基本情况!B8="出让",SUMPRODUCT(PRODUCT(1+N12:N16)),SUMPRODUCT(PRODUCT(1+N12:N15))),4)</f>
        <v>1.0361</v>
      </c>
      <c r="V12" s="3381">
        <f>ROUND(IF(项目基本情况!B8="出让",SUMPRODUCT(PRODUCT(1+O12:O16)),SUMPRODUCT(PRODUCT(1+O12:O15))),4)</f>
        <v>1.0270999999999999</v>
      </c>
      <c r="W12" s="3381">
        <f t="shared" si="15"/>
        <v>1.0108999999999999</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2785</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1.0244</v>
      </c>
      <c r="S13" s="3381">
        <f>ROUND(IF(项目基本情况!B8="出让",SUMPRODUCT(PRODUCT(1+L13:L16)),SUMPRODUCT(PRODUCT(1+L13:L15))),4)</f>
        <v>1.0138</v>
      </c>
      <c r="T13" s="3381">
        <f>ROUND(IF(项目基本情况!B8="出让",SUMPRODUCT(PRODUCT(1+M13:M16)),SUMPRODUCT(PRODUCT(1+M13:M15))),4)</f>
        <v>1.0072000000000001</v>
      </c>
      <c r="U13" s="3381">
        <f>ROUND(IF(项目基本情况!B8="出让",SUMPRODUCT(PRODUCT(1+N13:N16)),SUMPRODUCT(PRODUCT(1+N13:N15))),4)</f>
        <v>1.0262</v>
      </c>
      <c r="V13" s="3381">
        <f>ROUND(IF(项目基本情况!B8="出让",SUMPRODUCT(PRODUCT(1+O13:O16)),SUMPRODUCT(PRODUCT(1+O13:O15))),4)</f>
        <v>1.0205</v>
      </c>
      <c r="W13" s="3381">
        <f t="shared" si="15"/>
        <v>1.0072000000000001</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2786</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1.0139</v>
      </c>
      <c r="S14" s="3381">
        <f>ROUND(IF(项目基本情况!B8="出让",SUMPRODUCT(PRODUCT(1+L14:L16)),SUMPRODUCT(PRODUCT(1+L14:L15))),4)</f>
        <v>1.0113000000000001</v>
      </c>
      <c r="T14" s="3381">
        <f>ROUND(IF(项目基本情况!B8="出让",SUMPRODUCT(PRODUCT(1+M14:M16)),SUMPRODUCT(PRODUCT(1+M14:M15))),4)</f>
        <v>1.0065</v>
      </c>
      <c r="U14" s="3381">
        <f>ROUND(IF(项目基本情况!B8="出让",SUMPRODUCT(PRODUCT(1+N14:N16)),SUMPRODUCT(PRODUCT(1+N14:N15))),4)</f>
        <v>1.0143</v>
      </c>
      <c r="V14" s="3381">
        <f>ROUND(IF(项目基本情况!B8="出让",SUMPRODUCT(PRODUCT(1+O14:O16)),SUMPRODUCT(PRODUCT(1+O14:O15))),4)</f>
        <v>1.0148999999999999</v>
      </c>
      <c r="W14" s="3381">
        <f t="shared" si="15"/>
        <v>1.0065</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2787</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1.0092000000000001</v>
      </c>
      <c r="S15" s="3381">
        <f>ROUND(IF(项目基本情况!B8="出让",SUMPRODUCT(PRODUCT(1+L15:L16)),SUMPRODUCT(PRODUCT(1+L15:L15))),4)</f>
        <v>1.0072000000000001</v>
      </c>
      <c r="T15" s="3381">
        <f>ROUND(IF(项目基本情况!B8="出让",SUMPRODUCT(PRODUCT(1+M15:M16)),SUMPRODUCT(PRODUCT(1+M15:M15))),4)</f>
        <v>1.0041</v>
      </c>
      <c r="U15" s="3381">
        <f>ROUND(IF(项目基本情况!B8="出让",SUMPRODUCT(PRODUCT(1+N15:N16)),SUMPRODUCT(PRODUCT(1+N15:N15))),4)</f>
        <v>1.0095000000000001</v>
      </c>
      <c r="V15" s="3381">
        <f>ROUND(IF(项目基本情况!B8="出让",SUMPRODUCT(PRODUCT(1+O15:O16)),SUMPRODUCT(PRODUCT(1+O15:O15))),4)</f>
        <v>1.0101</v>
      </c>
      <c r="W15" s="3381">
        <f t="shared" si="15"/>
        <v>1.0041</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5" thickBot="1">
      <c r="A16" s="3346" t="s">
        <v>2788</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2" t="s">
        <v>3257</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2800</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2801</v>
      </c>
      <c r="C21" s="3349"/>
      <c r="D21" s="3349"/>
      <c r="E21" s="3349"/>
      <c r="F21" s="3349"/>
      <c r="G21" s="3349"/>
      <c r="H21" s="3349"/>
      <c r="I21" s="3349"/>
      <c r="J21" s="3350"/>
      <c r="K21" s="3349" t="s">
        <v>2793</v>
      </c>
      <c r="L21" s="3349"/>
      <c r="M21" s="3349"/>
      <c r="N21" s="3349"/>
      <c r="O21" s="3349"/>
      <c r="P21" s="3349"/>
      <c r="Q21" s="3350"/>
      <c r="R21" s="3953" t="s">
        <v>2809</v>
      </c>
      <c r="S21" s="3954"/>
      <c r="T21" s="3954"/>
      <c r="U21" s="3954"/>
      <c r="V21" s="3954"/>
      <c r="W21" s="3954"/>
      <c r="X21" s="3350"/>
      <c r="Y21" s="3953" t="s">
        <v>1925</v>
      </c>
      <c r="Z21" s="3954"/>
      <c r="AA21" s="3954"/>
      <c r="AB21" s="3954"/>
      <c r="AC21" s="3954"/>
      <c r="AD21" s="3954"/>
    </row>
    <row r="22" spans="1:30" ht="15" thickBot="1">
      <c r="A22" s="3341"/>
      <c r="B22" s="3351"/>
      <c r="C22" s="3352"/>
      <c r="D22" s="3353" t="s">
        <v>2795</v>
      </c>
      <c r="E22" s="3354" t="s">
        <v>2796</v>
      </c>
      <c r="F22" s="3354" t="s">
        <v>2797</v>
      </c>
      <c r="G22" s="3354" t="s">
        <v>1469</v>
      </c>
      <c r="H22" s="3354"/>
      <c r="I22" s="3354" t="s">
        <v>2739</v>
      </c>
      <c r="J22" s="3355"/>
      <c r="K22" s="3353" t="s">
        <v>2795</v>
      </c>
      <c r="L22" s="3354" t="s">
        <v>2796</v>
      </c>
      <c r="M22" s="3354" t="s">
        <v>2797</v>
      </c>
      <c r="N22" s="3354" t="s">
        <v>2798</v>
      </c>
      <c r="O22" s="3354"/>
      <c r="P22" s="3354" t="s">
        <v>2739</v>
      </c>
      <c r="Q22" s="3355"/>
      <c r="R22" s="3353" t="s">
        <v>2810</v>
      </c>
      <c r="S22" s="3354" t="s">
        <v>2811</v>
      </c>
      <c r="T22" s="3354" t="s">
        <v>2797</v>
      </c>
      <c r="U22" s="3354" t="s">
        <v>1469</v>
      </c>
      <c r="V22" s="3354"/>
      <c r="W22" s="3354" t="s">
        <v>2812</v>
      </c>
      <c r="X22" s="3355"/>
      <c r="Y22" s="3353" t="s">
        <v>2794</v>
      </c>
      <c r="Z22" s="3354" t="s">
        <v>2796</v>
      </c>
      <c r="AA22" s="3354" t="s">
        <v>2797</v>
      </c>
      <c r="AB22" s="3354" t="s">
        <v>1469</v>
      </c>
      <c r="AC22" s="3354"/>
      <c r="AD22" s="3354" t="s">
        <v>2815</v>
      </c>
    </row>
    <row r="23" spans="1:30">
      <c r="A23" s="3342" t="s">
        <v>2789</v>
      </c>
      <c r="B23" s="3356"/>
      <c r="C23" s="3357"/>
      <c r="D23" s="3357"/>
      <c r="E23" s="3357">
        <f>ROUND(AVERAGEIF(E24:E36,"&lt;&gt;0"),2)</f>
        <v>0.4</v>
      </c>
      <c r="F23" s="3357">
        <f>ROUND(AVERAGEIF(F24:F36,"&lt;&gt;0"),2)</f>
        <v>0.26</v>
      </c>
      <c r="G23" s="3357">
        <f>ROUND(AVERAGEIF(G24:G36,"&lt;&gt;0"),2)</f>
        <v>0.74</v>
      </c>
      <c r="H23" s="3357"/>
      <c r="I23" s="3357">
        <f>F23</f>
        <v>0.26</v>
      </c>
      <c r="J23" s="3358"/>
      <c r="K23" s="3359"/>
      <c r="L23" s="3360">
        <f>ROUND(AVERAGEIF(L24:L36,"&lt;&gt;0"),4)</f>
        <v>4.0000000000000001E-3</v>
      </c>
      <c r="M23" s="3360">
        <f>ROUND(AVERAGEIF(M24:M36,"&lt;&gt;0"),4)</f>
        <v>2.5999999999999999E-3</v>
      </c>
      <c r="N23" s="3360">
        <f>ROUND(AVERAGEIF(N24:N36,"&lt;&gt;0"),4)</f>
        <v>7.4000000000000003E-3</v>
      </c>
      <c r="O23" s="3360"/>
      <c r="P23" s="3360">
        <f>M23</f>
        <v>2.5999999999999999E-3</v>
      </c>
      <c r="Q23" s="3358"/>
      <c r="R23" s="3375"/>
      <c r="S23" s="3376">
        <f>ROUND(SUMPRODUCT(PRODUCT(1+L24:L36)),4)</f>
        <v>1.0323</v>
      </c>
      <c r="T23" s="3376">
        <f>ROUND(SUMPRODUCT(PRODUCT(1+M24:M36)),4)</f>
        <v>1.0213000000000001</v>
      </c>
      <c r="U23" s="3376">
        <f>ROUND(SUMPRODUCT(PRODUCT(1+N24:N36)),4)</f>
        <v>1.0609</v>
      </c>
      <c r="V23" s="3376"/>
      <c r="W23" s="3375">
        <f>T23</f>
        <v>1.0213000000000001</v>
      </c>
      <c r="X23" s="3358"/>
      <c r="Y23" s="3383"/>
      <c r="Z23" s="3384">
        <f>ROUND(AVERAGEIF(Z24:Z36,"&lt;&gt;0"),4)</f>
        <v>4.3E-3</v>
      </c>
      <c r="AA23" s="3385">
        <f>ROUND(AVERAGEIF(AA24:AA36,"&lt;&gt;0"),4)</f>
        <v>3.5999999999999999E-3</v>
      </c>
      <c r="AB23" s="3383">
        <f>ROUND(AVERAGEIF(AB24:AB36,"&lt;&gt;0"),4)</f>
        <v>8.8999999999999999E-3</v>
      </c>
      <c r="AC23" s="3386"/>
      <c r="AD23" s="3383">
        <f>AA23</f>
        <v>3.5999999999999999E-3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3255</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1.0286999999999999</v>
      </c>
      <c r="T25" s="3381">
        <f>ROUND(IF(项目基本情况!$B$8="出让",SUMPRODUCT(PRODUCT(1+M25:M$36)),SUMPRODUCT(PRODUCT(1+M25:M$35))),4)</f>
        <v>1.0164</v>
      </c>
      <c r="U25" s="3381">
        <f>ROUND(IF(项目基本情况!$B$8="出让",SUMPRODUCT(PRODUCT(1+N25:N$36)),SUMPRODUCT(PRODUCT(1+N25:N$35))),4)</f>
        <v>1.0506</v>
      </c>
      <c r="V25" s="3381"/>
      <c r="W25" s="3381">
        <f>T25</f>
        <v>1.0164</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3256</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1.0286999999999999</v>
      </c>
      <c r="T26" s="3381">
        <f>ROUND(IF(项目基本情况!$B$8="出让",SUMPRODUCT(PRODUCT(1+M26:M$36)),SUMPRODUCT(PRODUCT(1+M26:M$35))),4)</f>
        <v>1.0164</v>
      </c>
      <c r="U26" s="3381">
        <f>ROUND(IF(项目基本情况!$B$8="出让",SUMPRODUCT(PRODUCT(1+N26:N$36)),SUMPRODUCT(PRODUCT(1+N26:N$35))),4)</f>
        <v>1.0506</v>
      </c>
      <c r="V26" s="3381"/>
      <c r="W26" s="3381">
        <f t="shared" ref="W26:W28" si="22">T26</f>
        <v>1.0164</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3254</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1.0286999999999999</v>
      </c>
      <c r="T27" s="3381">
        <f>ROUND(IF(项目基本情况!$B$8="出让",SUMPRODUCT(PRODUCT(1+M27:M$36)),SUMPRODUCT(PRODUCT(1+M27:M$35))),4)</f>
        <v>1.0164</v>
      </c>
      <c r="U27" s="3381">
        <f>ROUND(IF(项目基本情况!$B$8="出让",SUMPRODUCT(PRODUCT(1+N27:N$36)),SUMPRODUCT(PRODUCT(1+N27:N$35))),4)</f>
        <v>1.0506</v>
      </c>
      <c r="V27" s="3381"/>
      <c r="W27" s="3381">
        <f t="shared" si="22"/>
        <v>1.0164</v>
      </c>
      <c r="X27" s="3365"/>
      <c r="Y27" s="3390"/>
      <c r="Z27" s="3391">
        <f t="shared" ref="Z27:AB27" si="25">IF(E27=0,0,ROUND(AVERAGE(E27:E38)/100,4))</f>
        <v>0</v>
      </c>
      <c r="AA27" s="3391">
        <f t="shared" si="25"/>
        <v>0</v>
      </c>
      <c r="AB27" s="3391">
        <f t="shared" si="25"/>
        <v>0</v>
      </c>
      <c r="AC27" s="3392"/>
      <c r="AD27" s="3390">
        <f t="shared" si="24"/>
        <v>0</v>
      </c>
    </row>
    <row r="28" spans="1:30">
      <c r="A28" s="3344" t="s">
        <v>2783</v>
      </c>
      <c r="B28" s="3403">
        <v>2023</v>
      </c>
      <c r="C28" s="3404">
        <v>1</v>
      </c>
      <c r="D28" s="3404"/>
      <c r="E28" s="3404">
        <v>0</v>
      </c>
      <c r="F28" s="3404">
        <v>0</v>
      </c>
      <c r="G28" s="3404">
        <v>0</v>
      </c>
      <c r="H28" s="3410"/>
      <c r="I28" s="3405">
        <f t="shared" si="16"/>
        <v>0</v>
      </c>
      <c r="J28" s="3365"/>
      <c r="K28" s="3366"/>
      <c r="L28" s="3367">
        <f t="shared" si="18"/>
        <v>0</v>
      </c>
      <c r="M28" s="3367">
        <f t="shared" si="19"/>
        <v>0</v>
      </c>
      <c r="N28" s="3367">
        <f t="shared" si="20"/>
        <v>0</v>
      </c>
      <c r="O28" s="3367"/>
      <c r="P28" s="3367">
        <f t="shared" si="21"/>
        <v>0</v>
      </c>
      <c r="Q28" s="3365"/>
      <c r="R28" s="3381"/>
      <c r="S28" s="3381">
        <f>ROUND(IF(项目基本情况!$B$8="出让",SUMPRODUCT(PRODUCT(1+L28:L$36)),SUMPRODUCT(PRODUCT(1+L28:L$35))),4)</f>
        <v>1.0286999999999999</v>
      </c>
      <c r="T28" s="3381">
        <f>ROUND(IF(项目基本情况!$B$8="出让",SUMPRODUCT(PRODUCT(1+M28:M$36)),SUMPRODUCT(PRODUCT(1+M28:M$35))),4)</f>
        <v>1.0164</v>
      </c>
      <c r="U28" s="3381">
        <f>ROUND(IF(项目基本情况!$B$8="出让",SUMPRODUCT(PRODUCT(1+N28:N$36)),SUMPRODUCT(PRODUCT(1+N28:N$35))),4)</f>
        <v>1.0506</v>
      </c>
      <c r="V28" s="3381"/>
      <c r="W28" s="3381">
        <f t="shared" si="22"/>
        <v>1.0164</v>
      </c>
      <c r="X28" s="3365"/>
      <c r="Y28" s="3390"/>
      <c r="Z28" s="3391">
        <f t="shared" ref="Z28:AB28" si="26">IF(E28=0,0,ROUND(AVERAGE(E28:E39)/100,4))</f>
        <v>0</v>
      </c>
      <c r="AA28" s="3391">
        <f t="shared" si="26"/>
        <v>0</v>
      </c>
      <c r="AB28" s="3391">
        <f t="shared" si="26"/>
        <v>0</v>
      </c>
      <c r="AC28" s="3392"/>
      <c r="AD28" s="3390">
        <f t="shared" si="24"/>
        <v>0</v>
      </c>
    </row>
    <row r="29" spans="1:30">
      <c r="A29" s="3345" t="s">
        <v>3252</v>
      </c>
      <c r="B29" s="3406">
        <v>2022</v>
      </c>
      <c r="C29" s="3407">
        <v>4</v>
      </c>
      <c r="D29" s="3407"/>
      <c r="E29" s="3407">
        <v>0.45</v>
      </c>
      <c r="F29" s="3407">
        <v>0.2</v>
      </c>
      <c r="G29" s="3407">
        <v>0.38</v>
      </c>
      <c r="H29" s="3408"/>
      <c r="I29" s="3409">
        <f t="shared" si="16"/>
        <v>0.2</v>
      </c>
      <c r="J29" s="3368"/>
      <c r="K29" s="3369"/>
      <c r="L29" s="3370">
        <f t="shared" si="17"/>
        <v>4.5000000000000005E-3</v>
      </c>
      <c r="M29" s="3370">
        <f t="shared" si="17"/>
        <v>2E-3</v>
      </c>
      <c r="N29" s="3370">
        <f t="shared" si="17"/>
        <v>3.8E-3</v>
      </c>
      <c r="O29" s="3370"/>
      <c r="P29" s="3370">
        <f t="shared" ref="P29:P36" si="27">M29</f>
        <v>2E-3</v>
      </c>
      <c r="Q29" s="3368"/>
      <c r="R29" s="3368"/>
      <c r="S29" s="3368">
        <f>ROUND(IF(项目基本情况!$B$8="出让",SUMPRODUCT(PRODUCT(1+L29:L$36)),SUMPRODUCT(PRODUCT(1+L29:L$35))),4)</f>
        <v>1.0286999999999999</v>
      </c>
      <c r="T29" s="3368">
        <f>ROUND(IF(项目基本情况!$B$8="出让",SUMPRODUCT(PRODUCT(1+M29:M$36)),SUMPRODUCT(PRODUCT(1+M29:M$35))),4)</f>
        <v>1.0164</v>
      </c>
      <c r="U29" s="3368">
        <f>ROUND(IF(项目基本情况!$B$8="出让",SUMPRODUCT(PRODUCT(1+N29:N$36)),SUMPRODUCT(PRODUCT(1+N29:N$35))),4)</f>
        <v>1.0506</v>
      </c>
      <c r="V29" s="3368"/>
      <c r="W29" s="3368">
        <f t="shared" ref="W29:W36" si="28">T29</f>
        <v>1.0164</v>
      </c>
      <c r="X29" s="3368"/>
      <c r="Y29" s="3370"/>
      <c r="Z29" s="3394">
        <f t="shared" ref="Z29:AD36" si="29">IF(E29=0,0,ROUND(AVERAGE(E29:E37)/100,4))</f>
        <v>4.0000000000000001E-3</v>
      </c>
      <c r="AA29" s="3395">
        <f t="shared" si="29"/>
        <v>2.5999999999999999E-3</v>
      </c>
      <c r="AB29" s="3370">
        <f t="shared" si="29"/>
        <v>7.4000000000000003E-3</v>
      </c>
      <c r="AC29" s="3396"/>
      <c r="AD29" s="3370">
        <f t="shared" si="29"/>
        <v>2.5999999999999999E-3</v>
      </c>
    </row>
    <row r="30" spans="1:30">
      <c r="A30" s="3344" t="s">
        <v>3253</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1.0241</v>
      </c>
      <c r="T30" s="3381">
        <f>ROUND(IF(项目基本情况!$B$8="出让",SUMPRODUCT(PRODUCT(1+M30:M$36)),SUMPRODUCT(PRODUCT(1+M30:M$35))),4)</f>
        <v>1.0144</v>
      </c>
      <c r="U30" s="3381">
        <f>ROUND(IF(项目基本情况!$B$8="出让",SUMPRODUCT(PRODUCT(1+N30:N$36)),SUMPRODUCT(PRODUCT(1+N30:N$35))),4)</f>
        <v>1.0467</v>
      </c>
      <c r="V30" s="3381"/>
      <c r="W30" s="3381">
        <f t="shared" si="28"/>
        <v>1.0144</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3251</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1.0210999999999999</v>
      </c>
      <c r="T31" s="3381">
        <f>ROUND(IF(项目基本情况!$B$8="出让",SUMPRODUCT(PRODUCT(1+M31:M$36)),SUMPRODUCT(PRODUCT(1+M31:M$35))),4)</f>
        <v>1.0114000000000001</v>
      </c>
      <c r="U31" s="3381">
        <f>ROUND(IF(项目基本情况!$B$8="出让",SUMPRODUCT(PRODUCT(1+N31:N$36)),SUMPRODUCT(PRODUCT(1+N31:N$35))),4)</f>
        <v>1.0381</v>
      </c>
      <c r="V31" s="3381"/>
      <c r="W31" s="3381">
        <f t="shared" si="28"/>
        <v>1.0114000000000001</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2784</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1.0222</v>
      </c>
      <c r="T32" s="3381">
        <f>ROUND(IF(项目基本情况!$B$8="出让",SUMPRODUCT(PRODUCT(1+M32:M$36)),SUMPRODUCT(PRODUCT(1+M32:M$35))),4)</f>
        <v>1.0127999999999999</v>
      </c>
      <c r="U32" s="3381">
        <f>ROUND(IF(项目基本情况!$B$8="出让",SUMPRODUCT(PRODUCT(1+N32:N$36)),SUMPRODUCT(PRODUCT(1+N32:N$35))),4)</f>
        <v>1.0326</v>
      </c>
      <c r="V32" s="3381"/>
      <c r="W32" s="3381">
        <f t="shared" si="28"/>
        <v>1.0127999999999999</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2785</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1.0161</v>
      </c>
      <c r="T33" s="3381">
        <f>ROUND(IF(项目基本情况!$B$8="出让",SUMPRODUCT(PRODUCT(1+M33:M$36)),SUMPRODUCT(PRODUCT(1+M33:M$35))),4)</f>
        <v>1.0082</v>
      </c>
      <c r="U33" s="3381">
        <f>ROUND(IF(项目基本情况!$B$8="出让",SUMPRODUCT(PRODUCT(1+N33:N$36)),SUMPRODUCT(PRODUCT(1+N33:N$35))),4)</f>
        <v>1.0270999999999999</v>
      </c>
      <c r="V33" s="3381"/>
      <c r="W33" s="3381">
        <f t="shared" si="28"/>
        <v>1.0082</v>
      </c>
      <c r="X33" s="3365"/>
      <c r="Y33" s="3390"/>
      <c r="Z33" s="3391">
        <f t="shared" si="29"/>
        <v>4.8999999999999998E-3</v>
      </c>
      <c r="AA33" s="3393">
        <f t="shared" si="29"/>
        <v>3.3E-3</v>
      </c>
      <c r="AB33" s="3390">
        <f t="shared" si="29"/>
        <v>9.1999999999999998E-3</v>
      </c>
      <c r="AC33" s="3392"/>
      <c r="AD33" s="3390">
        <f t="shared" si="29"/>
        <v>3.3E-3</v>
      </c>
    </row>
    <row r="34" spans="1:30">
      <c r="A34" s="3344" t="s">
        <v>2786</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1.0102</v>
      </c>
      <c r="T34" s="3381">
        <f>ROUND(IF(项目基本情况!$B$8="出让",SUMPRODUCT(PRODUCT(1+M34:M$36)),SUMPRODUCT(PRODUCT(1+M34:M$35))),4)</f>
        <v>1.0074000000000001</v>
      </c>
      <c r="U34" s="3381">
        <f>ROUND(IF(项目基本情况!$B$8="出让",SUMPRODUCT(PRODUCT(1+N34:N$36)),SUMPRODUCT(PRODUCT(1+N34:N$35))),4)</f>
        <v>1.0202</v>
      </c>
      <c r="V34" s="3381"/>
      <c r="W34" s="3381">
        <f t="shared" si="28"/>
        <v>1.0074000000000001</v>
      </c>
      <c r="X34" s="3365"/>
      <c r="Y34" s="3390"/>
      <c r="Z34" s="3391">
        <f t="shared" si="29"/>
        <v>4.5999999999999999E-3</v>
      </c>
      <c r="AA34" s="3393">
        <f t="shared" si="29"/>
        <v>4.1000000000000003E-3</v>
      </c>
      <c r="AB34" s="3390">
        <f t="shared" si="29"/>
        <v>0.01</v>
      </c>
      <c r="AC34" s="3392"/>
      <c r="AD34" s="3390">
        <f t="shared" si="29"/>
        <v>4.1000000000000003E-3</v>
      </c>
    </row>
    <row r="35" spans="1:30">
      <c r="A35" s="3344" t="s">
        <v>2790</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1.0055000000000001</v>
      </c>
      <c r="T35" s="3381">
        <f>ROUND(IF(项目基本情况!$B$8="出让",SUMPRODUCT(PRODUCT(1+M35:M$36)),SUMPRODUCT(PRODUCT(1+M35:M$35))),4)</f>
        <v>1.0045999999999999</v>
      </c>
      <c r="U35" s="3381">
        <f>ROUND(IF(项目基本情况!$B$8="出让",SUMPRODUCT(PRODUCT(1+N35:N$36)),SUMPRODUCT(PRODUCT(1+N35:N$35))),4)</f>
        <v>1.0109999999999999</v>
      </c>
      <c r="V35" s="3381"/>
      <c r="W35" s="3381">
        <f t="shared" si="28"/>
        <v>1.0045999999999999</v>
      </c>
      <c r="X35" s="3365"/>
      <c r="Y35" s="3390"/>
      <c r="Z35" s="3391">
        <f t="shared" si="29"/>
        <v>4.4999999999999997E-3</v>
      </c>
      <c r="AA35" s="3393">
        <f t="shared" si="29"/>
        <v>4.7000000000000002E-3</v>
      </c>
      <c r="AB35" s="3390">
        <f t="shared" si="29"/>
        <v>1.04E-2</v>
      </c>
      <c r="AC35" s="3392"/>
      <c r="AD35" s="3390">
        <f t="shared" si="29"/>
        <v>4.7000000000000002E-3</v>
      </c>
    </row>
    <row r="36" spans="1:30" ht="15" thickBot="1">
      <c r="A36" s="3346" t="s">
        <v>2791</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5" thickTop="1"/>
    <row r="38" spans="1:30">
      <c r="A38" s="3662" t="s">
        <v>3258</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90" customWidth="1"/>
    <col min="2" max="2" width="12.44140625" style="2990" customWidth="1"/>
    <col min="3" max="3" width="12.109375" style="2990" customWidth="1"/>
    <col min="4" max="4" width="16.6640625" style="2990" customWidth="1"/>
    <col min="5" max="5" width="12.44140625" style="2990" customWidth="1"/>
    <col min="6" max="6" width="12.77734375" style="2990" customWidth="1"/>
    <col min="7" max="16384" width="8.88671875" style="2990"/>
  </cols>
  <sheetData>
    <row r="1" spans="1:14" ht="20.399999999999999">
      <c r="A1" s="2993" t="s">
        <v>2210</v>
      </c>
      <c r="B1" s="2988"/>
      <c r="C1" s="2988"/>
      <c r="D1" s="2988"/>
      <c r="E1" s="2988"/>
      <c r="F1" s="2988"/>
      <c r="G1" s="2989"/>
      <c r="H1" s="2989"/>
      <c r="I1" s="2989"/>
      <c r="J1" s="2989"/>
      <c r="K1" s="2989"/>
      <c r="L1" s="2989"/>
      <c r="M1" s="2989"/>
      <c r="N1" s="2989"/>
    </row>
    <row r="2" spans="1:14" ht="15.6">
      <c r="A2" s="2994" t="s">
        <v>2205</v>
      </c>
      <c r="B2" s="2999">
        <f ca="1">SUMIF(B7:B14,"&lt;&gt;#ref!",B7:B14)</f>
        <v>0</v>
      </c>
      <c r="C2" s="2994" t="s">
        <v>2206</v>
      </c>
      <c r="D2" s="2991"/>
      <c r="E2" s="2991"/>
      <c r="F2" s="2991"/>
      <c r="G2" s="2989"/>
      <c r="H2" s="2989"/>
      <c r="I2" s="2989"/>
      <c r="J2" s="2989"/>
      <c r="K2" s="2989"/>
      <c r="L2" s="2989"/>
      <c r="M2" s="2989"/>
      <c r="N2" s="2989"/>
    </row>
    <row r="3" spans="1:14" ht="15.6">
      <c r="A3" s="2994" t="s">
        <v>2234</v>
      </c>
      <c r="B3" s="2999" t="e">
        <f ca="1">ROUND(B2*10000/E3,0)</f>
        <v>#DIV/0!</v>
      </c>
      <c r="C3" s="2994" t="s">
        <v>1596</v>
      </c>
      <c r="D3" s="2994" t="s">
        <v>2207</v>
      </c>
      <c r="E3" s="2992">
        <f ca="1">SUMIF(E7:E14,"&lt;&gt;#ref!",E7:E14)</f>
        <v>0</v>
      </c>
      <c r="F3" s="2991"/>
      <c r="G3" s="2989"/>
      <c r="H3" s="2989"/>
      <c r="I3" s="2989"/>
      <c r="J3" s="2989"/>
      <c r="K3" s="2989"/>
      <c r="L3" s="2989"/>
      <c r="M3" s="2989"/>
      <c r="N3" s="2989"/>
    </row>
    <row r="4" spans="1:14" ht="15.6">
      <c r="A4" s="2994" t="s">
        <v>2213</v>
      </c>
      <c r="B4" s="2999" t="e">
        <f ca="1">ROUND(B2*10000/E4,0)</f>
        <v>#DIV/0!</v>
      </c>
      <c r="C4" s="2994" t="s">
        <v>1596</v>
      </c>
      <c r="D4" s="2994" t="s">
        <v>2214</v>
      </c>
      <c r="E4" s="2992">
        <f ca="1">SUMIF(F7:F14,"&lt;&gt;#ref!",F7:F14)</f>
        <v>0</v>
      </c>
      <c r="F4" s="2991"/>
      <c r="G4" s="2989"/>
      <c r="H4" s="2989"/>
      <c r="I4" s="2989"/>
      <c r="J4" s="2989"/>
      <c r="K4" s="2989"/>
      <c r="L4" s="2989"/>
      <c r="M4" s="2989"/>
      <c r="N4" s="2989"/>
    </row>
    <row r="5" spans="1:14" ht="15.6">
      <c r="A5" s="2995"/>
      <c r="B5" s="2991"/>
      <c r="C5" s="2991"/>
      <c r="D5" s="2991"/>
      <c r="E5" s="2991"/>
      <c r="F5" s="2991"/>
      <c r="G5" s="2989"/>
      <c r="H5" s="2989"/>
      <c r="I5" s="2989"/>
      <c r="J5" s="2989"/>
      <c r="K5" s="2989"/>
      <c r="L5" s="2989"/>
      <c r="M5" s="2989"/>
      <c r="N5" s="2989"/>
    </row>
    <row r="6" spans="1:14" ht="31.2">
      <c r="A6" s="2996" t="s">
        <v>2211</v>
      </c>
      <c r="B6" s="2994" t="s">
        <v>2208</v>
      </c>
      <c r="C6" s="2545"/>
      <c r="D6" s="2991"/>
      <c r="E6" s="2994" t="s">
        <v>2209</v>
      </c>
      <c r="F6" s="2994" t="s">
        <v>2212</v>
      </c>
      <c r="G6" s="2989"/>
      <c r="H6" s="2989"/>
      <c r="I6" s="2989"/>
      <c r="J6" s="2989"/>
      <c r="K6" s="2989"/>
      <c r="L6" s="2989"/>
      <c r="M6" s="2989"/>
      <c r="N6" s="2989"/>
    </row>
    <row r="7" spans="1:14" ht="15.6">
      <c r="A7" s="2997"/>
      <c r="B7" s="2999" t="e">
        <f ca="1">SUMIF(INDIRECT("'"&amp;A7&amp;"'"&amp;"!A:A"),"总价",INDIRECT("'"&amp;A7&amp;"'"&amp;"!B:B"))</f>
        <v>#REF!</v>
      </c>
      <c r="C7" s="2994" t="s">
        <v>2206</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5.6">
      <c r="A8" s="2997"/>
      <c r="B8" s="2999" t="e">
        <f t="shared" ref="B8:B14" ca="1" si="0">SUMIF(INDIRECT("'"&amp;A8&amp;"'"&amp;"!A:A"),"总价",INDIRECT("'"&amp;A8&amp;"'"&amp;"!B:B"))</f>
        <v>#REF!</v>
      </c>
      <c r="C8" s="2994" t="s">
        <v>2206</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5.6">
      <c r="A9" s="2997"/>
      <c r="B9" s="2999" t="e">
        <f t="shared" ca="1" si="0"/>
        <v>#REF!</v>
      </c>
      <c r="C9" s="2994" t="s">
        <v>2206</v>
      </c>
      <c r="D9" s="2991"/>
      <c r="E9" s="2992" t="e">
        <f t="shared" ca="1" si="1"/>
        <v>#REF!</v>
      </c>
      <c r="F9" s="2992" t="e">
        <f t="shared" ca="1" si="2"/>
        <v>#REF!</v>
      </c>
      <c r="G9" s="2989"/>
      <c r="H9" s="2989"/>
      <c r="I9" s="2989"/>
      <c r="J9" s="2989"/>
      <c r="K9" s="2989"/>
      <c r="L9" s="2989"/>
      <c r="M9" s="2989"/>
      <c r="N9" s="2989"/>
    </row>
    <row r="10" spans="1:14" ht="15.6">
      <c r="A10" s="2997"/>
      <c r="B10" s="2999" t="e">
        <f t="shared" ca="1" si="0"/>
        <v>#REF!</v>
      </c>
      <c r="C10" s="2994" t="s">
        <v>2206</v>
      </c>
      <c r="D10" s="2991"/>
      <c r="E10" s="2992" t="e">
        <f t="shared" ca="1" si="1"/>
        <v>#REF!</v>
      </c>
      <c r="F10" s="2992" t="e">
        <f t="shared" ca="1" si="2"/>
        <v>#REF!</v>
      </c>
      <c r="G10" s="2989"/>
      <c r="H10" s="2989"/>
      <c r="I10" s="2989"/>
      <c r="J10" s="2989"/>
      <c r="K10" s="2989"/>
      <c r="L10" s="2989"/>
      <c r="M10" s="2989"/>
      <c r="N10" s="2989"/>
    </row>
    <row r="11" spans="1:14" ht="15.6">
      <c r="A11" s="2997"/>
      <c r="B11" s="2999" t="e">
        <f t="shared" ca="1" si="0"/>
        <v>#REF!</v>
      </c>
      <c r="C11" s="2994" t="s">
        <v>2206</v>
      </c>
      <c r="D11" s="2991"/>
      <c r="E11" s="2992" t="e">
        <f t="shared" ca="1" si="1"/>
        <v>#REF!</v>
      </c>
      <c r="F11" s="2992" t="e">
        <f t="shared" ca="1" si="2"/>
        <v>#REF!</v>
      </c>
      <c r="G11" s="2989"/>
      <c r="H11" s="2989"/>
      <c r="I11" s="2989"/>
      <c r="J11" s="2989"/>
      <c r="K11" s="2989"/>
      <c r="L11" s="2989"/>
      <c r="M11" s="2989"/>
      <c r="N11" s="2989"/>
    </row>
    <row r="12" spans="1:14" ht="15.6">
      <c r="A12" s="2997"/>
      <c r="B12" s="2999" t="e">
        <f t="shared" ca="1" si="0"/>
        <v>#REF!</v>
      </c>
      <c r="C12" s="2994" t="s">
        <v>2206</v>
      </c>
      <c r="D12" s="2991"/>
      <c r="E12" s="2992" t="e">
        <f t="shared" ca="1" si="1"/>
        <v>#REF!</v>
      </c>
      <c r="F12" s="2992" t="e">
        <f t="shared" ca="1" si="2"/>
        <v>#REF!</v>
      </c>
      <c r="G12" s="2989"/>
      <c r="H12" s="2989"/>
      <c r="I12" s="2989"/>
      <c r="J12" s="2989"/>
      <c r="K12" s="2989"/>
      <c r="L12" s="2989"/>
      <c r="M12" s="2989"/>
      <c r="N12" s="2989"/>
    </row>
    <row r="13" spans="1:14" ht="15.6">
      <c r="A13" s="2997"/>
      <c r="B13" s="2999" t="e">
        <f t="shared" ca="1" si="0"/>
        <v>#REF!</v>
      </c>
      <c r="C13" s="2994" t="s">
        <v>2206</v>
      </c>
      <c r="D13" s="2991"/>
      <c r="E13" s="2992" t="e">
        <f t="shared" ca="1" si="1"/>
        <v>#REF!</v>
      </c>
      <c r="F13" s="2992" t="e">
        <f t="shared" ca="1" si="2"/>
        <v>#REF!</v>
      </c>
      <c r="G13" s="2989"/>
      <c r="H13" s="2989"/>
      <c r="I13" s="2989"/>
      <c r="J13" s="2989"/>
      <c r="K13" s="2989"/>
      <c r="L13" s="2989"/>
      <c r="M13" s="2989"/>
      <c r="N13" s="2989"/>
    </row>
    <row r="14" spans="1:14" ht="15.6">
      <c r="A14" s="2998"/>
      <c r="B14" s="2999" t="e">
        <f t="shared" ca="1" si="0"/>
        <v>#REF!</v>
      </c>
      <c r="C14" s="2994" t="s">
        <v>2206</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576</v>
      </c>
      <c r="B1" s="706"/>
      <c r="C1" s="739"/>
      <c r="D1" s="1774"/>
      <c r="E1" s="2079" t="s">
        <v>1728</v>
      </c>
      <c r="F1" s="2080">
        <f ca="1">J54</f>
        <v>-3</v>
      </c>
      <c r="G1" s="740">
        <f>MATCH(C1,'数据-取费表'!A6:A16,0)+5</f>
        <v>9</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56" t="s">
        <v>1807</v>
      </c>
      <c r="C8" s="1612">
        <f ca="1">ROUND(F8*F10*F9*(1-F11)/10000,0)</f>
        <v>0</v>
      </c>
      <c r="D8" s="1609" t="s">
        <v>1817</v>
      </c>
      <c r="E8" s="59" t="s">
        <v>585</v>
      </c>
      <c r="F8" s="751">
        <f ca="1">INDIRECT("'数据-取费表'!u"&amp;$G$1)</f>
        <v>0</v>
      </c>
      <c r="G8" s="1405"/>
      <c r="H8" s="2151" t="s">
        <v>1353</v>
      </c>
      <c r="I8" s="3956" t="s">
        <v>1807</v>
      </c>
      <c r="J8" s="749">
        <f ca="1">ROUND(M8*M10*M9*(1-M11)/10000,0)</f>
        <v>0</v>
      </c>
      <c r="K8" s="332" t="s">
        <v>1817</v>
      </c>
      <c r="L8" s="750" t="s">
        <v>1267</v>
      </c>
      <c r="M8" s="751">
        <f ca="1">INDIRECT("'数据-取费表'!z"&amp;$G$1)</f>
        <v>0</v>
      </c>
    </row>
    <row r="9" spans="1:25" ht="18" customHeight="1">
      <c r="A9" s="2147"/>
      <c r="B9" s="3957"/>
      <c r="C9" s="1613"/>
      <c r="D9" s="1610"/>
      <c r="E9" s="59" t="s">
        <v>586</v>
      </c>
      <c r="F9" s="751">
        <f ca="1">IF(INDIRECT("'数据-取费表'!ah"&amp;$G$1)="",INDIRECT("'数据-取费表'!k"&amp;$G$1),INDIRECT("'数据-取费表'!ah"&amp;$G$1))</f>
        <v>0</v>
      </c>
      <c r="G9" s="1405"/>
      <c r="H9" s="2136"/>
      <c r="I9" s="3957"/>
      <c r="J9" s="754"/>
      <c r="K9" s="755"/>
      <c r="L9" s="750" t="s">
        <v>1268</v>
      </c>
      <c r="M9" s="751">
        <f ca="1">F9</f>
        <v>0</v>
      </c>
    </row>
    <row r="10" spans="1:25" ht="18" customHeight="1">
      <c r="A10" s="2140"/>
      <c r="B10" s="3958"/>
      <c r="C10" s="1613"/>
      <c r="D10" s="1610"/>
      <c r="E10" s="59" t="s">
        <v>587</v>
      </c>
      <c r="F10" s="751">
        <f ca="1">INDIRECT("'数据-取费表'!ai"&amp;$G$1)</f>
        <v>0</v>
      </c>
      <c r="G10" s="1405"/>
      <c r="H10" s="2136"/>
      <c r="I10" s="3958"/>
      <c r="J10" s="754"/>
      <c r="K10" s="755"/>
      <c r="L10" s="750" t="s">
        <v>1269</v>
      </c>
      <c r="M10" s="751">
        <f ca="1">INDIRECT("'数据-取费表'!ai"&amp;$G$1)</f>
        <v>0</v>
      </c>
    </row>
    <row r="11" spans="1:25" ht="18" customHeight="1">
      <c r="A11" s="752"/>
      <c r="B11" s="3959"/>
      <c r="C11" s="1613"/>
      <c r="D11" s="1610"/>
      <c r="E11" s="59" t="s">
        <v>588</v>
      </c>
      <c r="F11" s="760">
        <f ca="1">INDIRECT("'数据-取费表'!w"&amp;$G$1)</f>
        <v>0</v>
      </c>
      <c r="G11" s="1405"/>
      <c r="H11" s="2152"/>
      <c r="I11" s="3958"/>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2231</v>
      </c>
      <c r="E12" s="2145" t="s">
        <v>1808</v>
      </c>
      <c r="F12" s="2229"/>
      <c r="G12" s="1405"/>
      <c r="H12" s="2179" t="s">
        <v>1354</v>
      </c>
      <c r="I12" s="2184" t="s">
        <v>1803</v>
      </c>
      <c r="J12" s="749">
        <f ca="1">ROUND(IF(M12="押一",J8/12*M13,IF(M12="押二",J8/12*2*M13,IF(M12="押三",J8/12*3*M13,J13*M13))),0)</f>
        <v>0</v>
      </c>
      <c r="K12" s="2148" t="s">
        <v>2231</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1.2999999999999999E-3</v>
      </c>
      <c r="D26" s="2187" t="str">
        <f>IF(F25&lt;=1,"销售费用×利率×(建设周期÷2)","销售费用×((1+利率)^(建设周期÷2)-1)")</f>
        <v>销售费用×((1+利率)^(建设周期÷2)-1)</v>
      </c>
      <c r="E26" s="750" t="s">
        <v>629</v>
      </c>
      <c r="F26" s="784">
        <f ca="1">'数据-取费表'!B40</f>
        <v>4.1499999999999995E-2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2282</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55"/>
      <c r="J36" s="1803"/>
      <c r="K36" s="1804"/>
      <c r="L36" s="1803"/>
      <c r="M36" s="1803"/>
    </row>
    <row r="37" spans="1:18" ht="18" customHeight="1">
      <c r="A37" s="780"/>
      <c r="B37" s="759"/>
      <c r="C37" s="67"/>
      <c r="D37" s="781"/>
      <c r="E37" s="750" t="s">
        <v>621</v>
      </c>
      <c r="F37" s="751">
        <f ca="1">INDIRECT("'数据-取费表'!r"&amp;$G$1)</f>
        <v>0</v>
      </c>
      <c r="G37" s="1786"/>
      <c r="H37" s="1789"/>
      <c r="I37" s="3955"/>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2221</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2224</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31.8" thickBot="1">
      <c r="A54" s="1819"/>
      <c r="I54" s="2560" t="s">
        <v>2235</v>
      </c>
      <c r="J54" s="2611">
        <f ca="1">IF(M48="住宅",MAX(J52,L49-'数据-取费表'!B20),MIN(J52,L49-'数据-取费表'!B20))</f>
        <v>-3</v>
      </c>
      <c r="K54" s="3960"/>
      <c r="L54" s="3961"/>
      <c r="O54" s="2093" t="s">
        <v>1742</v>
      </c>
      <c r="P54" s="2091" t="s">
        <v>1743</v>
      </c>
      <c r="Q54" s="2092">
        <f ca="1">J54</f>
        <v>-3</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2"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7.4"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31.8"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31.8"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31.8"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6.2"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19.2" thickBot="1">
      <c r="A62" s="1819"/>
      <c r="B62" s="1820"/>
      <c r="C62" s="1820"/>
      <c r="K62" s="1809"/>
      <c r="O62" s="2093" t="s">
        <v>1740</v>
      </c>
      <c r="P62" s="2091" t="s">
        <v>1748</v>
      </c>
      <c r="Q62" s="2092">
        <f ca="1">L59</f>
        <v>0</v>
      </c>
      <c r="R62" s="2095" t="s">
        <v>1749</v>
      </c>
    </row>
    <row r="63" spans="1:18" s="1783" customFormat="1" ht="19.2" thickBot="1">
      <c r="A63" s="1819"/>
      <c r="B63" s="1820"/>
      <c r="C63" s="1820"/>
      <c r="I63" s="2579" t="s">
        <v>1721</v>
      </c>
      <c r="J63" s="2580" t="s">
        <v>1722</v>
      </c>
      <c r="K63" s="2580" t="s">
        <v>1723</v>
      </c>
      <c r="L63" s="2580" t="s">
        <v>1704</v>
      </c>
      <c r="M63" s="2581" t="s">
        <v>2204</v>
      </c>
      <c r="O63" s="2093" t="s">
        <v>1742</v>
      </c>
      <c r="P63" s="2091" t="s">
        <v>1750</v>
      </c>
      <c r="Q63" s="2092">
        <f ca="1">L60</f>
        <v>0</v>
      </c>
      <c r="R63" s="2095" t="s">
        <v>1751</v>
      </c>
    </row>
    <row r="64" spans="1:18" s="1783" customFormat="1" ht="16.2"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2" thickBot="1">
      <c r="A65" s="1819"/>
      <c r="B65" s="1820"/>
      <c r="C65" s="1820"/>
      <c r="I65" s="2579" t="s">
        <v>1725</v>
      </c>
      <c r="J65" s="2580">
        <v>50</v>
      </c>
      <c r="K65" s="2580">
        <v>35</v>
      </c>
      <c r="L65" s="2580">
        <v>60</v>
      </c>
      <c r="M65" s="811">
        <v>0</v>
      </c>
      <c r="O65" s="2096" t="s">
        <v>1769</v>
      </c>
      <c r="P65" s="1405"/>
      <c r="Q65" s="1413"/>
      <c r="R65" s="1405"/>
    </row>
    <row r="66" spans="1:18" s="1783" customFormat="1" ht="16.2"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6.2" thickBot="1">
      <c r="A67" s="1819"/>
      <c r="B67" s="1820"/>
      <c r="C67" s="1820"/>
      <c r="K67" s="1809"/>
      <c r="O67" s="2090" t="s">
        <v>1733</v>
      </c>
      <c r="P67" s="2091" t="s">
        <v>1759</v>
      </c>
      <c r="Q67" s="2092">
        <f ca="1">C41+J31</f>
        <v>0</v>
      </c>
      <c r="R67" s="2091" t="s">
        <v>1734</v>
      </c>
    </row>
    <row r="68" spans="1:18" s="1783" customFormat="1" ht="19.2" thickBot="1">
      <c r="A68" s="1819"/>
      <c r="B68" s="1820"/>
      <c r="C68" s="1820"/>
      <c r="K68" s="1809"/>
      <c r="O68" s="2090" t="s">
        <v>1735</v>
      </c>
      <c r="P68" s="2091" t="s">
        <v>1766</v>
      </c>
      <c r="Q68" s="2092" t="e">
        <f ca="1">L61</f>
        <v>#DIV/0!</v>
      </c>
      <c r="R68" s="2095" t="s">
        <v>1768</v>
      </c>
    </row>
    <row r="69" spans="1:18" s="1783" customFormat="1" ht="20.399999999999999" thickBot="1">
      <c r="A69" s="1819"/>
      <c r="B69" s="1820"/>
      <c r="C69" s="1820"/>
      <c r="K69" s="1809"/>
      <c r="O69" s="2093" t="s">
        <v>1737</v>
      </c>
      <c r="P69" s="2091" t="s">
        <v>1767</v>
      </c>
      <c r="Q69" s="2097">
        <f ca="1">L52</f>
        <v>0</v>
      </c>
      <c r="R69" s="2098" t="s">
        <v>1770</v>
      </c>
    </row>
    <row r="70" spans="1:18" s="1783" customFormat="1" ht="19.2" thickBot="1">
      <c r="A70" s="1819"/>
      <c r="B70" s="1820"/>
      <c r="C70" s="1820"/>
      <c r="K70" s="1809"/>
      <c r="O70" s="2093" t="s">
        <v>1738</v>
      </c>
      <c r="P70" s="2099" t="s">
        <v>1752</v>
      </c>
      <c r="Q70" s="2092">
        <f ca="1">ROUND(Q71-Q72*Q73,0)</f>
        <v>0</v>
      </c>
      <c r="R70" s="2095"/>
    </row>
    <row r="71" spans="1:18" s="1783" customFormat="1" ht="16.2" thickBot="1">
      <c r="A71" s="1819"/>
      <c r="B71" s="1820"/>
      <c r="C71" s="1820"/>
      <c r="K71" s="1809"/>
      <c r="O71" s="2093" t="s">
        <v>1753</v>
      </c>
      <c r="P71" s="2099" t="s">
        <v>1754</v>
      </c>
      <c r="Q71" s="2092">
        <f ca="1">C42</f>
        <v>0</v>
      </c>
      <c r="R71" s="2091" t="s">
        <v>1734</v>
      </c>
    </row>
    <row r="72" spans="1:18" s="1783" customFormat="1" ht="16.2" thickBot="1">
      <c r="A72" s="1819"/>
      <c r="B72" s="1820"/>
      <c r="C72" s="1820"/>
      <c r="K72" s="1809"/>
      <c r="O72" s="2093" t="s">
        <v>1755</v>
      </c>
      <c r="P72" s="2099" t="s">
        <v>1756</v>
      </c>
      <c r="Q72" s="2092">
        <f ca="1">C15</f>
        <v>0</v>
      </c>
      <c r="R72" s="2091" t="s">
        <v>1734</v>
      </c>
    </row>
    <row r="73" spans="1:18" s="1783" customFormat="1" ht="16.2" thickBot="1">
      <c r="A73" s="1819"/>
      <c r="B73" s="1820"/>
      <c r="C73" s="1820"/>
      <c r="K73" s="1809"/>
      <c r="O73" s="2093" t="s">
        <v>1757</v>
      </c>
      <c r="P73" s="2099" t="s">
        <v>1758</v>
      </c>
      <c r="Q73" s="2094">
        <f ca="1">F43</f>
        <v>0</v>
      </c>
      <c r="R73" s="2095"/>
    </row>
    <row r="74" spans="1:18" s="1783" customFormat="1" ht="16.2" thickBot="1">
      <c r="A74" s="1819"/>
      <c r="B74" s="1820"/>
      <c r="C74" s="1820"/>
      <c r="K74" s="1809"/>
      <c r="O74" s="2093" t="s">
        <v>1740</v>
      </c>
      <c r="P74" s="2091" t="s">
        <v>1747</v>
      </c>
      <c r="Q74" s="2094">
        <f>L53</f>
        <v>0</v>
      </c>
      <c r="R74" s="2095"/>
    </row>
    <row r="75" spans="1:18" s="1783" customFormat="1" ht="19.2" thickBot="1">
      <c r="A75" s="1819"/>
      <c r="B75" s="1820"/>
      <c r="C75" s="1820"/>
      <c r="K75" s="1809"/>
      <c r="O75" s="2093" t="s">
        <v>1742</v>
      </c>
      <c r="P75" s="2091" t="s">
        <v>1748</v>
      </c>
      <c r="Q75" s="2092">
        <f ca="1">L59</f>
        <v>0</v>
      </c>
      <c r="R75" s="2095" t="s">
        <v>1749</v>
      </c>
    </row>
    <row r="76" spans="1:18" s="1783" customFormat="1" ht="19.2" thickBot="1">
      <c r="A76" s="1819"/>
      <c r="B76" s="1820"/>
      <c r="C76" s="1820"/>
      <c r="K76" s="1809"/>
      <c r="O76" s="2093" t="s">
        <v>1771</v>
      </c>
      <c r="P76" s="2091" t="s">
        <v>1750</v>
      </c>
      <c r="Q76" s="2092">
        <f ca="1">L60</f>
        <v>0</v>
      </c>
      <c r="R76" s="2095" t="s">
        <v>1751</v>
      </c>
    </row>
    <row r="77" spans="1:18" s="1783" customFormat="1" ht="16.2"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B4" zoomScale="70" zoomScaleNormal="60" zoomScaleSheetLayoutView="70" workbookViewId="0">
      <selection activeCell="D29" sqref="D29"/>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1212</v>
      </c>
      <c r="D1" s="2553" t="s">
        <v>3325</v>
      </c>
      <c r="E1" s="2079" t="s">
        <v>1728</v>
      </c>
      <c r="F1" s="2080">
        <f ca="1">J53</f>
        <v>36.590000000000003</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204024</v>
      </c>
      <c r="C2" s="3006"/>
      <c r="D2" s="3007"/>
      <c r="E2" s="3008"/>
      <c r="F2" s="3008"/>
      <c r="G2" s="3002"/>
      <c r="H2" s="1781"/>
      <c r="I2" s="1781"/>
      <c r="J2" s="1781"/>
      <c r="K2" s="1782"/>
      <c r="L2" s="1781"/>
      <c r="M2" s="1781"/>
    </row>
    <row r="3" spans="1:33" ht="18" customHeight="1" thickBot="1">
      <c r="A3" s="798" t="s">
        <v>1256</v>
      </c>
      <c r="B3" s="799">
        <f ca="1">IF(ISERROR(B2*10000/F43),0,ROUND(B2*10000/F43,0))</f>
        <v>22400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14979</v>
      </c>
      <c r="D5" s="2143" t="s">
        <v>1805</v>
      </c>
      <c r="E5" s="2137"/>
      <c r="F5" s="2138"/>
      <c r="G5" s="1786"/>
      <c r="H5" s="747">
        <v>1</v>
      </c>
      <c r="I5" s="748" t="s">
        <v>1802</v>
      </c>
      <c r="J5" s="53">
        <f ca="1">J6+J10+J12</f>
        <v>0</v>
      </c>
      <c r="K5" s="2143" t="s">
        <v>1805</v>
      </c>
      <c r="L5" s="2137"/>
      <c r="M5" s="2138"/>
    </row>
    <row r="6" spans="1:33" ht="18" customHeight="1">
      <c r="A6" s="1617" t="s">
        <v>1353</v>
      </c>
      <c r="B6" s="3956" t="s">
        <v>1807</v>
      </c>
      <c r="C6" s="749">
        <f ca="1">ROUND(F6*F8*F7*(1-F9)/10000,0)</f>
        <v>14960</v>
      </c>
      <c r="D6" s="2144" t="s">
        <v>1806</v>
      </c>
      <c r="E6" s="750" t="s">
        <v>1267</v>
      </c>
      <c r="F6" s="751">
        <f ca="1">INDIRECT("'数据-取费表'!u"&amp;$G$1)</f>
        <v>5</v>
      </c>
      <c r="G6" s="1786"/>
      <c r="H6" s="2151" t="s">
        <v>1812</v>
      </c>
      <c r="I6" s="3956" t="s">
        <v>1807</v>
      </c>
      <c r="J6" s="749">
        <f ca="1">ROUND(M6*M8*M7*(1-M9)/10000,0)</f>
        <v>0</v>
      </c>
      <c r="K6" s="332" t="s">
        <v>1266</v>
      </c>
      <c r="L6" s="750" t="s">
        <v>1267</v>
      </c>
      <c r="M6" s="751">
        <f ca="1">INDIRECT("'数据-取费表'!z"&amp;$G$1)</f>
        <v>0</v>
      </c>
    </row>
    <row r="7" spans="1:33" ht="18" customHeight="1">
      <c r="A7" s="2147"/>
      <c r="B7" s="3957"/>
      <c r="C7" s="754"/>
      <c r="D7" s="755"/>
      <c r="E7" s="750" t="s">
        <v>1268</v>
      </c>
      <c r="F7" s="751">
        <f ca="1">IF(INDIRECT("'数据-取费表'!ah"&amp;$G$1)="",INDIRECT("'数据-取费表'!k"&amp;$G$1),INDIRECT("'数据-取费表'!ah"&amp;$G$1))</f>
        <v>91080.39</v>
      </c>
      <c r="G7" s="1786"/>
      <c r="H7" s="2136"/>
      <c r="I7" s="3957"/>
      <c r="J7" s="754"/>
      <c r="K7" s="755"/>
      <c r="L7" s="750" t="s">
        <v>1268</v>
      </c>
      <c r="M7" s="751">
        <f ca="1">F7</f>
        <v>91080.39</v>
      </c>
    </row>
    <row r="8" spans="1:33" ht="18" customHeight="1">
      <c r="A8" s="2140"/>
      <c r="B8" s="3958"/>
      <c r="C8" s="754"/>
      <c r="D8" s="755"/>
      <c r="E8" s="750" t="s">
        <v>1269</v>
      </c>
      <c r="F8" s="751">
        <f ca="1">INDIRECT("'数据-取费表'!ai"&amp;$G$1)</f>
        <v>365</v>
      </c>
      <c r="G8" s="1786"/>
      <c r="H8" s="2136"/>
      <c r="I8" s="3958"/>
      <c r="J8" s="754"/>
      <c r="K8" s="755"/>
      <c r="L8" s="750" t="s">
        <v>1269</v>
      </c>
      <c r="M8" s="751">
        <f ca="1">INDIRECT("'数据-取费表'!ai"&amp;$G$1)</f>
        <v>365</v>
      </c>
    </row>
    <row r="9" spans="1:33" ht="18" customHeight="1">
      <c r="A9" s="752"/>
      <c r="B9" s="3959"/>
      <c r="C9" s="754"/>
      <c r="D9" s="755"/>
      <c r="E9" s="750" t="s">
        <v>1270</v>
      </c>
      <c r="F9" s="760">
        <f ca="1">INDIRECT("'数据-取费表'!w"&amp;$G$1)</f>
        <v>0.1</v>
      </c>
      <c r="G9" s="1786"/>
      <c r="H9" s="2152"/>
      <c r="I9" s="3958"/>
      <c r="J9" s="754"/>
      <c r="K9" s="755"/>
      <c r="L9" s="761" t="s">
        <v>1270</v>
      </c>
      <c r="M9" s="762">
        <f ca="1">INDIRECT("'数据-取费表'!ab"&amp;$G$1)</f>
        <v>0</v>
      </c>
    </row>
    <row r="10" spans="1:33" ht="18" customHeight="1">
      <c r="A10" s="1617" t="s">
        <v>1810</v>
      </c>
      <c r="B10" s="2141" t="s">
        <v>1803</v>
      </c>
      <c r="C10" s="765">
        <f ca="1">ROUND(IF(F10="押一",C6/12*F11,IF(F10="押二",C6/12*2*F11,IF(F10="押三",C6/12*3*F11,C11*F11))),0)</f>
        <v>19</v>
      </c>
      <c r="D10" s="2148" t="s">
        <v>2231</v>
      </c>
      <c r="E10" s="2145" t="s">
        <v>1808</v>
      </c>
      <c r="F10" s="2229" t="s">
        <v>3326</v>
      </c>
      <c r="G10" s="1786"/>
      <c r="H10" s="2179" t="s">
        <v>1813</v>
      </c>
      <c r="I10" s="2184" t="s">
        <v>1803</v>
      </c>
      <c r="J10" s="749">
        <f ca="1">ROUND(IF(M10="押一",J6/12*M11,IF(M10="押二",J6/12*2*M11,IF(M10="押三",J6/12*3*M11,J11*M11))),0)</f>
        <v>0</v>
      </c>
      <c r="K10" s="2148" t="s">
        <v>2231</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62477</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42742</v>
      </c>
      <c r="D14" s="1734" t="s">
        <v>1274</v>
      </c>
      <c r="E14" s="1735"/>
      <c r="F14" s="771"/>
      <c r="G14" s="1786"/>
      <c r="H14" s="1454" t="s">
        <v>1359</v>
      </c>
      <c r="I14" s="1950" t="s">
        <v>2103</v>
      </c>
      <c r="J14" s="51">
        <f ca="1">C29</f>
        <v>62477</v>
      </c>
      <c r="K14" s="24"/>
      <c r="L14" s="767"/>
      <c r="M14" s="768"/>
    </row>
    <row r="15" spans="1:33" s="1788" customFormat="1" ht="18" customHeight="1" thickBot="1">
      <c r="A15" s="1453" t="s">
        <v>1410</v>
      </c>
      <c r="B15" s="750" t="s">
        <v>595</v>
      </c>
      <c r="C15" s="51">
        <f ca="1">ROUND(C14*F15,0)</f>
        <v>1282</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626</v>
      </c>
      <c r="K16" s="1608" t="s">
        <v>1279</v>
      </c>
      <c r="L16" s="2133"/>
      <c r="M16" s="2138"/>
    </row>
    <row r="17" spans="1:33" s="1788" customFormat="1" ht="18" customHeight="1">
      <c r="A17" s="1453" t="s">
        <v>1412</v>
      </c>
      <c r="B17" s="750" t="s">
        <v>601</v>
      </c>
      <c r="C17" s="51">
        <f ca="1">ROUND(F17*(F43+INDIRECT("'数据-取费表'!S"&amp;$G$1))/10000,0)</f>
        <v>1962</v>
      </c>
      <c r="D17" s="750" t="s">
        <v>1280</v>
      </c>
      <c r="E17" s="750" t="s">
        <v>1281</v>
      </c>
      <c r="F17" s="54">
        <f>'数据-取费表'!B35</f>
        <v>200</v>
      </c>
      <c r="G17" s="3003"/>
      <c r="H17" s="1454" t="s">
        <v>1359</v>
      </c>
      <c r="I17" s="750" t="s">
        <v>604</v>
      </c>
      <c r="J17" s="2762">
        <f ca="1">ROUND(IF(AND(项目基本情况!B11="自然人",项目基本情况!B10="北京市"),J6*M17/(1+'数据-取费表'!C42),J18+J19+J20),2)</f>
        <v>1.1299999999999999</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641</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46627</v>
      </c>
      <c r="D19" s="252" t="s">
        <v>1286</v>
      </c>
      <c r="E19" s="1737"/>
      <c r="F19" s="54"/>
      <c r="G19" s="1786"/>
      <c r="H19" s="1453"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8" customFormat="1" ht="18" customHeight="1">
      <c r="A20" s="1454" t="s">
        <v>1414</v>
      </c>
      <c r="B20" s="750" t="s">
        <v>613</v>
      </c>
      <c r="C20" s="51">
        <f ca="1">ROUND(C19*F20,0)</f>
        <v>933</v>
      </c>
      <c r="D20" s="777" t="s">
        <v>1288</v>
      </c>
      <c r="E20" s="750" t="s">
        <v>1276</v>
      </c>
      <c r="F20" s="775">
        <f>'数据-取费表'!B37</f>
        <v>0.02</v>
      </c>
      <c r="G20" s="3003"/>
      <c r="H20" s="1456" t="s">
        <v>1405</v>
      </c>
      <c r="I20" s="332" t="s">
        <v>1289</v>
      </c>
      <c r="J20" s="52">
        <f ca="1">ROUND(M20*M21/10000,2)</f>
        <v>1.1299999999999999</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7528.49</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624.77</v>
      </c>
      <c r="K22" s="2131" t="s">
        <v>1298</v>
      </c>
      <c r="L22" s="750" t="s">
        <v>1276</v>
      </c>
      <c r="M22" s="782">
        <f ca="1">INDIRECT("'数据-取费表'!Ak"&amp;$G$1)</f>
        <v>0.01</v>
      </c>
    </row>
    <row r="23" spans="1:33" s="1788" customFormat="1" ht="18" customHeight="1">
      <c r="A23" s="1453" t="s">
        <v>1360</v>
      </c>
      <c r="B23" s="750" t="s">
        <v>1818</v>
      </c>
      <c r="C23" s="51">
        <f ca="1">ROUND(IF('数据-取费表'!B22&lt;=1,(C19+C20)*F24*F23/2,(C19+C20)*(POWER((1+F24),F23/2)-1)),0)</f>
        <v>2991</v>
      </c>
      <c r="D23" s="2187" t="str">
        <f>IF(F23&lt;=1,"(建造成本+管理费用)×利率×(建设周期÷2)","(建造成本+管理费用)×((1+利率)^(建设周期÷2)-1)")</f>
        <v>(建造成本+管理费用)×((1+利率)^(建设周期÷2)-1)</v>
      </c>
      <c r="E23" s="750" t="s">
        <v>1299</v>
      </c>
      <c r="F23" s="608">
        <f>'数据-取费表'!B20</f>
        <v>3</v>
      </c>
      <c r="G23" s="3003"/>
      <c r="H23" s="1454" t="s">
        <v>1415</v>
      </c>
      <c r="I23" s="750" t="s">
        <v>626</v>
      </c>
      <c r="J23" s="51">
        <f ca="1">ROUND(J13*M23,2)</f>
        <v>0</v>
      </c>
      <c r="K23" s="2131"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1.2999999999999999E-3</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1.4999999999999999E-2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-626</v>
      </c>
      <c r="K25" s="2166" t="s">
        <v>1306</v>
      </c>
      <c r="L25" s="2167"/>
      <c r="M25" s="2168"/>
    </row>
    <row r="26" spans="1:33" ht="18" customHeight="1">
      <c r="A26" s="1453" t="s">
        <v>1360</v>
      </c>
      <c r="B26" s="750" t="s">
        <v>1785</v>
      </c>
      <c r="C26" s="51">
        <f ca="1">ROUND((C19+C20)*F26,0)</f>
        <v>7134</v>
      </c>
      <c r="D26" s="777" t="s">
        <v>1307</v>
      </c>
      <c r="E26" s="761" t="s">
        <v>1308</v>
      </c>
      <c r="F26" s="760">
        <f ca="1">INDIRECT("'数据-取费表'!q"&amp;$G$1)</f>
        <v>0.15</v>
      </c>
      <c r="G26" s="1786"/>
      <c r="H26" s="2149" t="s">
        <v>1309</v>
      </c>
      <c r="I26" s="1951" t="s">
        <v>2104</v>
      </c>
      <c r="J26" s="749">
        <f ca="1">IF(J5&lt;&gt;0,ROUND(J25*(1-((1+M28)/(1+M26))^M27)/(M26-M28),0),0)</f>
        <v>0</v>
      </c>
      <c r="K26" s="779" t="s">
        <v>1310</v>
      </c>
      <c r="L26" s="750" t="s">
        <v>1773</v>
      </c>
      <c r="M26" s="760">
        <f ca="1">INDIRECT("'数据-取费表'!I"&amp;$G$1)</f>
        <v>0.06</v>
      </c>
    </row>
    <row r="27" spans="1:33" ht="18" customHeight="1">
      <c r="A27" s="1453" t="s">
        <v>1361</v>
      </c>
      <c r="B27" s="750" t="s">
        <v>633</v>
      </c>
      <c r="C27" s="51">
        <f ca="1">ROUND(F21*F26,4)</f>
        <v>3.0000000000000001E-3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62477</v>
      </c>
      <c r="D29" s="2163"/>
      <c r="E29" s="2164"/>
      <c r="F29" s="2165"/>
      <c r="G29" s="3003"/>
      <c r="H29" s="788" t="s">
        <v>1316</v>
      </c>
      <c r="I29" s="789" t="s">
        <v>1317</v>
      </c>
      <c r="J29" s="790">
        <f ca="1">ROUND(J26/(1+F40)^F41,0)</f>
        <v>0</v>
      </c>
      <c r="K29" s="791" t="s">
        <v>1318</v>
      </c>
      <c r="L29" s="792"/>
      <c r="M29" s="793">
        <f ca="1">INDIRECT("'数据-取费表'!k"&amp;$G$1)</f>
        <v>91080.39</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3438</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2494.46</v>
      </c>
      <c r="D31" s="1734" t="s">
        <v>1321</v>
      </c>
      <c r="E31" s="1732" t="s">
        <v>1322</v>
      </c>
      <c r="F31" s="2761" t="str">
        <f>IF(项目基本情况!B11="企业","——",IF(M47="住宅",IF(F6*F7*F8/12/(1+'数据-取费表'!F30)&gt;100000,4%,2.5%),IF(F6*F7*F8/12/(1+'数据-取费表'!F30)&gt;100000,12%,7%)))</f>
        <v>——</v>
      </c>
      <c r="G31" s="1786"/>
      <c r="H31" s="3000" t="s">
        <v>2283</v>
      </c>
      <c r="I31" s="1790"/>
      <c r="J31" s="1791"/>
      <c r="K31" s="1792"/>
      <c r="L31" s="1793"/>
      <c r="M31" s="1794"/>
    </row>
    <row r="32" spans="1:33" ht="18" customHeight="1">
      <c r="A32" s="1453" t="s">
        <v>1360</v>
      </c>
      <c r="B32" s="750" t="s">
        <v>1323</v>
      </c>
      <c r="C32" s="51">
        <f ca="1">ROUND(C6*F32/(1+'数据-取费表'!C42),2)</f>
        <v>783.62</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1709.71</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1.1299999999999999</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7528.49</v>
      </c>
      <c r="G35" s="1786"/>
      <c r="H35" s="1789"/>
      <c r="I35" s="802" t="s">
        <v>1343</v>
      </c>
      <c r="J35" s="803">
        <f ca="1">ROUND(C13*J36,0)</f>
        <v>5311</v>
      </c>
      <c r="K35" s="1802"/>
      <c r="L35" s="1801"/>
      <c r="M35" s="1801"/>
    </row>
    <row r="36" spans="1:18" ht="18" customHeight="1">
      <c r="A36" s="1454" t="s">
        <v>1414</v>
      </c>
      <c r="B36" s="750" t="s">
        <v>1331</v>
      </c>
      <c r="C36" s="51">
        <f ca="1">ROUND(C29*F36,2)</f>
        <v>624.77</v>
      </c>
      <c r="D36" s="1732" t="s">
        <v>1332</v>
      </c>
      <c r="E36" s="750" t="s">
        <v>1325</v>
      </c>
      <c r="F36" s="782">
        <f ca="1">INDIRECT("'数据-取费表'!Ak"&amp;$G$1)</f>
        <v>0.01</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93.72</v>
      </c>
      <c r="D37" s="1732"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224.69</v>
      </c>
      <c r="D38" s="2163" t="s">
        <v>1334</v>
      </c>
      <c r="E38" s="2164" t="s">
        <v>1325</v>
      </c>
      <c r="F38" s="2160">
        <f ca="1">INDIRECT("'数据-取费表'!Am"&amp;$G$1)</f>
        <v>1.4999999999999999E-2</v>
      </c>
      <c r="G38" s="1786"/>
      <c r="H38" s="1801"/>
      <c r="I38" s="808" t="s">
        <v>1346</v>
      </c>
      <c r="J38" s="809"/>
      <c r="K38" s="1806"/>
      <c r="L38" s="1801"/>
      <c r="M38" s="1801"/>
    </row>
    <row r="39" spans="1:18" ht="24.6" customHeight="1" thickTop="1">
      <c r="A39" s="1616" t="s">
        <v>1419</v>
      </c>
      <c r="B39" s="2484" t="s">
        <v>2099</v>
      </c>
      <c r="C39" s="758">
        <f ca="1">C5-C30</f>
        <v>11541</v>
      </c>
      <c r="D39" s="2166" t="s">
        <v>1335</v>
      </c>
      <c r="E39" s="2167"/>
      <c r="F39" s="2168"/>
      <c r="G39" s="1786"/>
      <c r="H39" s="1801"/>
      <c r="I39" s="802" t="s">
        <v>1347</v>
      </c>
      <c r="J39" s="810">
        <f ca="1">ROUND(J35/C39,3)</f>
        <v>0.46</v>
      </c>
      <c r="K39" s="1806"/>
      <c r="L39" s="1801"/>
      <c r="M39" s="1801"/>
    </row>
    <row r="40" spans="1:18" ht="18" customHeight="1">
      <c r="A40" s="747" t="s">
        <v>1420</v>
      </c>
      <c r="B40" s="1951" t="s">
        <v>1658</v>
      </c>
      <c r="C40" s="749">
        <f ca="1">ROUND(C39*(1-((1+F42)/(1+F40))^F41)/(F40-F42),0)</f>
        <v>204024</v>
      </c>
      <c r="D40" s="779" t="s">
        <v>1336</v>
      </c>
      <c r="E40" s="750" t="s">
        <v>1773</v>
      </c>
      <c r="F40" s="760">
        <f ca="1">INDIRECT("'数据-取费表'!I"&amp;$G$1)</f>
        <v>0.06</v>
      </c>
      <c r="G40" s="1786"/>
      <c r="H40" s="1786"/>
      <c r="I40" s="802" t="s">
        <v>1348</v>
      </c>
      <c r="J40" s="810">
        <f ca="1">1-J39</f>
        <v>0.54</v>
      </c>
      <c r="K40" s="1806"/>
      <c r="L40" s="1786"/>
      <c r="M40" s="1786"/>
    </row>
    <row r="41" spans="1:18" ht="18" customHeight="1">
      <c r="A41" s="752"/>
      <c r="B41" s="753"/>
      <c r="C41" s="754"/>
      <c r="D41" s="786" t="s">
        <v>1337</v>
      </c>
      <c r="E41" s="750" t="s">
        <v>2223</v>
      </c>
      <c r="F41" s="787">
        <f ca="1">IF(INDIRECT("'数据-取费表'!af"&amp;$G$1)=0,INDIRECT("'数据-取费表'!ae"&amp;$G$1),INDIRECT("'数据-取费表'!af"&amp;$G$1))</f>
        <v>36.590000000000003</v>
      </c>
      <c r="G41" s="1786"/>
      <c r="H41" s="1741"/>
      <c r="I41" s="808" t="s">
        <v>1349</v>
      </c>
      <c r="J41" s="811"/>
      <c r="K41" s="1805"/>
      <c r="L41" s="1741"/>
      <c r="M41" s="1741"/>
    </row>
    <row r="42" spans="1:18" ht="18" customHeight="1">
      <c r="A42" s="756"/>
      <c r="B42" s="757"/>
      <c r="C42" s="758"/>
      <c r="D42" s="781"/>
      <c r="E42" s="750" t="s">
        <v>1338</v>
      </c>
      <c r="F42" s="760">
        <f ca="1">INDIRECT("'数据-取费表'!v"&amp;$G$1)</f>
        <v>1.4999999999999999E-2</v>
      </c>
      <c r="G42" s="1786"/>
      <c r="H42" s="1741"/>
      <c r="I42" s="812" t="s">
        <v>1350</v>
      </c>
      <c r="J42" s="810">
        <f ca="1">ROUND(C13/C40,3)</f>
        <v>0.30599999999999999</v>
      </c>
      <c r="K42" s="1805"/>
      <c r="L42" s="1741"/>
      <c r="M42" s="1741"/>
    </row>
    <row r="43" spans="1:18" ht="18" customHeight="1" thickBot="1">
      <c r="A43" s="788" t="s">
        <v>1316</v>
      </c>
      <c r="B43" s="789" t="s">
        <v>1339</v>
      </c>
      <c r="C43" s="790">
        <f ca="1">ROUND(C40*10000/F43,0)</f>
        <v>22400</v>
      </c>
      <c r="D43" s="791" t="s">
        <v>1340</v>
      </c>
      <c r="E43" s="792" t="s">
        <v>1341</v>
      </c>
      <c r="F43" s="793">
        <f ca="1">INDIRECT("'数据-取费表'!k"&amp;$G$1)</f>
        <v>91080.39</v>
      </c>
      <c r="G43" s="1786"/>
      <c r="H43" s="1741"/>
      <c r="I43" s="812" t="s">
        <v>1351</v>
      </c>
      <c r="J43" s="813">
        <f ca="1">1-J42</f>
        <v>0.69399999999999995</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-214601</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3327</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39.590000000000003</v>
      </c>
      <c r="M48" s="3005"/>
      <c r="O48" s="2090" t="s">
        <v>1733</v>
      </c>
      <c r="P48" s="2091" t="s">
        <v>1759</v>
      </c>
      <c r="Q48" s="2092">
        <f ca="1">C40+J29</f>
        <v>204024</v>
      </c>
      <c r="R48" s="2091" t="s">
        <v>1734</v>
      </c>
    </row>
    <row r="49" spans="1:18" s="1783" customFormat="1" ht="18" customHeight="1" thickBot="1">
      <c r="A49" s="752"/>
      <c r="B49" s="753"/>
      <c r="C49" s="754"/>
      <c r="D49" s="755"/>
      <c r="E49" s="750" t="s">
        <v>1268</v>
      </c>
      <c r="F49" s="751">
        <f ca="1">F7</f>
        <v>91080.39</v>
      </c>
      <c r="G49" s="1813"/>
      <c r="H49" s="1816"/>
      <c r="I49" s="2554" t="s">
        <v>1700</v>
      </c>
      <c r="J49" s="2075">
        <v>2024</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62477</v>
      </c>
      <c r="R50" s="2091" t="s">
        <v>1734</v>
      </c>
    </row>
    <row r="51" spans="1:18" s="1783" customFormat="1" ht="18" customHeight="1" thickBot="1">
      <c r="A51" s="752"/>
      <c r="B51" s="753"/>
      <c r="C51" s="754"/>
      <c r="D51" s="755"/>
      <c r="E51" s="750" t="s">
        <v>588</v>
      </c>
      <c r="F51" s="2065"/>
      <c r="H51" s="1816"/>
      <c r="I51" s="2558" t="s">
        <v>1702</v>
      </c>
      <c r="J51" s="2562">
        <f>IF(J49="",J50,J49+J50-YEAR('数据-取费表'!B2))</f>
        <v>61</v>
      </c>
      <c r="K51" s="2554" t="s">
        <v>1708</v>
      </c>
      <c r="L51" s="2568">
        <f ca="1">ROUND(-PV(INDIRECT("'数据-取费表'!h"&amp;$G$1),J51,(C39-C13*J36),0),0)</f>
        <v>118256</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2232</v>
      </c>
      <c r="E52" s="2145" t="s">
        <v>1808</v>
      </c>
      <c r="F52" s="2229"/>
      <c r="I52" s="2559" t="s">
        <v>1775</v>
      </c>
      <c r="J52" s="2077">
        <v>0.09</v>
      </c>
      <c r="K52" s="2559" t="s">
        <v>1774</v>
      </c>
      <c r="L52" s="2077"/>
      <c r="M52" s="3005"/>
      <c r="O52" s="2093" t="s">
        <v>1740</v>
      </c>
      <c r="P52" s="2091" t="s">
        <v>1741</v>
      </c>
      <c r="Q52" s="2094">
        <f>J52</f>
        <v>0.09</v>
      </c>
      <c r="R52" s="2095"/>
    </row>
    <row r="53" spans="1:18" s="1783" customFormat="1" ht="39.75" customHeight="1" thickBot="1">
      <c r="A53" s="752"/>
      <c r="B53" s="2142" t="s">
        <v>1856</v>
      </c>
      <c r="C53" s="2146"/>
      <c r="D53" s="2148"/>
      <c r="E53" s="2145"/>
      <c r="F53" s="766"/>
      <c r="I53" s="2560" t="s">
        <v>2235</v>
      </c>
      <c r="J53" s="2611">
        <f ca="1">IF(M47="住宅",IF(D1="——",MAX(J51,L48),MAX(J51,L48-'数据-取费表'!B20)),IF(D1="——",MIN(J51,L48),MIN(J51,L48-'数据-取费表'!B20)))</f>
        <v>36.590000000000003</v>
      </c>
      <c r="K53" s="3962" t="s">
        <v>2225</v>
      </c>
      <c r="L53" s="3963"/>
      <c r="M53" s="3005"/>
      <c r="O53" s="2093" t="s">
        <v>1742</v>
      </c>
      <c r="P53" s="2091" t="s">
        <v>1743</v>
      </c>
      <c r="Q53" s="2092">
        <f ca="1">J53</f>
        <v>36.590000000000003</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204024</v>
      </c>
      <c r="R54" s="2095" t="s">
        <v>1746</v>
      </c>
    </row>
    <row r="55" spans="1:18" s="1783" customFormat="1" ht="18" customHeight="1" thickTop="1" thickBot="1">
      <c r="A55" s="763">
        <v>2</v>
      </c>
      <c r="B55" s="764" t="s">
        <v>592</v>
      </c>
      <c r="C55" s="765">
        <f ca="1">C13</f>
        <v>62477</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62477</v>
      </c>
      <c r="D56" s="2245"/>
      <c r="E56" s="750"/>
      <c r="F56" s="775"/>
      <c r="I56" s="2573" t="s">
        <v>1711</v>
      </c>
      <c r="J56" s="2583" t="s">
        <v>3312</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720</v>
      </c>
      <c r="D57" s="24" t="s">
        <v>1279</v>
      </c>
      <c r="E57" s="2246"/>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204024</v>
      </c>
      <c r="R57" s="2091" t="s">
        <v>1734</v>
      </c>
    </row>
    <row r="58" spans="1:18" s="1783" customFormat="1" ht="28.5" customHeight="1" thickBot="1">
      <c r="A58" s="1454" t="s">
        <v>1353</v>
      </c>
      <c r="B58" s="750" t="s">
        <v>604</v>
      </c>
      <c r="C58" s="2762">
        <f ca="1">ROUND(IF(AND(项目基本情况!B11="自然人",项目基本情况!B10="北京市"),C48*F58/(1+'数据-取费表'!C42),C59+C60+C61),2)</f>
        <v>1.1299999999999999</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1.1299999999999999</v>
      </c>
      <c r="D61" s="779" t="s">
        <v>616</v>
      </c>
      <c r="E61" s="750" t="s">
        <v>617</v>
      </c>
      <c r="F61" s="608">
        <f t="shared" si="0"/>
        <v>1.5</v>
      </c>
      <c r="K61" s="1809"/>
      <c r="O61" s="2093" t="s">
        <v>1740</v>
      </c>
      <c r="P61" s="2091" t="s">
        <v>1748</v>
      </c>
      <c r="Q61" s="2092" t="e">
        <f ca="1">L58</f>
        <v>#DIV/0!</v>
      </c>
      <c r="R61" s="2095" t="s">
        <v>1749</v>
      </c>
    </row>
    <row r="62" spans="1:18" s="1783" customFormat="1" ht="16.2" thickBot="1">
      <c r="A62" s="780"/>
      <c r="B62" s="759"/>
      <c r="C62" s="67"/>
      <c r="D62" s="781"/>
      <c r="E62" s="750" t="s">
        <v>621</v>
      </c>
      <c r="F62" s="751">
        <f t="shared" ca="1" si="0"/>
        <v>7528.49</v>
      </c>
      <c r="I62" s="2579" t="s">
        <v>1721</v>
      </c>
      <c r="J62" s="2580" t="s">
        <v>1722</v>
      </c>
      <c r="K62" s="2580" t="s">
        <v>1723</v>
      </c>
      <c r="L62" s="2580" t="s">
        <v>1704</v>
      </c>
      <c r="M62" s="2581" t="s">
        <v>2204</v>
      </c>
      <c r="O62" s="2093" t="s">
        <v>1742</v>
      </c>
      <c r="P62" s="2091" t="str">
        <f>K59</f>
        <v>建设期及建筑物耐用年限下的土地年期修正系数Kn</v>
      </c>
      <c r="Q62" s="2092" t="e">
        <f ca="1">L59</f>
        <v>#DIV/0!</v>
      </c>
      <c r="R62" s="2095" t="s">
        <v>1751</v>
      </c>
    </row>
    <row r="63" spans="1:18" s="1783" customFormat="1" ht="16.2" thickBot="1">
      <c r="A63" s="1454" t="s">
        <v>1414</v>
      </c>
      <c r="B63" s="750" t="s">
        <v>623</v>
      </c>
      <c r="C63" s="51">
        <f ca="1">ROUND(C56*F63,2)</f>
        <v>624.77</v>
      </c>
      <c r="D63" s="2245" t="s">
        <v>1332</v>
      </c>
      <c r="E63" s="750" t="s">
        <v>1276</v>
      </c>
      <c r="F63" s="782">
        <f t="shared" ca="1" si="0"/>
        <v>0.01</v>
      </c>
      <c r="I63" s="2579" t="s">
        <v>1724</v>
      </c>
      <c r="J63" s="2580">
        <v>70</v>
      </c>
      <c r="K63" s="2580">
        <v>50</v>
      </c>
      <c r="L63" s="2580">
        <v>80</v>
      </c>
      <c r="M63" s="2582">
        <v>0.02</v>
      </c>
      <c r="O63" s="2090" t="s">
        <v>1745</v>
      </c>
      <c r="P63" s="2091" t="s">
        <v>1762</v>
      </c>
      <c r="Q63" s="2092">
        <f ca="1">Q57+Q58</f>
        <v>204024</v>
      </c>
      <c r="R63" s="2095" t="s">
        <v>1746</v>
      </c>
    </row>
    <row r="64" spans="1:18" s="1783" customFormat="1" ht="16.2" thickBot="1">
      <c r="A64" s="1454" t="s">
        <v>1415</v>
      </c>
      <c r="B64" s="750" t="s">
        <v>626</v>
      </c>
      <c r="C64" s="51">
        <f ca="1">ROUND(C55*F64,2)</f>
        <v>93.72</v>
      </c>
      <c r="D64" s="2245"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6.2" thickBot="1">
      <c r="A65" s="1454" t="s">
        <v>1416</v>
      </c>
      <c r="B65" s="750" t="s">
        <v>613</v>
      </c>
      <c r="C65" s="51">
        <f ca="1">ROUND(C47*F65,2)</f>
        <v>0</v>
      </c>
      <c r="D65" s="2245" t="s">
        <v>630</v>
      </c>
      <c r="E65" s="750" t="s">
        <v>1276</v>
      </c>
      <c r="F65" s="760">
        <f t="shared" ca="1" si="0"/>
        <v>1.4999999999999999E-2</v>
      </c>
      <c r="I65" s="2579" t="s">
        <v>1726</v>
      </c>
      <c r="J65" s="2580">
        <v>40</v>
      </c>
      <c r="K65" s="2580">
        <v>30</v>
      </c>
      <c r="L65" s="2580">
        <v>50</v>
      </c>
      <c r="M65" s="2582">
        <v>0.02</v>
      </c>
      <c r="O65" s="2087" t="s">
        <v>1729</v>
      </c>
      <c r="P65" s="2088" t="s">
        <v>1730</v>
      </c>
      <c r="Q65" s="2089" t="s">
        <v>1731</v>
      </c>
      <c r="R65" s="2088" t="s">
        <v>1732</v>
      </c>
    </row>
    <row r="66" spans="1:18" s="1783" customFormat="1" ht="24.6" thickBot="1">
      <c r="A66" s="763" t="s">
        <v>1305</v>
      </c>
      <c r="B66" s="2485" t="s">
        <v>2099</v>
      </c>
      <c r="C66" s="765">
        <f ca="1">C47-C57</f>
        <v>-720</v>
      </c>
      <c r="D66" s="2244" t="s">
        <v>647</v>
      </c>
      <c r="E66" s="2243"/>
      <c r="F66" s="785"/>
      <c r="K66" s="1809"/>
      <c r="O66" s="2090" t="s">
        <v>1733</v>
      </c>
      <c r="P66" s="2091" t="s">
        <v>1763</v>
      </c>
      <c r="Q66" s="2092">
        <f ca="1">C40+J29</f>
        <v>204024</v>
      </c>
      <c r="R66" s="2091" t="s">
        <v>1734</v>
      </c>
    </row>
    <row r="67" spans="1:18" s="1783" customFormat="1" ht="19.2" thickBot="1">
      <c r="A67" s="747" t="s">
        <v>1309</v>
      </c>
      <c r="B67" s="1951" t="s">
        <v>1658</v>
      </c>
      <c r="C67" s="749">
        <f ca="1">ROUND(C66*(1-((1+F69)/(1+F67))^F68)/(F67-F69),0)</f>
        <v>-10577</v>
      </c>
      <c r="D67" s="779" t="s">
        <v>651</v>
      </c>
      <c r="E67" s="750" t="s">
        <v>652</v>
      </c>
      <c r="F67" s="760">
        <f ca="1">F40</f>
        <v>0.06</v>
      </c>
      <c r="K67" s="1809"/>
      <c r="O67" s="2090" t="s">
        <v>1735</v>
      </c>
      <c r="P67" s="2091" t="s">
        <v>1766</v>
      </c>
      <c r="Q67" s="2092">
        <f ca="1">L60</f>
        <v>0</v>
      </c>
      <c r="R67" s="2095" t="s">
        <v>1768</v>
      </c>
    </row>
    <row r="68" spans="1:18" ht="20.399999999999999" thickBot="1">
      <c r="A68" s="752"/>
      <c r="B68" s="753"/>
      <c r="C68" s="754"/>
      <c r="D68" s="786" t="s">
        <v>1337</v>
      </c>
      <c r="E68" s="750" t="s">
        <v>1313</v>
      </c>
      <c r="F68" s="787">
        <f ca="1">F41</f>
        <v>36.590000000000003</v>
      </c>
      <c r="O68" s="2093" t="s">
        <v>1737</v>
      </c>
      <c r="P68" s="2091" t="s">
        <v>1767</v>
      </c>
      <c r="Q68" s="2097">
        <f ca="1">L51</f>
        <v>118256</v>
      </c>
      <c r="R68" s="2098" t="s">
        <v>1770</v>
      </c>
    </row>
    <row r="69" spans="1:18" ht="19.2" thickBot="1">
      <c r="A69" s="756"/>
      <c r="B69" s="757"/>
      <c r="C69" s="758"/>
      <c r="D69" s="781"/>
      <c r="E69" s="750" t="s">
        <v>657</v>
      </c>
      <c r="F69" s="2065"/>
      <c r="O69" s="2093" t="s">
        <v>1738</v>
      </c>
      <c r="P69" s="2099" t="s">
        <v>1752</v>
      </c>
      <c r="Q69" s="2092">
        <f ca="1">ROUND(Q70-Q71*Q72,0)</f>
        <v>6230</v>
      </c>
      <c r="R69" s="2095"/>
    </row>
    <row r="70" spans="1:18" ht="16.2" thickBot="1">
      <c r="A70" s="788" t="s">
        <v>1316</v>
      </c>
      <c r="B70" s="789" t="s">
        <v>1339</v>
      </c>
      <c r="C70" s="790">
        <f ca="1">ROUND(C67*10000/F70,0)</f>
        <v>-1161</v>
      </c>
      <c r="D70" s="791" t="s">
        <v>1340</v>
      </c>
      <c r="E70" s="792" t="s">
        <v>1341</v>
      </c>
      <c r="F70" s="793">
        <f ca="1">F43</f>
        <v>91080.39</v>
      </c>
      <c r="O70" s="2093" t="s">
        <v>1753</v>
      </c>
      <c r="P70" s="2099" t="s">
        <v>1754</v>
      </c>
      <c r="Q70" s="2092">
        <f ca="1">C39</f>
        <v>11541</v>
      </c>
      <c r="R70" s="2091" t="s">
        <v>1734</v>
      </c>
    </row>
    <row r="71" spans="1:18" ht="16.2" thickBot="1">
      <c r="O71" s="2093" t="s">
        <v>1755</v>
      </c>
      <c r="P71" s="2099" t="s">
        <v>1756</v>
      </c>
      <c r="Q71" s="2092">
        <f ca="1">C13</f>
        <v>62477</v>
      </c>
      <c r="R71" s="2091" t="s">
        <v>1734</v>
      </c>
    </row>
    <row r="72" spans="1:18" ht="16.2" thickBot="1">
      <c r="O72" s="2093" t="s">
        <v>1757</v>
      </c>
      <c r="P72" s="2099" t="s">
        <v>1758</v>
      </c>
      <c r="Q72" s="2094">
        <f ca="1">J36</f>
        <v>8.5000000000000006E-2</v>
      </c>
      <c r="R72" s="2095"/>
    </row>
    <row r="73" spans="1:18" ht="16.2" thickBot="1">
      <c r="O73" s="2093" t="s">
        <v>1740</v>
      </c>
      <c r="P73" s="2091" t="s">
        <v>1747</v>
      </c>
      <c r="Q73" s="2094">
        <f>L52</f>
        <v>0</v>
      </c>
      <c r="R73" s="2095"/>
    </row>
    <row r="74" spans="1:18" ht="19.2" thickBot="1">
      <c r="O74" s="2093" t="s">
        <v>1742</v>
      </c>
      <c r="P74" s="2091" t="s">
        <v>1748</v>
      </c>
      <c r="Q74" s="2092" t="e">
        <f ca="1">L58</f>
        <v>#DIV/0!</v>
      </c>
      <c r="R74" s="2095" t="s">
        <v>1749</v>
      </c>
    </row>
    <row r="75" spans="1:18" ht="16.2" thickBot="1">
      <c r="O75" s="2093" t="s">
        <v>1771</v>
      </c>
      <c r="P75" s="2091" t="str">
        <f>K59</f>
        <v>建设期及建筑物耐用年限下的土地年期修正系数Kn</v>
      </c>
      <c r="Q75" s="2092" t="e">
        <f ca="1">L59</f>
        <v>#DIV/0!</v>
      </c>
      <c r="R75" s="2095" t="s">
        <v>1751</v>
      </c>
    </row>
    <row r="76" spans="1:18" ht="16.2" thickBot="1">
      <c r="O76" s="2090" t="s">
        <v>1745</v>
      </c>
      <c r="P76" s="2091" t="s">
        <v>1762</v>
      </c>
      <c r="Q76" s="2092">
        <f ca="1">Q66+Q67</f>
        <v>204024</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D46" sqref="D46"/>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2740</v>
      </c>
      <c r="D1" s="2553" t="s">
        <v>3325</v>
      </c>
      <c r="E1" s="2079" t="s">
        <v>1728</v>
      </c>
      <c r="F1" s="2080">
        <f ca="1">J53</f>
        <v>26.58</v>
      </c>
      <c r="G1" s="3001">
        <f>MATCH(C1,'数据-取费表'!A6:A16,0)+5</f>
        <v>7</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427</v>
      </c>
      <c r="B2" s="741">
        <f ca="1">C40+J29+L46</f>
        <v>37414</v>
      </c>
      <c r="C2" s="3006"/>
      <c r="D2" s="3007"/>
      <c r="E2" s="3008"/>
      <c r="F2" s="3008"/>
      <c r="G2" s="3002"/>
      <c r="H2" s="1781"/>
      <c r="I2" s="1781"/>
      <c r="J2" s="1781"/>
      <c r="K2" s="1782"/>
      <c r="L2" s="1781"/>
      <c r="M2" s="1781"/>
    </row>
    <row r="3" spans="1:33" ht="18" customHeight="1" thickBot="1">
      <c r="A3" s="798" t="s">
        <v>1256</v>
      </c>
      <c r="B3" s="799">
        <f ca="1">IF(ISERROR(B2*10000/F43),0,ROUND(B2*10000/F43,0))</f>
        <v>21117</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3321</v>
      </c>
      <c r="D5" s="2143" t="s">
        <v>1805</v>
      </c>
      <c r="E5" s="2137"/>
      <c r="F5" s="2138"/>
      <c r="G5" s="1786"/>
      <c r="H5" s="747">
        <v>1</v>
      </c>
      <c r="I5" s="748" t="s">
        <v>1802</v>
      </c>
      <c r="J5" s="53">
        <f ca="1">J6+J10+J12</f>
        <v>0</v>
      </c>
      <c r="K5" s="2143" t="s">
        <v>1805</v>
      </c>
      <c r="L5" s="2137"/>
      <c r="M5" s="2138"/>
    </row>
    <row r="6" spans="1:33" ht="18" customHeight="1">
      <c r="A6" s="1617" t="s">
        <v>1353</v>
      </c>
      <c r="B6" s="3956" t="s">
        <v>1807</v>
      </c>
      <c r="C6" s="749">
        <f ca="1">ROUND(F6*F8*F7*(1-F9)/10000,0)</f>
        <v>3317</v>
      </c>
      <c r="D6" s="2144" t="s">
        <v>1806</v>
      </c>
      <c r="E6" s="750" t="s">
        <v>1267</v>
      </c>
      <c r="F6" s="751">
        <f ca="1">INDIRECT("'数据-取费表'!u"&amp;$G$1)</f>
        <v>5.7</v>
      </c>
      <c r="G6" s="1786"/>
      <c r="H6" s="2151" t="s">
        <v>1812</v>
      </c>
      <c r="I6" s="3956" t="s">
        <v>1807</v>
      </c>
      <c r="J6" s="749">
        <f ca="1">ROUND(M6*M8*M7*(1-M9)/10000,0)</f>
        <v>0</v>
      </c>
      <c r="K6" s="332" t="s">
        <v>1266</v>
      </c>
      <c r="L6" s="750" t="s">
        <v>1267</v>
      </c>
      <c r="M6" s="751">
        <f ca="1">INDIRECT("'数据-取费表'!z"&amp;$G$1)</f>
        <v>0</v>
      </c>
    </row>
    <row r="7" spans="1:33" ht="18" customHeight="1">
      <c r="A7" s="2147"/>
      <c r="B7" s="3957"/>
      <c r="C7" s="754"/>
      <c r="D7" s="755"/>
      <c r="E7" s="750" t="s">
        <v>1268</v>
      </c>
      <c r="F7" s="751">
        <f ca="1">IF(INDIRECT("'数据-取费表'!ah"&amp;$G$1)="",INDIRECT("'数据-取费表'!k"&amp;$G$1),INDIRECT("'数据-取费表'!ah"&amp;$G$1))</f>
        <v>17717.169999999998</v>
      </c>
      <c r="G7" s="1786"/>
      <c r="H7" s="2136"/>
      <c r="I7" s="3957"/>
      <c r="J7" s="754"/>
      <c r="K7" s="755"/>
      <c r="L7" s="750" t="s">
        <v>1268</v>
      </c>
      <c r="M7" s="751">
        <f ca="1">F7</f>
        <v>17717.169999999998</v>
      </c>
    </row>
    <row r="8" spans="1:33" ht="18" customHeight="1">
      <c r="A8" s="2140"/>
      <c r="B8" s="3958"/>
      <c r="C8" s="754"/>
      <c r="D8" s="755"/>
      <c r="E8" s="750" t="s">
        <v>1269</v>
      </c>
      <c r="F8" s="751">
        <f ca="1">INDIRECT("'数据-取费表'!ai"&amp;$G$1)</f>
        <v>365</v>
      </c>
      <c r="G8" s="1786"/>
      <c r="H8" s="2136"/>
      <c r="I8" s="3958"/>
      <c r="J8" s="754"/>
      <c r="K8" s="755"/>
      <c r="L8" s="750" t="s">
        <v>1269</v>
      </c>
      <c r="M8" s="751">
        <f ca="1">INDIRECT("'数据-取费表'!ai"&amp;$G$1)</f>
        <v>365</v>
      </c>
    </row>
    <row r="9" spans="1:33" ht="18" customHeight="1">
      <c r="A9" s="752"/>
      <c r="B9" s="3959"/>
      <c r="C9" s="754"/>
      <c r="D9" s="755"/>
      <c r="E9" s="750" t="s">
        <v>1270</v>
      </c>
      <c r="F9" s="760">
        <f ca="1">INDIRECT("'数据-取费表'!w"&amp;$G$1)</f>
        <v>0.1</v>
      </c>
      <c r="G9" s="1786"/>
      <c r="H9" s="2152"/>
      <c r="I9" s="3958"/>
      <c r="J9" s="754"/>
      <c r="K9" s="755"/>
      <c r="L9" s="761" t="s">
        <v>1270</v>
      </c>
      <c r="M9" s="762">
        <f ca="1">INDIRECT("'数据-取费表'!ab"&amp;$G$1)</f>
        <v>0</v>
      </c>
    </row>
    <row r="10" spans="1:33" ht="18" customHeight="1">
      <c r="A10" s="1617" t="s">
        <v>1810</v>
      </c>
      <c r="B10" s="2141" t="s">
        <v>1803</v>
      </c>
      <c r="C10" s="765">
        <f ca="1">ROUND(IF(F10="押一",C6/12*F11,IF(F10="押二",C6/12*2*F11,IF(F10="押三",C6/12*3*F11,C11*F11))),0)</f>
        <v>4</v>
      </c>
      <c r="D10" s="2148" t="s">
        <v>2231</v>
      </c>
      <c r="E10" s="2145" t="s">
        <v>1808</v>
      </c>
      <c r="F10" s="2229" t="s">
        <v>3326</v>
      </c>
      <c r="G10" s="1786"/>
      <c r="H10" s="2179" t="s">
        <v>1813</v>
      </c>
      <c r="I10" s="2184" t="s">
        <v>1803</v>
      </c>
      <c r="J10" s="749">
        <f ca="1">ROUND(IF(M10="押一",J6/12*M11,IF(M10="押二",J6/12*2*M11,IF(M10="押三",J6/12*3*M11,J11*M11))),0)</f>
        <v>0</v>
      </c>
      <c r="K10" s="2148" t="s">
        <v>2231</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10914</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7429</v>
      </c>
      <c r="D14" s="3665" t="s">
        <v>1274</v>
      </c>
      <c r="E14" s="3664"/>
      <c r="F14" s="771"/>
      <c r="G14" s="1786"/>
      <c r="H14" s="1454" t="s">
        <v>1359</v>
      </c>
      <c r="I14" s="1950" t="s">
        <v>2102</v>
      </c>
      <c r="J14" s="51">
        <f ca="1">C29</f>
        <v>10914</v>
      </c>
      <c r="K14" s="24"/>
      <c r="L14" s="767"/>
      <c r="M14" s="768"/>
    </row>
    <row r="15" spans="1:33" s="1788" customFormat="1" ht="18" customHeight="1" thickBot="1">
      <c r="A15" s="1453" t="s">
        <v>1410</v>
      </c>
      <c r="B15" s="750" t="s">
        <v>595</v>
      </c>
      <c r="C15" s="51">
        <f ca="1">ROUND(C14*F15,0)</f>
        <v>223</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109</v>
      </c>
      <c r="K16" s="1608" t="s">
        <v>1279</v>
      </c>
      <c r="L16" s="3667"/>
      <c r="M16" s="2138"/>
    </row>
    <row r="17" spans="1:33" s="1788" customFormat="1" ht="18" customHeight="1">
      <c r="A17" s="1453" t="s">
        <v>1412</v>
      </c>
      <c r="B17" s="750" t="s">
        <v>601</v>
      </c>
      <c r="C17" s="51">
        <f ca="1">ROUND(F17*(F43+INDIRECT("'数据-取费表'!S"&amp;$G$1))/10000,0)</f>
        <v>382</v>
      </c>
      <c r="D17" s="750" t="s">
        <v>1280</v>
      </c>
      <c r="E17" s="750" t="s">
        <v>1281</v>
      </c>
      <c r="F17" s="54">
        <f>'数据-取费表'!B35</f>
        <v>200</v>
      </c>
      <c r="G17" s="3003"/>
      <c r="H17" s="1454" t="s">
        <v>1359</v>
      </c>
      <c r="I17" s="750" t="s">
        <v>604</v>
      </c>
      <c r="J17" s="2762">
        <f ca="1">ROUND(IF(AND(项目基本情况!B11="自然人",项目基本情况!B10="北京市"),J6*M17/(1+'数据-取费表'!C42),J18+J19+J20),2)</f>
        <v>0.22</v>
      </c>
      <c r="K17" s="3665" t="s">
        <v>1282</v>
      </c>
      <c r="L17" s="3666"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111</v>
      </c>
      <c r="D18" s="750" t="s">
        <v>1275</v>
      </c>
      <c r="E18" s="750" t="s">
        <v>1276</v>
      </c>
      <c r="F18" s="775">
        <f>'数据-取费表'!B36</f>
        <v>1.4999999999999999E-2</v>
      </c>
      <c r="G18" s="3003"/>
      <c r="H18" s="1453" t="s">
        <v>1409</v>
      </c>
      <c r="I18" s="750" t="s">
        <v>1284</v>
      </c>
      <c r="J18" s="51">
        <f ca="1">ROUND(J6*M18/(1+'数据-取费表'!C42),2)</f>
        <v>0</v>
      </c>
      <c r="K18" s="3666"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8145</v>
      </c>
      <c r="D19" s="252" t="s">
        <v>1286</v>
      </c>
      <c r="E19" s="3668"/>
      <c r="F19" s="54"/>
      <c r="G19" s="1786"/>
      <c r="H19" s="1453"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8" customFormat="1" ht="18" customHeight="1">
      <c r="A20" s="1454" t="s">
        <v>1414</v>
      </c>
      <c r="B20" s="750" t="s">
        <v>613</v>
      </c>
      <c r="C20" s="51">
        <f ca="1">ROUND(C19*F20,0)</f>
        <v>163</v>
      </c>
      <c r="D20" s="777" t="s">
        <v>1288</v>
      </c>
      <c r="E20" s="750" t="s">
        <v>1276</v>
      </c>
      <c r="F20" s="775">
        <f>'数据-取费表'!B37</f>
        <v>0.02</v>
      </c>
      <c r="G20" s="3003"/>
      <c r="H20" s="1456" t="s">
        <v>1405</v>
      </c>
      <c r="I20" s="332" t="s">
        <v>1289</v>
      </c>
      <c r="J20" s="52">
        <f ca="1">ROUND(M20*M21/10000,2)</f>
        <v>0.22</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1464.46</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3668"/>
      <c r="F22" s="54"/>
      <c r="G22" s="1786"/>
      <c r="H22" s="1454" t="s">
        <v>1414</v>
      </c>
      <c r="I22" s="750" t="s">
        <v>1297</v>
      </c>
      <c r="J22" s="51">
        <f ca="1">ROUND(J14*M22,2)</f>
        <v>109.14</v>
      </c>
      <c r="K22" s="3666" t="s">
        <v>1298</v>
      </c>
      <c r="L22" s="750" t="s">
        <v>1276</v>
      </c>
      <c r="M22" s="782">
        <f ca="1">INDIRECT("'数据-取费表'!Ak"&amp;$G$1)</f>
        <v>0.01</v>
      </c>
    </row>
    <row r="23" spans="1:33" s="1788" customFormat="1" ht="18" customHeight="1">
      <c r="A23" s="1453" t="s">
        <v>1360</v>
      </c>
      <c r="B23" s="750" t="s">
        <v>1818</v>
      </c>
      <c r="C23" s="51">
        <f ca="1">ROUND(IF('数据-取费表'!B22&lt;=1,(C19+C20)*F24*F23/2,(C19+C20)*(POWER((1+F24),F23/2)-1)),0)</f>
        <v>523</v>
      </c>
      <c r="D23" s="2187" t="str">
        <f>IF(F23&lt;=1,"(建造成本+管理费用)×利率×(建设周期÷2)","(建造成本+管理费用)×((1+利率)^(建设周期÷2)-1)")</f>
        <v>(建造成本+管理费用)×((1+利率)^(建设周期÷2)-1)</v>
      </c>
      <c r="E23" s="750" t="s">
        <v>1299</v>
      </c>
      <c r="F23" s="608">
        <f>'数据-取费表'!B20</f>
        <v>3</v>
      </c>
      <c r="G23" s="3003"/>
      <c r="H23" s="1454" t="s">
        <v>1415</v>
      </c>
      <c r="I23" s="750" t="s">
        <v>626</v>
      </c>
      <c r="J23" s="51">
        <f ca="1">ROUND(J13*M23,2)</f>
        <v>0</v>
      </c>
      <c r="K23" s="3666"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1.2999999999999999E-3</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1.4999999999999999E-2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3668"/>
      <c r="F25" s="54"/>
      <c r="G25" s="1786"/>
      <c r="H25" s="1616" t="s">
        <v>1305</v>
      </c>
      <c r="I25" s="2484" t="s">
        <v>2099</v>
      </c>
      <c r="J25" s="758">
        <f ca="1">J5-J16</f>
        <v>-109</v>
      </c>
      <c r="K25" s="2166" t="s">
        <v>1306</v>
      </c>
      <c r="L25" s="2167"/>
      <c r="M25" s="2168"/>
    </row>
    <row r="26" spans="1:33" ht="18" customHeight="1">
      <c r="A26" s="1453" t="s">
        <v>1360</v>
      </c>
      <c r="B26" s="750" t="s">
        <v>1785</v>
      </c>
      <c r="C26" s="51">
        <f ca="1">ROUND((C19+C20)*F26,0)</f>
        <v>1246</v>
      </c>
      <c r="D26" s="777" t="s">
        <v>1307</v>
      </c>
      <c r="E26" s="761" t="s">
        <v>1308</v>
      </c>
      <c r="F26" s="760">
        <f ca="1">INDIRECT("'数据-取费表'!q"&amp;$G$1)</f>
        <v>0.15</v>
      </c>
      <c r="G26" s="1786"/>
      <c r="H26" s="2149" t="s">
        <v>1309</v>
      </c>
      <c r="I26" s="1951" t="s">
        <v>2104</v>
      </c>
      <c r="J26" s="749">
        <f ca="1">IF(J5&lt;&gt;0,ROUND(J25*(1-((1+M28)/(1+M26))^M27)/(M26-M28),0),0)</f>
        <v>0</v>
      </c>
      <c r="K26" s="779" t="s">
        <v>1310</v>
      </c>
      <c r="L26" s="750" t="s">
        <v>1773</v>
      </c>
      <c r="M26" s="760">
        <f ca="1">INDIRECT("'数据-取费表'!I"&amp;$G$1)</f>
        <v>6.5000000000000002E-2</v>
      </c>
    </row>
    <row r="27" spans="1:33" ht="18" customHeight="1">
      <c r="A27" s="1453" t="s">
        <v>1361</v>
      </c>
      <c r="B27" s="750" t="s">
        <v>633</v>
      </c>
      <c r="C27" s="51">
        <f ca="1">ROUND(F21*F26,4)</f>
        <v>3.0000000000000001E-3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10914</v>
      </c>
      <c r="D29" s="2163"/>
      <c r="E29" s="2164"/>
      <c r="F29" s="2165"/>
      <c r="G29" s="3003"/>
      <c r="H29" s="788" t="s">
        <v>1316</v>
      </c>
      <c r="I29" s="789" t="s">
        <v>1317</v>
      </c>
      <c r="J29" s="790">
        <f ca="1">ROUND(J26/(1+F40)^F41,0)</f>
        <v>0</v>
      </c>
      <c r="K29" s="791" t="s">
        <v>1318</v>
      </c>
      <c r="L29" s="792"/>
      <c r="M29" s="793">
        <f ca="1">INDIRECT("'数据-取费表'!k"&amp;$G$1)</f>
        <v>17717.169999999998</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728</v>
      </c>
      <c r="D30" s="1608" t="s">
        <v>1320</v>
      </c>
      <c r="E30" s="3667"/>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553.05999999999995</v>
      </c>
      <c r="D31" s="3665" t="s">
        <v>1321</v>
      </c>
      <c r="E31" s="3666" t="s">
        <v>1322</v>
      </c>
      <c r="F31" s="2761" t="str">
        <f>IF(项目基本情况!B11="企业","——",IF(M47="住宅",IF(F6*F7*F8/12/(1+'数据-取费表'!F30)&gt;100000,4%,2.5%),IF(F6*F7*F8/12/(1+'数据-取费表'!F30)&gt;100000,12%,7%)))</f>
        <v>——</v>
      </c>
      <c r="G31" s="1786"/>
      <c r="H31" s="3000" t="s">
        <v>2282</v>
      </c>
      <c r="I31" s="1790"/>
      <c r="J31" s="1791"/>
      <c r="K31" s="1792"/>
      <c r="L31" s="1793"/>
      <c r="M31" s="1794"/>
    </row>
    <row r="32" spans="1:33" ht="18" customHeight="1">
      <c r="A32" s="1453" t="s">
        <v>1360</v>
      </c>
      <c r="B32" s="750" t="s">
        <v>1323</v>
      </c>
      <c r="C32" s="51">
        <f ca="1">ROUND(C6*F32/(1+'数据-取费表'!C42),2)</f>
        <v>173.75</v>
      </c>
      <c r="D32" s="3666"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379.09</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0.22</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1464.46</v>
      </c>
      <c r="G35" s="1786"/>
      <c r="H35" s="1789"/>
      <c r="I35" s="802" t="s">
        <v>1343</v>
      </c>
      <c r="J35" s="803">
        <f ca="1">ROUND(C13*J36,0)</f>
        <v>928</v>
      </c>
      <c r="K35" s="1802"/>
      <c r="L35" s="1801"/>
      <c r="M35" s="1801"/>
    </row>
    <row r="36" spans="1:18" ht="18" customHeight="1">
      <c r="A36" s="1454" t="s">
        <v>1414</v>
      </c>
      <c r="B36" s="750" t="s">
        <v>1331</v>
      </c>
      <c r="C36" s="51">
        <f ca="1">ROUND(C29*F36,2)</f>
        <v>109.14</v>
      </c>
      <c r="D36" s="3666" t="s">
        <v>1332</v>
      </c>
      <c r="E36" s="750" t="s">
        <v>1325</v>
      </c>
      <c r="F36" s="782">
        <f ca="1">INDIRECT("'数据-取费表'!Ak"&amp;$G$1)</f>
        <v>0.01</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16.37</v>
      </c>
      <c r="D37" s="3666"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49.82</v>
      </c>
      <c r="D38" s="2163" t="s">
        <v>1334</v>
      </c>
      <c r="E38" s="2164" t="s">
        <v>1325</v>
      </c>
      <c r="F38" s="2160">
        <f ca="1">INDIRECT("'数据-取费表'!Am"&amp;$G$1)</f>
        <v>1.4999999999999999E-2</v>
      </c>
      <c r="G38" s="1786"/>
      <c r="H38" s="1801"/>
      <c r="I38" s="808" t="s">
        <v>1346</v>
      </c>
      <c r="J38" s="809"/>
      <c r="K38" s="1806"/>
      <c r="L38" s="1801"/>
      <c r="M38" s="1801"/>
    </row>
    <row r="39" spans="1:18" ht="24.6" customHeight="1" thickTop="1">
      <c r="A39" s="1616" t="s">
        <v>1419</v>
      </c>
      <c r="B39" s="2484" t="s">
        <v>2099</v>
      </c>
      <c r="C39" s="758">
        <f ca="1">C5-C30</f>
        <v>2593</v>
      </c>
      <c r="D39" s="2166" t="s">
        <v>1335</v>
      </c>
      <c r="E39" s="2167"/>
      <c r="F39" s="2168"/>
      <c r="G39" s="1786"/>
      <c r="H39" s="1801"/>
      <c r="I39" s="802" t="s">
        <v>1347</v>
      </c>
      <c r="J39" s="810">
        <f ca="1">ROUND(J35/C39,3)</f>
        <v>0.35799999999999998</v>
      </c>
      <c r="K39" s="1806"/>
      <c r="L39" s="1801"/>
      <c r="M39" s="1801"/>
    </row>
    <row r="40" spans="1:18" ht="18" customHeight="1">
      <c r="A40" s="747" t="s">
        <v>1420</v>
      </c>
      <c r="B40" s="1951" t="s">
        <v>1658</v>
      </c>
      <c r="C40" s="749">
        <f ca="1">ROUND(C39*(1-((1+F42)/(1+F40))^F41)/(F40-F42),0)</f>
        <v>37414</v>
      </c>
      <c r="D40" s="779" t="s">
        <v>1336</v>
      </c>
      <c r="E40" s="750" t="s">
        <v>1773</v>
      </c>
      <c r="F40" s="760">
        <f ca="1">INDIRECT("'数据-取费表'!I"&amp;$G$1)</f>
        <v>6.5000000000000002E-2</v>
      </c>
      <c r="G40" s="1786"/>
      <c r="H40" s="1786"/>
      <c r="I40" s="802" t="s">
        <v>1348</v>
      </c>
      <c r="J40" s="810">
        <f ca="1">1-J39</f>
        <v>0.64200000000000002</v>
      </c>
      <c r="K40" s="1806"/>
      <c r="L40" s="1786"/>
      <c r="M40" s="1786"/>
    </row>
    <row r="41" spans="1:18" ht="18" customHeight="1">
      <c r="A41" s="752"/>
      <c r="B41" s="753"/>
      <c r="C41" s="754"/>
      <c r="D41" s="786" t="s">
        <v>1337</v>
      </c>
      <c r="E41" s="750" t="s">
        <v>2223</v>
      </c>
      <c r="F41" s="787">
        <f ca="1">IF(INDIRECT("'数据-取费表'!af"&amp;$G$1)=0,INDIRECT("'数据-取费表'!ae"&amp;$G$1),INDIRECT("'数据-取费表'!af"&amp;$G$1))</f>
        <v>26.58</v>
      </c>
      <c r="G41" s="1786"/>
      <c r="H41" s="1741"/>
      <c r="I41" s="808" t="s">
        <v>1349</v>
      </c>
      <c r="J41" s="811"/>
      <c r="K41" s="1805"/>
      <c r="L41" s="1741"/>
      <c r="M41" s="1741"/>
    </row>
    <row r="42" spans="1:18" ht="18" customHeight="1">
      <c r="A42" s="756"/>
      <c r="B42" s="757"/>
      <c r="C42" s="758"/>
      <c r="D42" s="781"/>
      <c r="E42" s="750" t="s">
        <v>1338</v>
      </c>
      <c r="F42" s="760">
        <f ca="1">INDIRECT("'数据-取费表'!v"&amp;$G$1)</f>
        <v>1.4999999999999999E-2</v>
      </c>
      <c r="G42" s="1786"/>
      <c r="H42" s="1741"/>
      <c r="I42" s="812" t="s">
        <v>1350</v>
      </c>
      <c r="J42" s="810">
        <f ca="1">ROUND(C13/C40,3)</f>
        <v>0.29199999999999998</v>
      </c>
      <c r="K42" s="1805"/>
      <c r="L42" s="1741"/>
      <c r="M42" s="1741"/>
    </row>
    <row r="43" spans="1:18" ht="18" customHeight="1" thickBot="1">
      <c r="A43" s="788" t="s">
        <v>1316</v>
      </c>
      <c r="B43" s="789" t="s">
        <v>1339</v>
      </c>
      <c r="C43" s="790">
        <f ca="1">ROUND(C40*10000/F43,0)</f>
        <v>21117</v>
      </c>
      <c r="D43" s="791" t="s">
        <v>1340</v>
      </c>
      <c r="E43" s="792" t="s">
        <v>1341</v>
      </c>
      <c r="F43" s="793">
        <f ca="1">INDIRECT("'数据-取费表'!k"&amp;$G$1)</f>
        <v>17717.169999999998</v>
      </c>
      <c r="G43" s="1786"/>
      <c r="H43" s="1741"/>
      <c r="I43" s="812" t="s">
        <v>1351</v>
      </c>
      <c r="J43" s="813">
        <f ca="1">1-J42</f>
        <v>0.70799999999999996</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-38989</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3327</v>
      </c>
      <c r="K47" s="2563" t="s">
        <v>1703</v>
      </c>
      <c r="L47" s="2567">
        <f ca="1">INDIRECT("'数据-取费表'!d"&amp;$G$1)</f>
        <v>40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29.58</v>
      </c>
      <c r="M48" s="3005"/>
      <c r="O48" s="2090" t="s">
        <v>1733</v>
      </c>
      <c r="P48" s="2091" t="s">
        <v>1759</v>
      </c>
      <c r="Q48" s="2092">
        <f ca="1">C40+J29</f>
        <v>37414</v>
      </c>
      <c r="R48" s="2091" t="s">
        <v>1734</v>
      </c>
    </row>
    <row r="49" spans="1:18" s="1783" customFormat="1" ht="18" customHeight="1" thickBot="1">
      <c r="A49" s="752"/>
      <c r="B49" s="753"/>
      <c r="C49" s="754"/>
      <c r="D49" s="755"/>
      <c r="E49" s="750" t="s">
        <v>1268</v>
      </c>
      <c r="F49" s="751">
        <f ca="1">F7</f>
        <v>17717.169999999998</v>
      </c>
      <c r="G49" s="1813"/>
      <c r="H49" s="1816"/>
      <c r="I49" s="2554" t="s">
        <v>1700</v>
      </c>
      <c r="J49" s="2075">
        <v>2024</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10914</v>
      </c>
      <c r="R50" s="2091" t="s">
        <v>1734</v>
      </c>
    </row>
    <row r="51" spans="1:18" s="1783" customFormat="1" ht="18" customHeight="1" thickBot="1">
      <c r="A51" s="752"/>
      <c r="B51" s="753"/>
      <c r="C51" s="754"/>
      <c r="D51" s="755"/>
      <c r="E51" s="750" t="s">
        <v>588</v>
      </c>
      <c r="F51" s="2065"/>
      <c r="H51" s="1816"/>
      <c r="I51" s="2558" t="s">
        <v>1702</v>
      </c>
      <c r="J51" s="2562">
        <f>IF(J49="",J50,J49+J50-YEAR('数据-取费表'!B2))</f>
        <v>61</v>
      </c>
      <c r="K51" s="2554" t="s">
        <v>1708</v>
      </c>
      <c r="L51" s="2568">
        <f ca="1">ROUND(-PV(INDIRECT("'数据-取费表'!h"&amp;$G$1),J51,(C39-C13*J36),0),0)</f>
        <v>29123</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2231</v>
      </c>
      <c r="E52" s="2145" t="s">
        <v>1808</v>
      </c>
      <c r="F52" s="2229"/>
      <c r="I52" s="2559" t="s">
        <v>1775</v>
      </c>
      <c r="J52" s="2077">
        <v>0.09</v>
      </c>
      <c r="K52" s="2559" t="s">
        <v>1774</v>
      </c>
      <c r="L52" s="2077"/>
      <c r="M52" s="3005"/>
      <c r="O52" s="2093" t="s">
        <v>1740</v>
      </c>
      <c r="P52" s="2091" t="s">
        <v>1741</v>
      </c>
      <c r="Q52" s="2094">
        <f>J52</f>
        <v>0.09</v>
      </c>
      <c r="R52" s="2095"/>
    </row>
    <row r="53" spans="1:18" s="1783" customFormat="1" ht="39.75" customHeight="1" thickBot="1">
      <c r="A53" s="752"/>
      <c r="B53" s="2142" t="s">
        <v>1856</v>
      </c>
      <c r="C53" s="2146"/>
      <c r="D53" s="2148"/>
      <c r="E53" s="2145"/>
      <c r="F53" s="766"/>
      <c r="I53" s="2560" t="s">
        <v>2235</v>
      </c>
      <c r="J53" s="2611">
        <f ca="1">IF(M47="住宅",IF(D1="——",MAX(J51,L48),MAX(J51,L48-'数据-取费表'!B20)),IF(D1="——",MIN(J51,L48),MIN(J51,L48-'数据-取费表'!B20)))</f>
        <v>26.58</v>
      </c>
      <c r="K53" s="3962" t="s">
        <v>2225</v>
      </c>
      <c r="L53" s="3963"/>
      <c r="M53" s="3005"/>
      <c r="O53" s="2093" t="s">
        <v>1742</v>
      </c>
      <c r="P53" s="2091" t="s">
        <v>1743</v>
      </c>
      <c r="Q53" s="2092">
        <f ca="1">J53</f>
        <v>26.58</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37414</v>
      </c>
      <c r="R54" s="2095" t="s">
        <v>1746</v>
      </c>
    </row>
    <row r="55" spans="1:18" s="1783" customFormat="1" ht="18" customHeight="1" thickTop="1" thickBot="1">
      <c r="A55" s="763">
        <v>2</v>
      </c>
      <c r="B55" s="764" t="s">
        <v>592</v>
      </c>
      <c r="C55" s="765">
        <f ca="1">C13</f>
        <v>10914</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10914</v>
      </c>
      <c r="D56" s="3666"/>
      <c r="E56" s="750"/>
      <c r="F56" s="775"/>
      <c r="I56" s="2573" t="s">
        <v>1711</v>
      </c>
      <c r="J56" s="2583" t="s">
        <v>3312</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126</v>
      </c>
      <c r="D57" s="24" t="s">
        <v>1279</v>
      </c>
      <c r="E57" s="3668"/>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37414</v>
      </c>
      <c r="R57" s="2091" t="s">
        <v>1734</v>
      </c>
    </row>
    <row r="58" spans="1:18" s="1783" customFormat="1" ht="28.5" customHeight="1" thickBot="1">
      <c r="A58" s="1454" t="s">
        <v>1353</v>
      </c>
      <c r="B58" s="750" t="s">
        <v>604</v>
      </c>
      <c r="C58" s="2762">
        <f ca="1">ROUND(IF(AND(项目基本情况!B11="自然人",项目基本情况!B10="北京市"),C48*F58/(1+'数据-取费表'!C42),C59+C60+C61),2)</f>
        <v>0.22</v>
      </c>
      <c r="D58" s="3665" t="s">
        <v>605</v>
      </c>
      <c r="E58" s="3666"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3666"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3666"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0.22</v>
      </c>
      <c r="D61" s="779" t="s">
        <v>616</v>
      </c>
      <c r="E61" s="750" t="s">
        <v>617</v>
      </c>
      <c r="F61" s="608">
        <f t="shared" si="0"/>
        <v>1.5</v>
      </c>
      <c r="K61" s="1809"/>
      <c r="O61" s="2093" t="s">
        <v>1740</v>
      </c>
      <c r="P61" s="2091" t="s">
        <v>1748</v>
      </c>
      <c r="Q61" s="2092" t="e">
        <f ca="1">L58</f>
        <v>#DIV/0!</v>
      </c>
      <c r="R61" s="2095" t="s">
        <v>1749</v>
      </c>
    </row>
    <row r="62" spans="1:18" s="1783" customFormat="1" ht="16.2" thickBot="1">
      <c r="A62" s="780"/>
      <c r="B62" s="759"/>
      <c r="C62" s="67"/>
      <c r="D62" s="781"/>
      <c r="E62" s="750" t="s">
        <v>621</v>
      </c>
      <c r="F62" s="751">
        <f t="shared" ca="1" si="0"/>
        <v>1464.46</v>
      </c>
      <c r="I62" s="2579" t="s">
        <v>1721</v>
      </c>
      <c r="J62" s="2580" t="s">
        <v>1722</v>
      </c>
      <c r="K62" s="2580" t="s">
        <v>1723</v>
      </c>
      <c r="L62" s="2580" t="s">
        <v>1704</v>
      </c>
      <c r="M62" s="2581" t="s">
        <v>2204</v>
      </c>
      <c r="O62" s="2093" t="s">
        <v>1742</v>
      </c>
      <c r="P62" s="2091" t="str">
        <f>K59</f>
        <v>建设期及建筑物耐用年限下的土地年期修正系数Kn</v>
      </c>
      <c r="Q62" s="2092" t="e">
        <f ca="1">L59</f>
        <v>#DIV/0!</v>
      </c>
      <c r="R62" s="2095" t="s">
        <v>1751</v>
      </c>
    </row>
    <row r="63" spans="1:18" s="1783" customFormat="1" ht="16.2" thickBot="1">
      <c r="A63" s="1454" t="s">
        <v>1414</v>
      </c>
      <c r="B63" s="750" t="s">
        <v>623</v>
      </c>
      <c r="C63" s="51">
        <f ca="1">ROUND(C56*F63,2)</f>
        <v>109.14</v>
      </c>
      <c r="D63" s="3666" t="s">
        <v>1332</v>
      </c>
      <c r="E63" s="750" t="s">
        <v>1276</v>
      </c>
      <c r="F63" s="782">
        <f t="shared" ca="1" si="0"/>
        <v>0.01</v>
      </c>
      <c r="I63" s="2579" t="s">
        <v>1724</v>
      </c>
      <c r="J63" s="2580">
        <v>70</v>
      </c>
      <c r="K63" s="2580">
        <v>50</v>
      </c>
      <c r="L63" s="2580">
        <v>80</v>
      </c>
      <c r="M63" s="2582">
        <v>0.02</v>
      </c>
      <c r="O63" s="2090" t="s">
        <v>1745</v>
      </c>
      <c r="P63" s="2091" t="s">
        <v>1762</v>
      </c>
      <c r="Q63" s="2092">
        <f ca="1">Q57+Q58</f>
        <v>37414</v>
      </c>
      <c r="R63" s="2095" t="s">
        <v>1746</v>
      </c>
    </row>
    <row r="64" spans="1:18" s="1783" customFormat="1" ht="16.2" thickBot="1">
      <c r="A64" s="1454" t="s">
        <v>1415</v>
      </c>
      <c r="B64" s="750" t="s">
        <v>626</v>
      </c>
      <c r="C64" s="51">
        <f ca="1">ROUND(C55*F64,2)</f>
        <v>16.37</v>
      </c>
      <c r="D64" s="3666"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6.2" thickBot="1">
      <c r="A65" s="1454" t="s">
        <v>1416</v>
      </c>
      <c r="B65" s="750" t="s">
        <v>613</v>
      </c>
      <c r="C65" s="51">
        <f ca="1">ROUND(C47*F65,2)</f>
        <v>0</v>
      </c>
      <c r="D65" s="3666" t="s">
        <v>630</v>
      </c>
      <c r="E65" s="750" t="s">
        <v>1276</v>
      </c>
      <c r="F65" s="760">
        <f t="shared" ca="1" si="0"/>
        <v>1.4999999999999999E-2</v>
      </c>
      <c r="I65" s="2579" t="s">
        <v>1726</v>
      </c>
      <c r="J65" s="2580">
        <v>40</v>
      </c>
      <c r="K65" s="2580">
        <v>30</v>
      </c>
      <c r="L65" s="2580">
        <v>50</v>
      </c>
      <c r="M65" s="2582">
        <v>0.02</v>
      </c>
      <c r="O65" s="2087" t="s">
        <v>1729</v>
      </c>
      <c r="P65" s="2088" t="s">
        <v>1730</v>
      </c>
      <c r="Q65" s="2089" t="s">
        <v>1731</v>
      </c>
      <c r="R65" s="2088" t="s">
        <v>1732</v>
      </c>
    </row>
    <row r="66" spans="1:18" s="1783" customFormat="1" ht="24.6" thickBot="1">
      <c r="A66" s="763" t="s">
        <v>1305</v>
      </c>
      <c r="B66" s="2485" t="s">
        <v>2099</v>
      </c>
      <c r="C66" s="765">
        <f ca="1">C47-C57</f>
        <v>-126</v>
      </c>
      <c r="D66" s="3665" t="s">
        <v>647</v>
      </c>
      <c r="E66" s="3663"/>
      <c r="F66" s="785"/>
      <c r="K66" s="1809"/>
      <c r="O66" s="2090" t="s">
        <v>1733</v>
      </c>
      <c r="P66" s="2091" t="s">
        <v>1763</v>
      </c>
      <c r="Q66" s="2092">
        <f ca="1">C40+J29</f>
        <v>37414</v>
      </c>
      <c r="R66" s="2091" t="s">
        <v>1734</v>
      </c>
    </row>
    <row r="67" spans="1:18" s="1783" customFormat="1" ht="19.2" thickBot="1">
      <c r="A67" s="747" t="s">
        <v>1309</v>
      </c>
      <c r="B67" s="1951" t="s">
        <v>1658</v>
      </c>
      <c r="C67" s="749">
        <f ca="1">ROUND(C66*(1-((1+F69)/(1+F67))^F68)/(F67-F69),0)</f>
        <v>-1575</v>
      </c>
      <c r="D67" s="779" t="s">
        <v>651</v>
      </c>
      <c r="E67" s="750" t="s">
        <v>652</v>
      </c>
      <c r="F67" s="760">
        <f ca="1">F40</f>
        <v>6.5000000000000002E-2</v>
      </c>
      <c r="K67" s="1809"/>
      <c r="O67" s="2090" t="s">
        <v>1735</v>
      </c>
      <c r="P67" s="2091" t="s">
        <v>1766</v>
      </c>
      <c r="Q67" s="2092">
        <f ca="1">L60</f>
        <v>0</v>
      </c>
      <c r="R67" s="2095" t="s">
        <v>1768</v>
      </c>
    </row>
    <row r="68" spans="1:18" ht="20.399999999999999" thickBot="1">
      <c r="A68" s="752"/>
      <c r="B68" s="753"/>
      <c r="C68" s="754"/>
      <c r="D68" s="786" t="s">
        <v>1337</v>
      </c>
      <c r="E68" s="750" t="s">
        <v>1313</v>
      </c>
      <c r="F68" s="787">
        <f ca="1">F41</f>
        <v>26.58</v>
      </c>
      <c r="O68" s="2093" t="s">
        <v>1737</v>
      </c>
      <c r="P68" s="2091" t="s">
        <v>1767</v>
      </c>
      <c r="Q68" s="2097">
        <f ca="1">L51</f>
        <v>29123</v>
      </c>
      <c r="R68" s="2098" t="s">
        <v>1770</v>
      </c>
    </row>
    <row r="69" spans="1:18" ht="19.2" thickBot="1">
      <c r="A69" s="756"/>
      <c r="B69" s="757"/>
      <c r="C69" s="758"/>
      <c r="D69" s="781"/>
      <c r="E69" s="750" t="s">
        <v>657</v>
      </c>
      <c r="F69" s="2065"/>
      <c r="O69" s="2093" t="s">
        <v>1738</v>
      </c>
      <c r="P69" s="2099" t="s">
        <v>1752</v>
      </c>
      <c r="Q69" s="2092">
        <f ca="1">ROUND(Q70-Q71*Q72,0)</f>
        <v>1665</v>
      </c>
      <c r="R69" s="2095"/>
    </row>
    <row r="70" spans="1:18" ht="16.2" thickBot="1">
      <c r="A70" s="788" t="s">
        <v>1316</v>
      </c>
      <c r="B70" s="789" t="s">
        <v>1339</v>
      </c>
      <c r="C70" s="790">
        <f ca="1">ROUND(C67*10000/F70,0)</f>
        <v>-889</v>
      </c>
      <c r="D70" s="791" t="s">
        <v>1340</v>
      </c>
      <c r="E70" s="792" t="s">
        <v>1341</v>
      </c>
      <c r="F70" s="793">
        <f ca="1">F43</f>
        <v>17717.169999999998</v>
      </c>
      <c r="O70" s="2093" t="s">
        <v>1753</v>
      </c>
      <c r="P70" s="2099" t="s">
        <v>1754</v>
      </c>
      <c r="Q70" s="2092">
        <f ca="1">C39</f>
        <v>2593</v>
      </c>
      <c r="R70" s="2091" t="s">
        <v>1734</v>
      </c>
    </row>
    <row r="71" spans="1:18" ht="16.2" thickBot="1">
      <c r="O71" s="2093" t="s">
        <v>1755</v>
      </c>
      <c r="P71" s="2099" t="s">
        <v>1756</v>
      </c>
      <c r="Q71" s="2092">
        <f ca="1">C13</f>
        <v>10914</v>
      </c>
      <c r="R71" s="2091" t="s">
        <v>1734</v>
      </c>
    </row>
    <row r="72" spans="1:18" ht="16.2" thickBot="1">
      <c r="O72" s="2093" t="s">
        <v>1757</v>
      </c>
      <c r="P72" s="2099" t="s">
        <v>1758</v>
      </c>
      <c r="Q72" s="2094">
        <f ca="1">J36</f>
        <v>8.5000000000000006E-2</v>
      </c>
      <c r="R72" s="2095"/>
    </row>
    <row r="73" spans="1:18" ht="16.2" thickBot="1">
      <c r="O73" s="2093" t="s">
        <v>1740</v>
      </c>
      <c r="P73" s="2091" t="s">
        <v>1747</v>
      </c>
      <c r="Q73" s="2094">
        <f>L52</f>
        <v>0</v>
      </c>
      <c r="R73" s="2095"/>
    </row>
    <row r="74" spans="1:18" ht="19.2" thickBot="1">
      <c r="O74" s="2093" t="s">
        <v>1742</v>
      </c>
      <c r="P74" s="2091" t="s">
        <v>1748</v>
      </c>
      <c r="Q74" s="2092" t="e">
        <f ca="1">L58</f>
        <v>#DIV/0!</v>
      </c>
      <c r="R74" s="2095" t="s">
        <v>1749</v>
      </c>
    </row>
    <row r="75" spans="1:18" ht="16.2" thickBot="1">
      <c r="O75" s="2093" t="s">
        <v>1771</v>
      </c>
      <c r="P75" s="2091" t="str">
        <f>K59</f>
        <v>建设期及建筑物耐用年限下的土地年期修正系数Kn</v>
      </c>
      <c r="Q75" s="2092" t="e">
        <f ca="1">L59</f>
        <v>#DIV/0!</v>
      </c>
      <c r="R75" s="2095" t="s">
        <v>1751</v>
      </c>
    </row>
    <row r="76" spans="1:18" ht="16.2" thickBot="1">
      <c r="O76" s="2090" t="s">
        <v>1745</v>
      </c>
      <c r="P76" s="2091" t="s">
        <v>1762</v>
      </c>
      <c r="Q76" s="2092">
        <f ca="1">Q66+Q67</f>
        <v>37414</v>
      </c>
      <c r="R76" s="2095"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5"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0" zoomScale="70" zoomScaleNormal="60" zoomScaleSheetLayoutView="70" workbookViewId="0">
      <selection activeCell="K37" sqref="K37"/>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1254</v>
      </c>
      <c r="B1" s="706"/>
      <c r="C1" s="739" t="s">
        <v>2741</v>
      </c>
      <c r="D1" s="2553" t="s">
        <v>3325</v>
      </c>
      <c r="E1" s="2079" t="s">
        <v>1728</v>
      </c>
      <c r="F1" s="2080">
        <f ca="1">J53</f>
        <v>36.590000000000003</v>
      </c>
      <c r="G1" s="3001">
        <f>MATCH(C1,'数据-取费表'!A6:A16,0)+5</f>
        <v>8</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427</v>
      </c>
      <c r="B2" s="741">
        <f ca="1">C40+J29+L46</f>
        <v>1348</v>
      </c>
      <c r="C2" s="3006"/>
      <c r="D2" s="3007"/>
      <c r="E2" s="3008"/>
      <c r="F2" s="3008"/>
      <c r="G2" s="3002"/>
      <c r="H2" s="1781"/>
      <c r="I2" s="1781"/>
      <c r="J2" s="1781"/>
      <c r="K2" s="1782"/>
      <c r="L2" s="1781"/>
      <c r="M2" s="1781"/>
    </row>
    <row r="3" spans="1:33" ht="18" customHeight="1" thickBot="1">
      <c r="A3" s="798" t="s">
        <v>1256</v>
      </c>
      <c r="B3" s="799">
        <f ca="1">IF(ISERROR(B2*10000/F43),0,ROUND(B2*10000/F43,0))</f>
        <v>1396</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158</v>
      </c>
      <c r="D5" s="2143" t="s">
        <v>1805</v>
      </c>
      <c r="E5" s="2137"/>
      <c r="F5" s="2138"/>
      <c r="G5" s="1786"/>
      <c r="H5" s="747">
        <v>1</v>
      </c>
      <c r="I5" s="748" t="s">
        <v>1802</v>
      </c>
      <c r="J5" s="53">
        <f ca="1">J6+J10+J12</f>
        <v>0</v>
      </c>
      <c r="K5" s="2143" t="s">
        <v>1805</v>
      </c>
      <c r="L5" s="2137"/>
      <c r="M5" s="2138"/>
    </row>
    <row r="6" spans="1:33" ht="18" customHeight="1">
      <c r="A6" s="1617" t="s">
        <v>1353</v>
      </c>
      <c r="B6" s="3956" t="s">
        <v>1807</v>
      </c>
      <c r="C6" s="749">
        <f ca="1">ROUND(F6*F8*F7*(1-F9)/10000,0)</f>
        <v>158</v>
      </c>
      <c r="D6" s="2144" t="s">
        <v>1806</v>
      </c>
      <c r="E6" s="750" t="s">
        <v>1267</v>
      </c>
      <c r="F6" s="751">
        <f ca="1">INDIRECT("'数据-取费表'!u"&amp;$G$1)</f>
        <v>600</v>
      </c>
      <c r="G6" s="1786"/>
      <c r="H6" s="2151" t="s">
        <v>1812</v>
      </c>
      <c r="I6" s="3956" t="s">
        <v>1807</v>
      </c>
      <c r="J6" s="749">
        <f ca="1">ROUND(M6*M8*M7*(1-M9)/10000,0)</f>
        <v>0</v>
      </c>
      <c r="K6" s="332" t="s">
        <v>1266</v>
      </c>
      <c r="L6" s="750" t="s">
        <v>1267</v>
      </c>
      <c r="M6" s="751">
        <f ca="1">INDIRECT("'数据-取费表'!z"&amp;$G$1)</f>
        <v>0</v>
      </c>
    </row>
    <row r="7" spans="1:33" ht="18" customHeight="1">
      <c r="A7" s="2147"/>
      <c r="B7" s="3957"/>
      <c r="C7" s="754"/>
      <c r="D7" s="755"/>
      <c r="E7" s="750" t="s">
        <v>1268</v>
      </c>
      <c r="F7" s="751">
        <f ca="1">IF(INDIRECT("'数据-取费表'!ah"&amp;$G$1)="",INDIRECT("'数据-取费表'!k"&amp;$G$1),INDIRECT("'数据-取费表'!ah"&amp;$G$1))</f>
        <v>275</v>
      </c>
      <c r="G7" s="1786"/>
      <c r="H7" s="2136"/>
      <c r="I7" s="3957"/>
      <c r="J7" s="754"/>
      <c r="K7" s="755"/>
      <c r="L7" s="750" t="s">
        <v>1268</v>
      </c>
      <c r="M7" s="751">
        <f ca="1">F7</f>
        <v>275</v>
      </c>
    </row>
    <row r="8" spans="1:33" ht="18" customHeight="1">
      <c r="A8" s="2140"/>
      <c r="B8" s="3958"/>
      <c r="C8" s="754"/>
      <c r="D8" s="755"/>
      <c r="E8" s="750" t="s">
        <v>1269</v>
      </c>
      <c r="F8" s="751">
        <f ca="1">INDIRECT("'数据-取费表'!ai"&amp;$G$1)</f>
        <v>12</v>
      </c>
      <c r="G8" s="1786"/>
      <c r="H8" s="2136"/>
      <c r="I8" s="3958"/>
      <c r="J8" s="754"/>
      <c r="K8" s="755"/>
      <c r="L8" s="750" t="s">
        <v>1269</v>
      </c>
      <c r="M8" s="751">
        <f ca="1">INDIRECT("'数据-取费表'!ai"&amp;$G$1)</f>
        <v>12</v>
      </c>
    </row>
    <row r="9" spans="1:33" ht="18" customHeight="1">
      <c r="A9" s="752"/>
      <c r="B9" s="3959"/>
      <c r="C9" s="754"/>
      <c r="D9" s="755"/>
      <c r="E9" s="750" t="s">
        <v>1270</v>
      </c>
      <c r="F9" s="760">
        <f ca="1">INDIRECT("'数据-取费表'!w"&amp;$G$1)</f>
        <v>0.2</v>
      </c>
      <c r="G9" s="1786"/>
      <c r="H9" s="2152"/>
      <c r="I9" s="3958"/>
      <c r="J9" s="754"/>
      <c r="K9" s="755"/>
      <c r="L9" s="761" t="s">
        <v>1270</v>
      </c>
      <c r="M9" s="762">
        <f ca="1">INDIRECT("'数据-取费表'!ab"&amp;$G$1)</f>
        <v>0</v>
      </c>
    </row>
    <row r="10" spans="1:33" ht="18" customHeight="1">
      <c r="A10" s="1617" t="s">
        <v>1810</v>
      </c>
      <c r="B10" s="2141" t="s">
        <v>1803</v>
      </c>
      <c r="C10" s="765">
        <f ca="1">ROUND(IF(F10="押一",C6/12*F11,IF(F10="押二",C6/12*2*F11,IF(F10="押三",C6/12*3*F11,C11*F11))),0)</f>
        <v>0</v>
      </c>
      <c r="D10" s="2148" t="s">
        <v>2231</v>
      </c>
      <c r="E10" s="2145" t="s">
        <v>1808</v>
      </c>
      <c r="F10" s="2229" t="s">
        <v>3328</v>
      </c>
      <c r="G10" s="1786"/>
      <c r="H10" s="2179" t="s">
        <v>1813</v>
      </c>
      <c r="I10" s="2184" t="s">
        <v>1803</v>
      </c>
      <c r="J10" s="749">
        <f ca="1">ROUND(IF(M10="押一",J6/12*M11,IF(M10="押二",J6/12*2*M11,IF(M10="押三",J6/12*3*M11,J11*M11))),0)</f>
        <v>0</v>
      </c>
      <c r="K10" s="2148" t="s">
        <v>2231</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4207</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3083</v>
      </c>
      <c r="D14" s="3665" t="s">
        <v>1274</v>
      </c>
      <c r="E14" s="3664"/>
      <c r="F14" s="771"/>
      <c r="G14" s="1786"/>
      <c r="H14" s="1454" t="s">
        <v>1359</v>
      </c>
      <c r="I14" s="1950" t="s">
        <v>2102</v>
      </c>
      <c r="J14" s="51">
        <f ca="1">C29</f>
        <v>4207</v>
      </c>
      <c r="K14" s="24"/>
      <c r="L14" s="767"/>
      <c r="M14" s="768"/>
    </row>
    <row r="15" spans="1:33" s="1788" customFormat="1" ht="18" customHeight="1" thickBot="1">
      <c r="A15" s="1453" t="s">
        <v>1410</v>
      </c>
      <c r="B15" s="750" t="s">
        <v>595</v>
      </c>
      <c r="C15" s="51">
        <f ca="1">ROUND(C14*F15,0)</f>
        <v>92</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42</v>
      </c>
      <c r="K16" s="1608" t="s">
        <v>1279</v>
      </c>
      <c r="L16" s="3667"/>
      <c r="M16" s="2138"/>
    </row>
    <row r="17" spans="1:33" s="1788" customFormat="1" ht="18" customHeight="1">
      <c r="A17" s="1453" t="s">
        <v>1412</v>
      </c>
      <c r="B17" s="750" t="s">
        <v>601</v>
      </c>
      <c r="C17" s="51">
        <f ca="1">ROUND(F17*(F43+INDIRECT("'数据-取费表'!S"&amp;$G$1))/10000,0)</f>
        <v>208</v>
      </c>
      <c r="D17" s="750" t="s">
        <v>1280</v>
      </c>
      <c r="E17" s="750" t="s">
        <v>1281</v>
      </c>
      <c r="F17" s="54">
        <f>'数据-取费表'!B35</f>
        <v>200</v>
      </c>
      <c r="G17" s="3003"/>
      <c r="H17" s="1454" t="s">
        <v>1359</v>
      </c>
      <c r="I17" s="750" t="s">
        <v>604</v>
      </c>
      <c r="J17" s="2762">
        <f ca="1">ROUND(IF(AND(项目基本情况!B11="自然人",项目基本情况!B10="北京市"),J6*M17/(1+'数据-取费表'!C42),J18+J19+J20),2)</f>
        <v>0.12</v>
      </c>
      <c r="K17" s="3665" t="s">
        <v>1282</v>
      </c>
      <c r="L17" s="3666"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46</v>
      </c>
      <c r="D18" s="750" t="s">
        <v>1275</v>
      </c>
      <c r="E18" s="750" t="s">
        <v>1276</v>
      </c>
      <c r="F18" s="775">
        <f>'数据-取费表'!B36</f>
        <v>1.4999999999999999E-2</v>
      </c>
      <c r="G18" s="3003"/>
      <c r="H18" s="1453" t="s">
        <v>1409</v>
      </c>
      <c r="I18" s="750" t="s">
        <v>1284</v>
      </c>
      <c r="J18" s="51">
        <f ca="1">ROUND(J6*M18/(1+'数据-取费表'!C42),2)</f>
        <v>0</v>
      </c>
      <c r="K18" s="3666"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3429</v>
      </c>
      <c r="D19" s="252" t="s">
        <v>1286</v>
      </c>
      <c r="E19" s="3668"/>
      <c r="F19" s="54"/>
      <c r="G19" s="1786"/>
      <c r="H19" s="1453" t="s">
        <v>1410</v>
      </c>
      <c r="I19" s="750" t="s">
        <v>1287</v>
      </c>
      <c r="J19" s="51">
        <f ca="1">IF(K19="按租金收入计税",ROUND(J6*M19/(1+'数据-取费表'!C42),1),ROUND(C29*F33*0.7,2))</f>
        <v>0</v>
      </c>
      <c r="K19" s="776" t="s">
        <v>3249</v>
      </c>
      <c r="L19" s="750" t="s">
        <v>1276</v>
      </c>
      <c r="M19" s="775">
        <f>IF(K19="按租金收入计税",'数据-取费表'!B51,'数据-取费表'!B50)</f>
        <v>0.12</v>
      </c>
    </row>
    <row r="20" spans="1:33" s="1788" customFormat="1" ht="18" customHeight="1">
      <c r="A20" s="1454" t="s">
        <v>1414</v>
      </c>
      <c r="B20" s="750" t="s">
        <v>613</v>
      </c>
      <c r="C20" s="51">
        <f ca="1">ROUND(C19*F20,0)</f>
        <v>69</v>
      </c>
      <c r="D20" s="777" t="s">
        <v>1288</v>
      </c>
      <c r="E20" s="750" t="s">
        <v>1276</v>
      </c>
      <c r="F20" s="775">
        <f>'数据-取费表'!B37</f>
        <v>0.02</v>
      </c>
      <c r="G20" s="3003"/>
      <c r="H20" s="1456" t="s">
        <v>1405</v>
      </c>
      <c r="I20" s="332" t="s">
        <v>1289</v>
      </c>
      <c r="J20" s="52">
        <f ca="1">ROUND(M20*M21/10000,2)</f>
        <v>0.12</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798.19999999999993</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3668"/>
      <c r="F22" s="54"/>
      <c r="G22" s="1786"/>
      <c r="H22" s="1454" t="s">
        <v>1414</v>
      </c>
      <c r="I22" s="750" t="s">
        <v>1297</v>
      </c>
      <c r="J22" s="51">
        <f ca="1">ROUND(J14*M22,2)</f>
        <v>42.07</v>
      </c>
      <c r="K22" s="3666" t="s">
        <v>1298</v>
      </c>
      <c r="L22" s="750" t="s">
        <v>1276</v>
      </c>
      <c r="M22" s="782">
        <f ca="1">INDIRECT("'数据-取费表'!Ak"&amp;$G$1)</f>
        <v>0.01</v>
      </c>
    </row>
    <row r="23" spans="1:33" s="1788" customFormat="1" ht="18" customHeight="1">
      <c r="A23" s="1453" t="s">
        <v>1360</v>
      </c>
      <c r="B23" s="750" t="s">
        <v>1818</v>
      </c>
      <c r="C23" s="51">
        <f ca="1">ROUND(IF('数据-取费表'!B22&lt;=1,(C19+C20)*F24*F23/2,(C19+C20)*(POWER((1+F24),F23/2)-1)),0)</f>
        <v>220</v>
      </c>
      <c r="D23" s="2187" t="str">
        <f>IF(F23&lt;=1,"(建造成本+管理费用)×利率×(建设周期÷2)","(建造成本+管理费用)×((1+利率)^(建设周期÷2)-1)")</f>
        <v>(建造成本+管理费用)×((1+利率)^(建设周期÷2)-1)</v>
      </c>
      <c r="E23" s="750" t="s">
        <v>1299</v>
      </c>
      <c r="F23" s="608">
        <f>'数据-取费表'!B20</f>
        <v>3</v>
      </c>
      <c r="G23" s="3003"/>
      <c r="H23" s="1454" t="s">
        <v>1415</v>
      </c>
      <c r="I23" s="750" t="s">
        <v>626</v>
      </c>
      <c r="J23" s="51">
        <f ca="1">ROUND(J13*M23,2)</f>
        <v>0</v>
      </c>
      <c r="K23" s="3666"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1.2999999999999999E-3</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1.4999999999999999E-2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3668"/>
      <c r="F25" s="54"/>
      <c r="G25" s="1786"/>
      <c r="H25" s="1616" t="s">
        <v>1305</v>
      </c>
      <c r="I25" s="2484" t="s">
        <v>2099</v>
      </c>
      <c r="J25" s="758">
        <f ca="1">J5-J16</f>
        <v>-42</v>
      </c>
      <c r="K25" s="2166" t="s">
        <v>1306</v>
      </c>
      <c r="L25" s="2167"/>
      <c r="M25" s="2168"/>
    </row>
    <row r="26" spans="1:33" ht="18" customHeight="1">
      <c r="A26" s="1453" t="s">
        <v>1360</v>
      </c>
      <c r="B26" s="750" t="s">
        <v>1785</v>
      </c>
      <c r="C26" s="51">
        <f ca="1">ROUND((C19+C20)*F26,0)</f>
        <v>175</v>
      </c>
      <c r="D26" s="777" t="s">
        <v>1307</v>
      </c>
      <c r="E26" s="761" t="s">
        <v>1308</v>
      </c>
      <c r="F26" s="760">
        <f ca="1">INDIRECT("'数据-取费表'!q"&amp;$G$1)</f>
        <v>0.05</v>
      </c>
      <c r="G26" s="1786"/>
      <c r="H26" s="2149" t="s">
        <v>1309</v>
      </c>
      <c r="I26" s="1951" t="s">
        <v>2104</v>
      </c>
      <c r="J26" s="749">
        <f ca="1">IF(J5&lt;&gt;0,ROUND(J25*(1-((1+M28)/(1+M26))^M27)/(M26-M28),0),0)</f>
        <v>0</v>
      </c>
      <c r="K26" s="779" t="s">
        <v>1310</v>
      </c>
      <c r="L26" s="750" t="s">
        <v>1773</v>
      </c>
      <c r="M26" s="760">
        <f ca="1">INDIRECT("'数据-取费表'!I"&amp;$G$1)</f>
        <v>0.05</v>
      </c>
    </row>
    <row r="27" spans="1:33" ht="18" customHeight="1">
      <c r="A27" s="1453" t="s">
        <v>1361</v>
      </c>
      <c r="B27" s="750" t="s">
        <v>633</v>
      </c>
      <c r="C27" s="51">
        <f ca="1">ROUND(F21*F26,4)</f>
        <v>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4207</v>
      </c>
      <c r="D29" s="2163"/>
      <c r="E29" s="2164"/>
      <c r="F29" s="2165"/>
      <c r="G29" s="3003"/>
      <c r="H29" s="788" t="s">
        <v>1316</v>
      </c>
      <c r="I29" s="789" t="s">
        <v>1317</v>
      </c>
      <c r="J29" s="790">
        <f ca="1">ROUND(J26/(1+F40)^F41,0)</f>
        <v>0</v>
      </c>
      <c r="K29" s="791" t="s">
        <v>1318</v>
      </c>
      <c r="L29" s="792"/>
      <c r="M29" s="793">
        <f ca="1">INDIRECT("'数据-取费表'!k"&amp;$G$1)</f>
        <v>9656.67</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77</v>
      </c>
      <c r="D30" s="1608" t="s">
        <v>1320</v>
      </c>
      <c r="E30" s="3667"/>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26.46</v>
      </c>
      <c r="D31" s="3665" t="s">
        <v>1321</v>
      </c>
      <c r="E31" s="3666" t="s">
        <v>1322</v>
      </c>
      <c r="F31" s="2761" t="str">
        <f>IF(项目基本情况!B11="企业","——",IF(M47="住宅",IF(F6*F7*F8/12/(1+'数据-取费表'!F30)&gt;100000,4%,2.5%),IF(F6*F7*F8/12/(1+'数据-取费表'!F30)&gt;100000,12%,7%)))</f>
        <v>——</v>
      </c>
      <c r="G31" s="1786"/>
      <c r="H31" s="3000" t="s">
        <v>2282</v>
      </c>
      <c r="I31" s="1790"/>
      <c r="J31" s="1791"/>
      <c r="K31" s="1792"/>
      <c r="L31" s="1793"/>
      <c r="M31" s="1794"/>
    </row>
    <row r="32" spans="1:33" ht="18" customHeight="1">
      <c r="A32" s="1453" t="s">
        <v>1360</v>
      </c>
      <c r="B32" s="750" t="s">
        <v>1323</v>
      </c>
      <c r="C32" s="51">
        <f ca="1">ROUND(C6*F32/(1+'数据-取费表'!C42),2)</f>
        <v>8.2799999999999994</v>
      </c>
      <c r="D32" s="3666"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18.059999999999999</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0.12</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798.19999999999993</v>
      </c>
      <c r="G35" s="1786"/>
      <c r="H35" s="1789"/>
      <c r="I35" s="802" t="s">
        <v>1343</v>
      </c>
      <c r="J35" s="803">
        <f ca="1">ROUND(C13*J36,0)</f>
        <v>358</v>
      </c>
      <c r="K35" s="1802"/>
      <c r="L35" s="1801"/>
      <c r="M35" s="1801"/>
    </row>
    <row r="36" spans="1:18" ht="18" customHeight="1">
      <c r="A36" s="1454" t="s">
        <v>1414</v>
      </c>
      <c r="B36" s="750" t="s">
        <v>1331</v>
      </c>
      <c r="C36" s="51">
        <f ca="1">ROUND(C29*F36,2)</f>
        <v>42.07</v>
      </c>
      <c r="D36" s="3666" t="s">
        <v>1332</v>
      </c>
      <c r="E36" s="750" t="s">
        <v>1325</v>
      </c>
      <c r="F36" s="782">
        <f ca="1">INDIRECT("'数据-取费表'!Ak"&amp;$G$1)</f>
        <v>0.01</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6.31</v>
      </c>
      <c r="D37" s="3666"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2.37</v>
      </c>
      <c r="D38" s="2163" t="s">
        <v>1334</v>
      </c>
      <c r="E38" s="2164" t="s">
        <v>1325</v>
      </c>
      <c r="F38" s="2160">
        <f ca="1">INDIRECT("'数据-取费表'!Am"&amp;$G$1)</f>
        <v>1.4999999999999999E-2</v>
      </c>
      <c r="G38" s="1786"/>
      <c r="H38" s="1801"/>
      <c r="I38" s="808" t="s">
        <v>1346</v>
      </c>
      <c r="J38" s="809"/>
      <c r="K38" s="1806"/>
      <c r="L38" s="1801"/>
      <c r="M38" s="1801"/>
    </row>
    <row r="39" spans="1:18" ht="24.6" customHeight="1" thickTop="1">
      <c r="A39" s="1616" t="s">
        <v>1419</v>
      </c>
      <c r="B39" s="2484" t="s">
        <v>2099</v>
      </c>
      <c r="C39" s="758">
        <f ca="1">C5-C30</f>
        <v>81</v>
      </c>
      <c r="D39" s="2166" t="s">
        <v>1335</v>
      </c>
      <c r="E39" s="2167"/>
      <c r="F39" s="2168"/>
      <c r="G39" s="1786"/>
      <c r="H39" s="1801"/>
      <c r="I39" s="802" t="s">
        <v>1347</v>
      </c>
      <c r="J39" s="810">
        <f ca="1">ROUND(J35/C39,3)</f>
        <v>4.42</v>
      </c>
      <c r="K39" s="1806"/>
      <c r="L39" s="1801"/>
      <c r="M39" s="1801"/>
    </row>
    <row r="40" spans="1:18" ht="18" customHeight="1">
      <c r="A40" s="747" t="s">
        <v>1420</v>
      </c>
      <c r="B40" s="1951" t="s">
        <v>1658</v>
      </c>
      <c r="C40" s="749">
        <f ca="1">ROUND(C39*(1-((1+F42)/(1+F40))^F41)/(F40-F42),0)</f>
        <v>1348</v>
      </c>
      <c r="D40" s="779" t="s">
        <v>1336</v>
      </c>
      <c r="E40" s="750" t="s">
        <v>1773</v>
      </c>
      <c r="F40" s="760">
        <f ca="1">INDIRECT("'数据-取费表'!I"&amp;$G$1)</f>
        <v>0.05</v>
      </c>
      <c r="G40" s="1786"/>
      <c r="H40" s="1786"/>
      <c r="I40" s="802" t="s">
        <v>1348</v>
      </c>
      <c r="J40" s="810">
        <f ca="1">1-J39</f>
        <v>-3.42</v>
      </c>
      <c r="K40" s="1806"/>
      <c r="L40" s="1786"/>
      <c r="M40" s="1786"/>
    </row>
    <row r="41" spans="1:18" ht="18" customHeight="1">
      <c r="A41" s="752"/>
      <c r="B41" s="753"/>
      <c r="C41" s="754"/>
      <c r="D41" s="786" t="s">
        <v>1337</v>
      </c>
      <c r="E41" s="750" t="s">
        <v>2223</v>
      </c>
      <c r="F41" s="787">
        <f ca="1">IF(INDIRECT("'数据-取费表'!af"&amp;$G$1)=0,INDIRECT("'数据-取费表'!ae"&amp;$G$1),INDIRECT("'数据-取费表'!af"&amp;$G$1))</f>
        <v>36.590000000000003</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f ca="1">ROUND(C13/C40,3)</f>
        <v>3.121</v>
      </c>
      <c r="K42" s="1805"/>
      <c r="L42" s="1741"/>
      <c r="M42" s="1741"/>
    </row>
    <row r="43" spans="1:18" ht="18" customHeight="1" thickBot="1">
      <c r="A43" s="788" t="s">
        <v>1316</v>
      </c>
      <c r="B43" s="789" t="s">
        <v>1339</v>
      </c>
      <c r="C43" s="790">
        <f ca="1">ROUND(C40*10000/F43,0)</f>
        <v>1396</v>
      </c>
      <c r="D43" s="791" t="s">
        <v>1340</v>
      </c>
      <c r="E43" s="792" t="s">
        <v>1341</v>
      </c>
      <c r="F43" s="793">
        <f ca="1">INDIRECT("'数据-取费表'!k"&amp;$G$1)</f>
        <v>9656.67</v>
      </c>
      <c r="G43" s="1786"/>
      <c r="H43" s="1741"/>
      <c r="I43" s="812" t="s">
        <v>1351</v>
      </c>
      <c r="J43" s="813">
        <f ca="1">1-J42</f>
        <v>-2.121</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-2164</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3327</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39.590000000000003</v>
      </c>
      <c r="M48" s="3005"/>
      <c r="O48" s="2090" t="s">
        <v>1733</v>
      </c>
      <c r="P48" s="2091" t="s">
        <v>1759</v>
      </c>
      <c r="Q48" s="2092">
        <f ca="1">C40+J29</f>
        <v>1348</v>
      </c>
      <c r="R48" s="2091" t="s">
        <v>1734</v>
      </c>
    </row>
    <row r="49" spans="1:18" s="1783" customFormat="1" ht="18" customHeight="1" thickBot="1">
      <c r="A49" s="752"/>
      <c r="B49" s="753"/>
      <c r="C49" s="754"/>
      <c r="D49" s="755"/>
      <c r="E49" s="750" t="s">
        <v>1268</v>
      </c>
      <c r="F49" s="751">
        <f ca="1">F7</f>
        <v>275</v>
      </c>
      <c r="G49" s="1813"/>
      <c r="H49" s="1816"/>
      <c r="I49" s="2554" t="s">
        <v>1700</v>
      </c>
      <c r="J49" s="2075">
        <v>2024</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12</v>
      </c>
      <c r="G50" s="1818"/>
      <c r="H50" s="1816"/>
      <c r="I50" s="2554" t="s">
        <v>1701</v>
      </c>
      <c r="J50" s="2561">
        <f>SUMPRODUCT((I63:I65=J47)*(J62:L62=J48)*(J63:L65))</f>
        <v>60</v>
      </c>
      <c r="K50" s="2565" t="s">
        <v>1707</v>
      </c>
      <c r="L50" s="2076"/>
      <c r="M50" s="3005"/>
      <c r="O50" s="2093" t="s">
        <v>1737</v>
      </c>
      <c r="P50" s="2091" t="s">
        <v>1761</v>
      </c>
      <c r="Q50" s="2092">
        <f ca="1">C29</f>
        <v>4207</v>
      </c>
      <c r="R50" s="2091" t="s">
        <v>1734</v>
      </c>
    </row>
    <row r="51" spans="1:18" s="1783" customFormat="1" ht="18" customHeight="1" thickBot="1">
      <c r="A51" s="752"/>
      <c r="B51" s="753"/>
      <c r="C51" s="754"/>
      <c r="D51" s="755"/>
      <c r="E51" s="750" t="s">
        <v>588</v>
      </c>
      <c r="F51" s="2065"/>
      <c r="H51" s="1816"/>
      <c r="I51" s="2558" t="s">
        <v>1702</v>
      </c>
      <c r="J51" s="2562">
        <f>IF(J49="",J50,J49+J50-YEAR('数据-取费表'!B2))</f>
        <v>61</v>
      </c>
      <c r="K51" s="2554" t="s">
        <v>1708</v>
      </c>
      <c r="L51" s="2568">
        <f ca="1">ROUND(-PV(INDIRECT("'数据-取费表'!h"&amp;$G$1),J51,(C39-C13*J36),0),0)</f>
        <v>-5727</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2231</v>
      </c>
      <c r="E52" s="2145" t="s">
        <v>1808</v>
      </c>
      <c r="F52" s="2229"/>
      <c r="I52" s="2559" t="s">
        <v>1775</v>
      </c>
      <c r="J52" s="2077">
        <v>0.09</v>
      </c>
      <c r="K52" s="2559" t="s">
        <v>1774</v>
      </c>
      <c r="L52" s="2077"/>
      <c r="M52" s="3005"/>
      <c r="O52" s="2093" t="s">
        <v>1740</v>
      </c>
      <c r="P52" s="2091" t="s">
        <v>1741</v>
      </c>
      <c r="Q52" s="2094">
        <f>J52</f>
        <v>0.09</v>
      </c>
      <c r="R52" s="2095"/>
    </row>
    <row r="53" spans="1:18" s="1783" customFormat="1" ht="39.75" customHeight="1" thickBot="1">
      <c r="A53" s="752"/>
      <c r="B53" s="2142" t="s">
        <v>1856</v>
      </c>
      <c r="C53" s="2146"/>
      <c r="D53" s="2148"/>
      <c r="E53" s="2145"/>
      <c r="F53" s="766"/>
      <c r="I53" s="2560" t="s">
        <v>2235</v>
      </c>
      <c r="J53" s="2611">
        <f ca="1">IF(M47="住宅",IF(D1="——",MAX(J51,L48),MAX(J51,L48-'数据-取费表'!B20)),IF(D1="——",MIN(J51,L48),MIN(J51,L48-'数据-取费表'!B20)))</f>
        <v>36.590000000000003</v>
      </c>
      <c r="K53" s="3962" t="s">
        <v>2225</v>
      </c>
      <c r="L53" s="3963"/>
      <c r="M53" s="3005"/>
      <c r="O53" s="2093" t="s">
        <v>1742</v>
      </c>
      <c r="P53" s="2091" t="s">
        <v>1743</v>
      </c>
      <c r="Q53" s="2092">
        <f ca="1">J53</f>
        <v>36.590000000000003</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1348</v>
      </c>
      <c r="R54" s="2095" t="s">
        <v>1746</v>
      </c>
    </row>
    <row r="55" spans="1:18" s="1783" customFormat="1" ht="18" customHeight="1" thickTop="1" thickBot="1">
      <c r="A55" s="763">
        <v>2</v>
      </c>
      <c r="B55" s="764" t="s">
        <v>592</v>
      </c>
      <c r="C55" s="765">
        <f ca="1">C13</f>
        <v>4207</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4207</v>
      </c>
      <c r="D56" s="3666"/>
      <c r="E56" s="750"/>
      <c r="F56" s="775"/>
      <c r="I56" s="2573" t="s">
        <v>1711</v>
      </c>
      <c r="J56" s="2583" t="s">
        <v>3312</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49</v>
      </c>
      <c r="D57" s="24" t="s">
        <v>1279</v>
      </c>
      <c r="E57" s="3668"/>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1348</v>
      </c>
      <c r="R57" s="2091" t="s">
        <v>1734</v>
      </c>
    </row>
    <row r="58" spans="1:18" s="1783" customFormat="1" ht="28.5" customHeight="1" thickBot="1">
      <c r="A58" s="1454" t="s">
        <v>1353</v>
      </c>
      <c r="B58" s="750" t="s">
        <v>604</v>
      </c>
      <c r="C58" s="2762">
        <f ca="1">ROUND(IF(AND(项目基本情况!B11="自然人",项目基本情况!B10="北京市"),C48*F58/(1+'数据-取费表'!C42),C59+C60+C61),2)</f>
        <v>0.12</v>
      </c>
      <c r="D58" s="3665" t="s">
        <v>605</v>
      </c>
      <c r="E58" s="3666"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3666"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3666"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0.12</v>
      </c>
      <c r="D61" s="779" t="s">
        <v>616</v>
      </c>
      <c r="E61" s="750" t="s">
        <v>617</v>
      </c>
      <c r="F61" s="608">
        <f t="shared" si="0"/>
        <v>1.5</v>
      </c>
      <c r="K61" s="1809"/>
      <c r="O61" s="2093" t="s">
        <v>1740</v>
      </c>
      <c r="P61" s="2091" t="s">
        <v>1748</v>
      </c>
      <c r="Q61" s="2092" t="e">
        <f ca="1">L58</f>
        <v>#DIV/0!</v>
      </c>
      <c r="R61" s="2095" t="s">
        <v>1749</v>
      </c>
    </row>
    <row r="62" spans="1:18" s="1783" customFormat="1" ht="16.2" thickBot="1">
      <c r="A62" s="780"/>
      <c r="B62" s="759"/>
      <c r="C62" s="67"/>
      <c r="D62" s="781"/>
      <c r="E62" s="750" t="s">
        <v>621</v>
      </c>
      <c r="F62" s="751">
        <f t="shared" ca="1" si="0"/>
        <v>798.19999999999993</v>
      </c>
      <c r="I62" s="2579" t="s">
        <v>1721</v>
      </c>
      <c r="J62" s="2580" t="s">
        <v>1722</v>
      </c>
      <c r="K62" s="2580" t="s">
        <v>1723</v>
      </c>
      <c r="L62" s="2580" t="s">
        <v>1704</v>
      </c>
      <c r="M62" s="2581" t="s">
        <v>2204</v>
      </c>
      <c r="O62" s="2093" t="s">
        <v>1742</v>
      </c>
      <c r="P62" s="2091" t="str">
        <f>K59</f>
        <v>建设期及建筑物耐用年限下的土地年期修正系数Kn</v>
      </c>
      <c r="Q62" s="2092" t="e">
        <f ca="1">L59</f>
        <v>#DIV/0!</v>
      </c>
      <c r="R62" s="2095" t="s">
        <v>1751</v>
      </c>
    </row>
    <row r="63" spans="1:18" s="1783" customFormat="1" ht="16.2" thickBot="1">
      <c r="A63" s="1454" t="s">
        <v>1414</v>
      </c>
      <c r="B63" s="750" t="s">
        <v>623</v>
      </c>
      <c r="C63" s="51">
        <f ca="1">ROUND(C56*F63,2)</f>
        <v>42.07</v>
      </c>
      <c r="D63" s="3666" t="s">
        <v>1332</v>
      </c>
      <c r="E63" s="750" t="s">
        <v>1276</v>
      </c>
      <c r="F63" s="782">
        <f t="shared" ca="1" si="0"/>
        <v>0.01</v>
      </c>
      <c r="I63" s="2579" t="s">
        <v>1724</v>
      </c>
      <c r="J63" s="2580">
        <v>70</v>
      </c>
      <c r="K63" s="2580">
        <v>50</v>
      </c>
      <c r="L63" s="2580">
        <v>80</v>
      </c>
      <c r="M63" s="2582">
        <v>0.02</v>
      </c>
      <c r="O63" s="2090" t="s">
        <v>1745</v>
      </c>
      <c r="P63" s="2091" t="s">
        <v>1762</v>
      </c>
      <c r="Q63" s="2092">
        <f ca="1">Q57+Q58</f>
        <v>1348</v>
      </c>
      <c r="R63" s="2095" t="s">
        <v>1746</v>
      </c>
    </row>
    <row r="64" spans="1:18" s="1783" customFormat="1" ht="16.2" thickBot="1">
      <c r="A64" s="1454" t="s">
        <v>1415</v>
      </c>
      <c r="B64" s="750" t="s">
        <v>626</v>
      </c>
      <c r="C64" s="51">
        <f ca="1">ROUND(C55*F64,2)</f>
        <v>6.31</v>
      </c>
      <c r="D64" s="3666" t="s">
        <v>627</v>
      </c>
      <c r="E64" s="750" t="s">
        <v>1276</v>
      </c>
      <c r="F64" s="783">
        <f t="shared" ca="1" si="0"/>
        <v>1.5E-3</v>
      </c>
      <c r="I64" s="2579" t="s">
        <v>1725</v>
      </c>
      <c r="J64" s="2580">
        <v>50</v>
      </c>
      <c r="K64" s="2580">
        <v>35</v>
      </c>
      <c r="L64" s="2580">
        <v>60</v>
      </c>
      <c r="M64" s="811">
        <v>0</v>
      </c>
      <c r="O64" s="2096" t="s">
        <v>1769</v>
      </c>
      <c r="P64" s="1405"/>
      <c r="Q64" s="1413"/>
      <c r="R64" s="1405"/>
    </row>
    <row r="65" spans="1:18" s="1783" customFormat="1" ht="16.2" thickBot="1">
      <c r="A65" s="1454" t="s">
        <v>1416</v>
      </c>
      <c r="B65" s="750" t="s">
        <v>613</v>
      </c>
      <c r="C65" s="51">
        <f ca="1">ROUND(C47*F65,2)</f>
        <v>0</v>
      </c>
      <c r="D65" s="3666" t="s">
        <v>630</v>
      </c>
      <c r="E65" s="750" t="s">
        <v>1276</v>
      </c>
      <c r="F65" s="760">
        <f t="shared" ca="1" si="0"/>
        <v>1.4999999999999999E-2</v>
      </c>
      <c r="I65" s="2579" t="s">
        <v>1726</v>
      </c>
      <c r="J65" s="2580">
        <v>40</v>
      </c>
      <c r="K65" s="2580">
        <v>30</v>
      </c>
      <c r="L65" s="2580">
        <v>50</v>
      </c>
      <c r="M65" s="2582">
        <v>0.02</v>
      </c>
      <c r="O65" s="2087" t="s">
        <v>1729</v>
      </c>
      <c r="P65" s="2088" t="s">
        <v>1730</v>
      </c>
      <c r="Q65" s="2089" t="s">
        <v>1731</v>
      </c>
      <c r="R65" s="2088" t="s">
        <v>1732</v>
      </c>
    </row>
    <row r="66" spans="1:18" s="1783" customFormat="1" ht="24.6" thickBot="1">
      <c r="A66" s="763" t="s">
        <v>1305</v>
      </c>
      <c r="B66" s="2485" t="s">
        <v>2099</v>
      </c>
      <c r="C66" s="765">
        <f ca="1">C47-C57</f>
        <v>-49</v>
      </c>
      <c r="D66" s="3665" t="s">
        <v>647</v>
      </c>
      <c r="E66" s="3663"/>
      <c r="F66" s="785"/>
      <c r="K66" s="1809"/>
      <c r="O66" s="2090" t="s">
        <v>1733</v>
      </c>
      <c r="P66" s="2091" t="s">
        <v>1763</v>
      </c>
      <c r="Q66" s="2092">
        <f ca="1">C40+J29</f>
        <v>1348</v>
      </c>
      <c r="R66" s="2091" t="s">
        <v>1734</v>
      </c>
    </row>
    <row r="67" spans="1:18" s="1783" customFormat="1" ht="19.2" thickBot="1">
      <c r="A67" s="747" t="s">
        <v>1309</v>
      </c>
      <c r="B67" s="1951" t="s">
        <v>1658</v>
      </c>
      <c r="C67" s="749">
        <f ca="1">ROUND(C66*(1-((1+F69)/(1+F67))^F68)/(F67-F69),0)</f>
        <v>-816</v>
      </c>
      <c r="D67" s="779" t="s">
        <v>651</v>
      </c>
      <c r="E67" s="750" t="s">
        <v>652</v>
      </c>
      <c r="F67" s="760">
        <f ca="1">F40</f>
        <v>0.05</v>
      </c>
      <c r="K67" s="1809"/>
      <c r="O67" s="2090" t="s">
        <v>1735</v>
      </c>
      <c r="P67" s="2091" t="s">
        <v>1766</v>
      </c>
      <c r="Q67" s="2092">
        <f ca="1">L60</f>
        <v>0</v>
      </c>
      <c r="R67" s="2095" t="s">
        <v>1768</v>
      </c>
    </row>
    <row r="68" spans="1:18" ht="20.399999999999999" thickBot="1">
      <c r="A68" s="752"/>
      <c r="B68" s="753"/>
      <c r="C68" s="754"/>
      <c r="D68" s="786" t="s">
        <v>1337</v>
      </c>
      <c r="E68" s="750" t="s">
        <v>1313</v>
      </c>
      <c r="F68" s="787">
        <f ca="1">F41</f>
        <v>36.590000000000003</v>
      </c>
      <c r="O68" s="2093" t="s">
        <v>1737</v>
      </c>
      <c r="P68" s="2091" t="s">
        <v>1767</v>
      </c>
      <c r="Q68" s="2097">
        <f ca="1">L51</f>
        <v>-5727</v>
      </c>
      <c r="R68" s="2098" t="s">
        <v>1770</v>
      </c>
    </row>
    <row r="69" spans="1:18" ht="19.2" thickBot="1">
      <c r="A69" s="756"/>
      <c r="B69" s="757"/>
      <c r="C69" s="758"/>
      <c r="D69" s="781"/>
      <c r="E69" s="750" t="s">
        <v>657</v>
      </c>
      <c r="F69" s="2065"/>
      <c r="O69" s="2093" t="s">
        <v>1738</v>
      </c>
      <c r="P69" s="2099" t="s">
        <v>1752</v>
      </c>
      <c r="Q69" s="2092">
        <f ca="1">ROUND(Q70-Q71*Q72,0)</f>
        <v>-277</v>
      </c>
      <c r="R69" s="2095"/>
    </row>
    <row r="70" spans="1:18" ht="16.2" thickBot="1">
      <c r="A70" s="788" t="s">
        <v>1316</v>
      </c>
      <c r="B70" s="789" t="s">
        <v>1339</v>
      </c>
      <c r="C70" s="790">
        <f ca="1">ROUND(C67*10000/F70,0)</f>
        <v>-845</v>
      </c>
      <c r="D70" s="791" t="s">
        <v>1340</v>
      </c>
      <c r="E70" s="792" t="s">
        <v>1341</v>
      </c>
      <c r="F70" s="793">
        <f ca="1">F43</f>
        <v>9656.67</v>
      </c>
      <c r="O70" s="2093" t="s">
        <v>1753</v>
      </c>
      <c r="P70" s="2099" t="s">
        <v>1754</v>
      </c>
      <c r="Q70" s="2092">
        <f ca="1">C39</f>
        <v>81</v>
      </c>
      <c r="R70" s="2091" t="s">
        <v>1734</v>
      </c>
    </row>
    <row r="71" spans="1:18" ht="16.2" thickBot="1">
      <c r="O71" s="2093" t="s">
        <v>1755</v>
      </c>
      <c r="P71" s="2099" t="s">
        <v>1756</v>
      </c>
      <c r="Q71" s="2092">
        <f ca="1">C13</f>
        <v>4207</v>
      </c>
      <c r="R71" s="2091" t="s">
        <v>1734</v>
      </c>
    </row>
    <row r="72" spans="1:18" ht="16.2" thickBot="1">
      <c r="O72" s="2093" t="s">
        <v>1757</v>
      </c>
      <c r="P72" s="2099" t="s">
        <v>1758</v>
      </c>
      <c r="Q72" s="2094">
        <f ca="1">J36</f>
        <v>8.5000000000000006E-2</v>
      </c>
      <c r="R72" s="2095"/>
    </row>
    <row r="73" spans="1:18" ht="16.2" thickBot="1">
      <c r="O73" s="2093" t="s">
        <v>1740</v>
      </c>
      <c r="P73" s="2091" t="s">
        <v>1747</v>
      </c>
      <c r="Q73" s="2094">
        <f>L52</f>
        <v>0</v>
      </c>
      <c r="R73" s="2095"/>
    </row>
    <row r="74" spans="1:18" ht="19.2" thickBot="1">
      <c r="O74" s="2093" t="s">
        <v>1742</v>
      </c>
      <c r="P74" s="2091" t="s">
        <v>1748</v>
      </c>
      <c r="Q74" s="2092" t="e">
        <f ca="1">L58</f>
        <v>#DIV/0!</v>
      </c>
      <c r="R74" s="2095" t="s">
        <v>1749</v>
      </c>
    </row>
    <row r="75" spans="1:18" ht="16.2" thickBot="1">
      <c r="O75" s="2093" t="s">
        <v>1771</v>
      </c>
      <c r="P75" s="2091" t="str">
        <f>K59</f>
        <v>建设期及建筑物耐用年限下的土地年期修正系数Kn</v>
      </c>
      <c r="Q75" s="2092" t="e">
        <f ca="1">L59</f>
        <v>#DIV/0!</v>
      </c>
      <c r="R75" s="2095" t="s">
        <v>1751</v>
      </c>
    </row>
    <row r="76" spans="1:18" ht="16.2" thickBot="1">
      <c r="O76" s="2090" t="s">
        <v>1745</v>
      </c>
      <c r="P76" s="2091" t="s">
        <v>1762</v>
      </c>
      <c r="Q76" s="2092">
        <f ca="1">Q66+Q67</f>
        <v>1348</v>
      </c>
      <c r="R76" s="2095"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9" customWidth="1"/>
    <col min="2" max="2" width="8.88671875" style="3069"/>
    <col min="3" max="5" width="12.88671875" style="3069" customWidth="1"/>
    <col min="6" max="6" width="47.44140625" style="3069" customWidth="1"/>
    <col min="7" max="7" width="13" style="3229" customWidth="1"/>
    <col min="8" max="8" width="8.88671875" style="3063"/>
    <col min="9" max="9" width="8.88671875" style="3064"/>
    <col min="10" max="10" width="5.77734375" style="3230" customWidth="1"/>
    <col min="11" max="11" width="11.77734375" style="3230" customWidth="1"/>
    <col min="12" max="13" width="10.77734375" style="3230" customWidth="1"/>
    <col min="14" max="14" width="10" style="3230" customWidth="1"/>
    <col min="15" max="16" width="10.44140625" style="3230" bestFit="1" customWidth="1"/>
    <col min="17" max="17" width="10" style="3230" customWidth="1"/>
    <col min="18" max="18" width="10.109375" style="3230" customWidth="1"/>
    <col min="19" max="19" width="10" style="3230" customWidth="1"/>
    <col min="20" max="20" width="26.109375" style="3230" customWidth="1"/>
    <col min="21" max="21" width="8.88671875" style="3230"/>
    <col min="22" max="22" width="8.88671875" style="3064"/>
    <col min="23" max="256" width="8.88671875" style="3069"/>
    <col min="257" max="257" width="9.44140625" style="3069" customWidth="1"/>
    <col min="258" max="258" width="8.88671875" style="3069"/>
    <col min="259" max="261" width="12.88671875" style="3069" customWidth="1"/>
    <col min="262" max="262" width="47.44140625" style="3069" customWidth="1"/>
    <col min="263" max="263" width="13" style="3069" customWidth="1"/>
    <col min="264" max="265" width="8.88671875" style="3069"/>
    <col min="266" max="266" width="5.77734375" style="3069" customWidth="1"/>
    <col min="267" max="267" width="11.77734375" style="3069" customWidth="1"/>
    <col min="268" max="269" width="10.77734375" style="3069" customWidth="1"/>
    <col min="270" max="270" width="10" style="3069" customWidth="1"/>
    <col min="271" max="272" width="10.44140625" style="3069" bestFit="1" customWidth="1"/>
    <col min="273" max="273" width="10" style="3069" customWidth="1"/>
    <col min="274" max="274" width="10.109375" style="3069" customWidth="1"/>
    <col min="275" max="275" width="10" style="3069" customWidth="1"/>
    <col min="276" max="276" width="26.109375" style="3069" customWidth="1"/>
    <col min="277" max="512" width="8.88671875" style="3069"/>
    <col min="513" max="513" width="9.44140625" style="3069" customWidth="1"/>
    <col min="514" max="514" width="8.88671875" style="3069"/>
    <col min="515" max="517" width="12.88671875" style="3069" customWidth="1"/>
    <col min="518" max="518" width="47.44140625" style="3069" customWidth="1"/>
    <col min="519" max="519" width="13" style="3069" customWidth="1"/>
    <col min="520" max="521" width="8.88671875" style="3069"/>
    <col min="522" max="522" width="5.77734375" style="3069" customWidth="1"/>
    <col min="523" max="523" width="11.77734375" style="3069" customWidth="1"/>
    <col min="524" max="525" width="10.77734375" style="3069" customWidth="1"/>
    <col min="526" max="526" width="10" style="3069" customWidth="1"/>
    <col min="527" max="528" width="10.44140625" style="3069" bestFit="1" customWidth="1"/>
    <col min="529" max="529" width="10" style="3069" customWidth="1"/>
    <col min="530" max="530" width="10.109375" style="3069" customWidth="1"/>
    <col min="531" max="531" width="10" style="3069" customWidth="1"/>
    <col min="532" max="532" width="26.109375" style="3069" customWidth="1"/>
    <col min="533" max="768" width="8.88671875" style="3069"/>
    <col min="769" max="769" width="9.44140625" style="3069" customWidth="1"/>
    <col min="770" max="770" width="8.88671875" style="3069"/>
    <col min="771" max="773" width="12.88671875" style="3069" customWidth="1"/>
    <col min="774" max="774" width="47.44140625" style="3069" customWidth="1"/>
    <col min="775" max="775" width="13" style="3069" customWidth="1"/>
    <col min="776" max="777" width="8.88671875" style="3069"/>
    <col min="778" max="778" width="5.77734375" style="3069" customWidth="1"/>
    <col min="779" max="779" width="11.77734375" style="3069" customWidth="1"/>
    <col min="780" max="781" width="10.77734375" style="3069" customWidth="1"/>
    <col min="782" max="782" width="10" style="3069" customWidth="1"/>
    <col min="783" max="784" width="10.44140625" style="3069" bestFit="1" customWidth="1"/>
    <col min="785" max="785" width="10" style="3069" customWidth="1"/>
    <col min="786" max="786" width="10.109375" style="3069" customWidth="1"/>
    <col min="787" max="787" width="10" style="3069" customWidth="1"/>
    <col min="788" max="788" width="26.109375" style="3069" customWidth="1"/>
    <col min="789" max="1024" width="8.88671875" style="3069"/>
    <col min="1025" max="1025" width="9.44140625" style="3069" customWidth="1"/>
    <col min="1026" max="1026" width="8.88671875" style="3069"/>
    <col min="1027" max="1029" width="12.88671875" style="3069" customWidth="1"/>
    <col min="1030" max="1030" width="47.44140625" style="3069" customWidth="1"/>
    <col min="1031" max="1031" width="13" style="3069" customWidth="1"/>
    <col min="1032" max="1033" width="8.88671875" style="3069"/>
    <col min="1034" max="1034" width="5.77734375" style="3069" customWidth="1"/>
    <col min="1035" max="1035" width="11.77734375" style="3069" customWidth="1"/>
    <col min="1036" max="1037" width="10.77734375" style="3069" customWidth="1"/>
    <col min="1038" max="1038" width="10" style="3069" customWidth="1"/>
    <col min="1039" max="1040" width="10.44140625" style="3069" bestFit="1" customWidth="1"/>
    <col min="1041" max="1041" width="10" style="3069" customWidth="1"/>
    <col min="1042" max="1042" width="10.109375" style="3069" customWidth="1"/>
    <col min="1043" max="1043" width="10" style="3069" customWidth="1"/>
    <col min="1044" max="1044" width="26.109375" style="3069" customWidth="1"/>
    <col min="1045" max="1280" width="8.88671875" style="3069"/>
    <col min="1281" max="1281" width="9.44140625" style="3069" customWidth="1"/>
    <col min="1282" max="1282" width="8.88671875" style="3069"/>
    <col min="1283" max="1285" width="12.88671875" style="3069" customWidth="1"/>
    <col min="1286" max="1286" width="47.44140625" style="3069" customWidth="1"/>
    <col min="1287" max="1287" width="13" style="3069" customWidth="1"/>
    <col min="1288" max="1289" width="8.88671875" style="3069"/>
    <col min="1290" max="1290" width="5.77734375" style="3069" customWidth="1"/>
    <col min="1291" max="1291" width="11.77734375" style="3069" customWidth="1"/>
    <col min="1292" max="1293" width="10.77734375" style="3069" customWidth="1"/>
    <col min="1294" max="1294" width="10" style="3069" customWidth="1"/>
    <col min="1295" max="1296" width="10.44140625" style="3069" bestFit="1" customWidth="1"/>
    <col min="1297" max="1297" width="10" style="3069" customWidth="1"/>
    <col min="1298" max="1298" width="10.109375" style="3069" customWidth="1"/>
    <col min="1299" max="1299" width="10" style="3069" customWidth="1"/>
    <col min="1300" max="1300" width="26.109375" style="3069" customWidth="1"/>
    <col min="1301" max="1536" width="8.88671875" style="3069"/>
    <col min="1537" max="1537" width="9.44140625" style="3069" customWidth="1"/>
    <col min="1538" max="1538" width="8.88671875" style="3069"/>
    <col min="1539" max="1541" width="12.88671875" style="3069" customWidth="1"/>
    <col min="1542" max="1542" width="47.44140625" style="3069" customWidth="1"/>
    <col min="1543" max="1543" width="13" style="3069" customWidth="1"/>
    <col min="1544" max="1545" width="8.88671875" style="3069"/>
    <col min="1546" max="1546" width="5.77734375" style="3069" customWidth="1"/>
    <col min="1547" max="1547" width="11.77734375" style="3069" customWidth="1"/>
    <col min="1548" max="1549" width="10.77734375" style="3069" customWidth="1"/>
    <col min="1550" max="1550" width="10" style="3069" customWidth="1"/>
    <col min="1551" max="1552" width="10.44140625" style="3069" bestFit="1" customWidth="1"/>
    <col min="1553" max="1553" width="10" style="3069" customWidth="1"/>
    <col min="1554" max="1554" width="10.109375" style="3069" customWidth="1"/>
    <col min="1555" max="1555" width="10" style="3069" customWidth="1"/>
    <col min="1556" max="1556" width="26.109375" style="3069" customWidth="1"/>
    <col min="1557" max="1792" width="8.88671875" style="3069"/>
    <col min="1793" max="1793" width="9.44140625" style="3069" customWidth="1"/>
    <col min="1794" max="1794" width="8.88671875" style="3069"/>
    <col min="1795" max="1797" width="12.88671875" style="3069" customWidth="1"/>
    <col min="1798" max="1798" width="47.44140625" style="3069" customWidth="1"/>
    <col min="1799" max="1799" width="13" style="3069" customWidth="1"/>
    <col min="1800" max="1801" width="8.88671875" style="3069"/>
    <col min="1802" max="1802" width="5.77734375" style="3069" customWidth="1"/>
    <col min="1803" max="1803" width="11.77734375" style="3069" customWidth="1"/>
    <col min="1804" max="1805" width="10.77734375" style="3069" customWidth="1"/>
    <col min="1806" max="1806" width="10" style="3069" customWidth="1"/>
    <col min="1807" max="1808" width="10.44140625" style="3069" bestFit="1" customWidth="1"/>
    <col min="1809" max="1809" width="10" style="3069" customWidth="1"/>
    <col min="1810" max="1810" width="10.109375" style="3069" customWidth="1"/>
    <col min="1811" max="1811" width="10" style="3069" customWidth="1"/>
    <col min="1812" max="1812" width="26.109375" style="3069" customWidth="1"/>
    <col min="1813" max="2048" width="8.88671875" style="3069"/>
    <col min="2049" max="2049" width="9.44140625" style="3069" customWidth="1"/>
    <col min="2050" max="2050" width="8.88671875" style="3069"/>
    <col min="2051" max="2053" width="12.88671875" style="3069" customWidth="1"/>
    <col min="2054" max="2054" width="47.44140625" style="3069" customWidth="1"/>
    <col min="2055" max="2055" width="13" style="3069" customWidth="1"/>
    <col min="2056" max="2057" width="8.88671875" style="3069"/>
    <col min="2058" max="2058" width="5.77734375" style="3069" customWidth="1"/>
    <col min="2059" max="2059" width="11.77734375" style="3069" customWidth="1"/>
    <col min="2060" max="2061" width="10.77734375" style="3069" customWidth="1"/>
    <col min="2062" max="2062" width="10" style="3069" customWidth="1"/>
    <col min="2063" max="2064" width="10.44140625" style="3069" bestFit="1" customWidth="1"/>
    <col min="2065" max="2065" width="10" style="3069" customWidth="1"/>
    <col min="2066" max="2066" width="10.109375" style="3069" customWidth="1"/>
    <col min="2067" max="2067" width="10" style="3069" customWidth="1"/>
    <col min="2068" max="2068" width="26.109375" style="3069" customWidth="1"/>
    <col min="2069" max="2304" width="8.88671875" style="3069"/>
    <col min="2305" max="2305" width="9.44140625" style="3069" customWidth="1"/>
    <col min="2306" max="2306" width="8.88671875" style="3069"/>
    <col min="2307" max="2309" width="12.88671875" style="3069" customWidth="1"/>
    <col min="2310" max="2310" width="47.44140625" style="3069" customWidth="1"/>
    <col min="2311" max="2311" width="13" style="3069" customWidth="1"/>
    <col min="2312" max="2313" width="8.88671875" style="3069"/>
    <col min="2314" max="2314" width="5.77734375" style="3069" customWidth="1"/>
    <col min="2315" max="2315" width="11.77734375" style="3069" customWidth="1"/>
    <col min="2316" max="2317" width="10.77734375" style="3069" customWidth="1"/>
    <col min="2318" max="2318" width="10" style="3069" customWidth="1"/>
    <col min="2319" max="2320" width="10.44140625" style="3069" bestFit="1" customWidth="1"/>
    <col min="2321" max="2321" width="10" style="3069" customWidth="1"/>
    <col min="2322" max="2322" width="10.109375" style="3069" customWidth="1"/>
    <col min="2323" max="2323" width="10" style="3069" customWidth="1"/>
    <col min="2324" max="2324" width="26.109375" style="3069" customWidth="1"/>
    <col min="2325" max="2560" width="8.88671875" style="3069"/>
    <col min="2561" max="2561" width="9.44140625" style="3069" customWidth="1"/>
    <col min="2562" max="2562" width="8.88671875" style="3069"/>
    <col min="2563" max="2565" width="12.88671875" style="3069" customWidth="1"/>
    <col min="2566" max="2566" width="47.44140625" style="3069" customWidth="1"/>
    <col min="2567" max="2567" width="13" style="3069" customWidth="1"/>
    <col min="2568" max="2569" width="8.88671875" style="3069"/>
    <col min="2570" max="2570" width="5.77734375" style="3069" customWidth="1"/>
    <col min="2571" max="2571" width="11.77734375" style="3069" customWidth="1"/>
    <col min="2572" max="2573" width="10.77734375" style="3069" customWidth="1"/>
    <col min="2574" max="2574" width="10" style="3069" customWidth="1"/>
    <col min="2575" max="2576" width="10.44140625" style="3069" bestFit="1" customWidth="1"/>
    <col min="2577" max="2577" width="10" style="3069" customWidth="1"/>
    <col min="2578" max="2578" width="10.109375" style="3069" customWidth="1"/>
    <col min="2579" max="2579" width="10" style="3069" customWidth="1"/>
    <col min="2580" max="2580" width="26.109375" style="3069" customWidth="1"/>
    <col min="2581" max="2816" width="8.88671875" style="3069"/>
    <col min="2817" max="2817" width="9.44140625" style="3069" customWidth="1"/>
    <col min="2818" max="2818" width="8.88671875" style="3069"/>
    <col min="2819" max="2821" width="12.88671875" style="3069" customWidth="1"/>
    <col min="2822" max="2822" width="47.44140625" style="3069" customWidth="1"/>
    <col min="2823" max="2823" width="13" style="3069" customWidth="1"/>
    <col min="2824" max="2825" width="8.88671875" style="3069"/>
    <col min="2826" max="2826" width="5.77734375" style="3069" customWidth="1"/>
    <col min="2827" max="2827" width="11.77734375" style="3069" customWidth="1"/>
    <col min="2828" max="2829" width="10.77734375" style="3069" customWidth="1"/>
    <col min="2830" max="2830" width="10" style="3069" customWidth="1"/>
    <col min="2831" max="2832" width="10.44140625" style="3069" bestFit="1" customWidth="1"/>
    <col min="2833" max="2833" width="10" style="3069" customWidth="1"/>
    <col min="2834" max="2834" width="10.109375" style="3069" customWidth="1"/>
    <col min="2835" max="2835" width="10" style="3069" customWidth="1"/>
    <col min="2836" max="2836" width="26.109375" style="3069" customWidth="1"/>
    <col min="2837" max="3072" width="8.88671875" style="3069"/>
    <col min="3073" max="3073" width="9.44140625" style="3069" customWidth="1"/>
    <col min="3074" max="3074" width="8.88671875" style="3069"/>
    <col min="3075" max="3077" width="12.88671875" style="3069" customWidth="1"/>
    <col min="3078" max="3078" width="47.44140625" style="3069" customWidth="1"/>
    <col min="3079" max="3079" width="13" style="3069" customWidth="1"/>
    <col min="3080" max="3081" width="8.88671875" style="3069"/>
    <col min="3082" max="3082" width="5.77734375" style="3069" customWidth="1"/>
    <col min="3083" max="3083" width="11.77734375" style="3069" customWidth="1"/>
    <col min="3084" max="3085" width="10.77734375" style="3069" customWidth="1"/>
    <col min="3086" max="3086" width="10" style="3069" customWidth="1"/>
    <col min="3087" max="3088" width="10.44140625" style="3069" bestFit="1" customWidth="1"/>
    <col min="3089" max="3089" width="10" style="3069" customWidth="1"/>
    <col min="3090" max="3090" width="10.109375" style="3069" customWidth="1"/>
    <col min="3091" max="3091" width="10" style="3069" customWidth="1"/>
    <col min="3092" max="3092" width="26.109375" style="3069" customWidth="1"/>
    <col min="3093" max="3328" width="8.88671875" style="3069"/>
    <col min="3329" max="3329" width="9.44140625" style="3069" customWidth="1"/>
    <col min="3330" max="3330" width="8.88671875" style="3069"/>
    <col min="3331" max="3333" width="12.88671875" style="3069" customWidth="1"/>
    <col min="3334" max="3334" width="47.44140625" style="3069" customWidth="1"/>
    <col min="3335" max="3335" width="13" style="3069" customWidth="1"/>
    <col min="3336" max="3337" width="8.88671875" style="3069"/>
    <col min="3338" max="3338" width="5.77734375" style="3069" customWidth="1"/>
    <col min="3339" max="3339" width="11.77734375" style="3069" customWidth="1"/>
    <col min="3340" max="3341" width="10.77734375" style="3069" customWidth="1"/>
    <col min="3342" max="3342" width="10" style="3069" customWidth="1"/>
    <col min="3343" max="3344" width="10.44140625" style="3069" bestFit="1" customWidth="1"/>
    <col min="3345" max="3345" width="10" style="3069" customWidth="1"/>
    <col min="3346" max="3346" width="10.109375" style="3069" customWidth="1"/>
    <col min="3347" max="3347" width="10" style="3069" customWidth="1"/>
    <col min="3348" max="3348" width="26.109375" style="3069" customWidth="1"/>
    <col min="3349" max="3584" width="8.88671875" style="3069"/>
    <col min="3585" max="3585" width="9.44140625" style="3069" customWidth="1"/>
    <col min="3586" max="3586" width="8.88671875" style="3069"/>
    <col min="3587" max="3589" width="12.88671875" style="3069" customWidth="1"/>
    <col min="3590" max="3590" width="47.44140625" style="3069" customWidth="1"/>
    <col min="3591" max="3591" width="13" style="3069" customWidth="1"/>
    <col min="3592" max="3593" width="8.88671875" style="3069"/>
    <col min="3594" max="3594" width="5.77734375" style="3069" customWidth="1"/>
    <col min="3595" max="3595" width="11.77734375" style="3069" customWidth="1"/>
    <col min="3596" max="3597" width="10.77734375" style="3069" customWidth="1"/>
    <col min="3598" max="3598" width="10" style="3069" customWidth="1"/>
    <col min="3599" max="3600" width="10.44140625" style="3069" bestFit="1" customWidth="1"/>
    <col min="3601" max="3601" width="10" style="3069" customWidth="1"/>
    <col min="3602" max="3602" width="10.109375" style="3069" customWidth="1"/>
    <col min="3603" max="3603" width="10" style="3069" customWidth="1"/>
    <col min="3604" max="3604" width="26.109375" style="3069" customWidth="1"/>
    <col min="3605" max="3840" width="8.88671875" style="3069"/>
    <col min="3841" max="3841" width="9.44140625" style="3069" customWidth="1"/>
    <col min="3842" max="3842" width="8.88671875" style="3069"/>
    <col min="3843" max="3845" width="12.88671875" style="3069" customWidth="1"/>
    <col min="3846" max="3846" width="47.44140625" style="3069" customWidth="1"/>
    <col min="3847" max="3847" width="13" style="3069" customWidth="1"/>
    <col min="3848" max="3849" width="8.88671875" style="3069"/>
    <col min="3850" max="3850" width="5.77734375" style="3069" customWidth="1"/>
    <col min="3851" max="3851" width="11.77734375" style="3069" customWidth="1"/>
    <col min="3852" max="3853" width="10.77734375" style="3069" customWidth="1"/>
    <col min="3854" max="3854" width="10" style="3069" customWidth="1"/>
    <col min="3855" max="3856" width="10.44140625" style="3069" bestFit="1" customWidth="1"/>
    <col min="3857" max="3857" width="10" style="3069" customWidth="1"/>
    <col min="3858" max="3858" width="10.109375" style="3069" customWidth="1"/>
    <col min="3859" max="3859" width="10" style="3069" customWidth="1"/>
    <col min="3860" max="3860" width="26.109375" style="3069" customWidth="1"/>
    <col min="3861" max="4096" width="8.88671875" style="3069"/>
    <col min="4097" max="4097" width="9.44140625" style="3069" customWidth="1"/>
    <col min="4098" max="4098" width="8.88671875" style="3069"/>
    <col min="4099" max="4101" width="12.88671875" style="3069" customWidth="1"/>
    <col min="4102" max="4102" width="47.44140625" style="3069" customWidth="1"/>
    <col min="4103" max="4103" width="13" style="3069" customWidth="1"/>
    <col min="4104" max="4105" width="8.88671875" style="3069"/>
    <col min="4106" max="4106" width="5.77734375" style="3069" customWidth="1"/>
    <col min="4107" max="4107" width="11.77734375" style="3069" customWidth="1"/>
    <col min="4108" max="4109" width="10.77734375" style="3069" customWidth="1"/>
    <col min="4110" max="4110" width="10" style="3069" customWidth="1"/>
    <col min="4111" max="4112" width="10.44140625" style="3069" bestFit="1" customWidth="1"/>
    <col min="4113" max="4113" width="10" style="3069" customWidth="1"/>
    <col min="4114" max="4114" width="10.109375" style="3069" customWidth="1"/>
    <col min="4115" max="4115" width="10" style="3069" customWidth="1"/>
    <col min="4116" max="4116" width="26.109375" style="3069" customWidth="1"/>
    <col min="4117" max="4352" width="8.88671875" style="3069"/>
    <col min="4353" max="4353" width="9.44140625" style="3069" customWidth="1"/>
    <col min="4354" max="4354" width="8.88671875" style="3069"/>
    <col min="4355" max="4357" width="12.88671875" style="3069" customWidth="1"/>
    <col min="4358" max="4358" width="47.44140625" style="3069" customWidth="1"/>
    <col min="4359" max="4359" width="13" style="3069" customWidth="1"/>
    <col min="4360" max="4361" width="8.88671875" style="3069"/>
    <col min="4362" max="4362" width="5.77734375" style="3069" customWidth="1"/>
    <col min="4363" max="4363" width="11.77734375" style="3069" customWidth="1"/>
    <col min="4364" max="4365" width="10.77734375" style="3069" customWidth="1"/>
    <col min="4366" max="4366" width="10" style="3069" customWidth="1"/>
    <col min="4367" max="4368" width="10.44140625" style="3069" bestFit="1" customWidth="1"/>
    <col min="4369" max="4369" width="10" style="3069" customWidth="1"/>
    <col min="4370" max="4370" width="10.109375" style="3069" customWidth="1"/>
    <col min="4371" max="4371" width="10" style="3069" customWidth="1"/>
    <col min="4372" max="4372" width="26.109375" style="3069" customWidth="1"/>
    <col min="4373" max="4608" width="8.88671875" style="3069"/>
    <col min="4609" max="4609" width="9.44140625" style="3069" customWidth="1"/>
    <col min="4610" max="4610" width="8.88671875" style="3069"/>
    <col min="4611" max="4613" width="12.88671875" style="3069" customWidth="1"/>
    <col min="4614" max="4614" width="47.44140625" style="3069" customWidth="1"/>
    <col min="4615" max="4615" width="13" style="3069" customWidth="1"/>
    <col min="4616" max="4617" width="8.88671875" style="3069"/>
    <col min="4618" max="4618" width="5.77734375" style="3069" customWidth="1"/>
    <col min="4619" max="4619" width="11.77734375" style="3069" customWidth="1"/>
    <col min="4620" max="4621" width="10.77734375" style="3069" customWidth="1"/>
    <col min="4622" max="4622" width="10" style="3069" customWidth="1"/>
    <col min="4623" max="4624" width="10.44140625" style="3069" bestFit="1" customWidth="1"/>
    <col min="4625" max="4625" width="10" style="3069" customWidth="1"/>
    <col min="4626" max="4626" width="10.109375" style="3069" customWidth="1"/>
    <col min="4627" max="4627" width="10" style="3069" customWidth="1"/>
    <col min="4628" max="4628" width="26.109375" style="3069" customWidth="1"/>
    <col min="4629" max="4864" width="8.88671875" style="3069"/>
    <col min="4865" max="4865" width="9.44140625" style="3069" customWidth="1"/>
    <col min="4866" max="4866" width="8.88671875" style="3069"/>
    <col min="4867" max="4869" width="12.88671875" style="3069" customWidth="1"/>
    <col min="4870" max="4870" width="47.44140625" style="3069" customWidth="1"/>
    <col min="4871" max="4871" width="13" style="3069" customWidth="1"/>
    <col min="4872" max="4873" width="8.88671875" style="3069"/>
    <col min="4874" max="4874" width="5.77734375" style="3069" customWidth="1"/>
    <col min="4875" max="4875" width="11.77734375" style="3069" customWidth="1"/>
    <col min="4876" max="4877" width="10.77734375" style="3069" customWidth="1"/>
    <col min="4878" max="4878" width="10" style="3069" customWidth="1"/>
    <col min="4879" max="4880" width="10.44140625" style="3069" bestFit="1" customWidth="1"/>
    <col min="4881" max="4881" width="10" style="3069" customWidth="1"/>
    <col min="4882" max="4882" width="10.109375" style="3069" customWidth="1"/>
    <col min="4883" max="4883" width="10" style="3069" customWidth="1"/>
    <col min="4884" max="4884" width="26.109375" style="3069" customWidth="1"/>
    <col min="4885" max="5120" width="8.88671875" style="3069"/>
    <col min="5121" max="5121" width="9.44140625" style="3069" customWidth="1"/>
    <col min="5122" max="5122" width="8.88671875" style="3069"/>
    <col min="5123" max="5125" width="12.88671875" style="3069" customWidth="1"/>
    <col min="5126" max="5126" width="47.44140625" style="3069" customWidth="1"/>
    <col min="5127" max="5127" width="13" style="3069" customWidth="1"/>
    <col min="5128" max="5129" width="8.88671875" style="3069"/>
    <col min="5130" max="5130" width="5.77734375" style="3069" customWidth="1"/>
    <col min="5131" max="5131" width="11.77734375" style="3069" customWidth="1"/>
    <col min="5132" max="5133" width="10.77734375" style="3069" customWidth="1"/>
    <col min="5134" max="5134" width="10" style="3069" customWidth="1"/>
    <col min="5135" max="5136" width="10.44140625" style="3069" bestFit="1" customWidth="1"/>
    <col min="5137" max="5137" width="10" style="3069" customWidth="1"/>
    <col min="5138" max="5138" width="10.109375" style="3069" customWidth="1"/>
    <col min="5139" max="5139" width="10" style="3069" customWidth="1"/>
    <col min="5140" max="5140" width="26.109375" style="3069" customWidth="1"/>
    <col min="5141" max="5376" width="8.88671875" style="3069"/>
    <col min="5377" max="5377" width="9.44140625" style="3069" customWidth="1"/>
    <col min="5378" max="5378" width="8.88671875" style="3069"/>
    <col min="5379" max="5381" width="12.88671875" style="3069" customWidth="1"/>
    <col min="5382" max="5382" width="47.44140625" style="3069" customWidth="1"/>
    <col min="5383" max="5383" width="13" style="3069" customWidth="1"/>
    <col min="5384" max="5385" width="8.88671875" style="3069"/>
    <col min="5386" max="5386" width="5.77734375" style="3069" customWidth="1"/>
    <col min="5387" max="5387" width="11.77734375" style="3069" customWidth="1"/>
    <col min="5388" max="5389" width="10.77734375" style="3069" customWidth="1"/>
    <col min="5390" max="5390" width="10" style="3069" customWidth="1"/>
    <col min="5391" max="5392" width="10.44140625" style="3069" bestFit="1" customWidth="1"/>
    <col min="5393" max="5393" width="10" style="3069" customWidth="1"/>
    <col min="5394" max="5394" width="10.109375" style="3069" customWidth="1"/>
    <col min="5395" max="5395" width="10" style="3069" customWidth="1"/>
    <col min="5396" max="5396" width="26.109375" style="3069" customWidth="1"/>
    <col min="5397" max="5632" width="8.88671875" style="3069"/>
    <col min="5633" max="5633" width="9.44140625" style="3069" customWidth="1"/>
    <col min="5634" max="5634" width="8.88671875" style="3069"/>
    <col min="5635" max="5637" width="12.88671875" style="3069" customWidth="1"/>
    <col min="5638" max="5638" width="47.44140625" style="3069" customWidth="1"/>
    <col min="5639" max="5639" width="13" style="3069" customWidth="1"/>
    <col min="5640" max="5641" width="8.88671875" style="3069"/>
    <col min="5642" max="5642" width="5.77734375" style="3069" customWidth="1"/>
    <col min="5643" max="5643" width="11.77734375" style="3069" customWidth="1"/>
    <col min="5644" max="5645" width="10.77734375" style="3069" customWidth="1"/>
    <col min="5646" max="5646" width="10" style="3069" customWidth="1"/>
    <col min="5647" max="5648" width="10.44140625" style="3069" bestFit="1" customWidth="1"/>
    <col min="5649" max="5649" width="10" style="3069" customWidth="1"/>
    <col min="5650" max="5650" width="10.109375" style="3069" customWidth="1"/>
    <col min="5651" max="5651" width="10" style="3069" customWidth="1"/>
    <col min="5652" max="5652" width="26.109375" style="3069" customWidth="1"/>
    <col min="5653" max="5888" width="8.88671875" style="3069"/>
    <col min="5889" max="5889" width="9.44140625" style="3069" customWidth="1"/>
    <col min="5890" max="5890" width="8.88671875" style="3069"/>
    <col min="5891" max="5893" width="12.88671875" style="3069" customWidth="1"/>
    <col min="5894" max="5894" width="47.44140625" style="3069" customWidth="1"/>
    <col min="5895" max="5895" width="13" style="3069" customWidth="1"/>
    <col min="5896" max="5897" width="8.88671875" style="3069"/>
    <col min="5898" max="5898" width="5.77734375" style="3069" customWidth="1"/>
    <col min="5899" max="5899" width="11.77734375" style="3069" customWidth="1"/>
    <col min="5900" max="5901" width="10.77734375" style="3069" customWidth="1"/>
    <col min="5902" max="5902" width="10" style="3069" customWidth="1"/>
    <col min="5903" max="5904" width="10.44140625" style="3069" bestFit="1" customWidth="1"/>
    <col min="5905" max="5905" width="10" style="3069" customWidth="1"/>
    <col min="5906" max="5906" width="10.109375" style="3069" customWidth="1"/>
    <col min="5907" max="5907" width="10" style="3069" customWidth="1"/>
    <col min="5908" max="5908" width="26.109375" style="3069" customWidth="1"/>
    <col min="5909" max="6144" width="8.88671875" style="3069"/>
    <col min="6145" max="6145" width="9.44140625" style="3069" customWidth="1"/>
    <col min="6146" max="6146" width="8.88671875" style="3069"/>
    <col min="6147" max="6149" width="12.88671875" style="3069" customWidth="1"/>
    <col min="6150" max="6150" width="47.44140625" style="3069" customWidth="1"/>
    <col min="6151" max="6151" width="13" style="3069" customWidth="1"/>
    <col min="6152" max="6153" width="8.88671875" style="3069"/>
    <col min="6154" max="6154" width="5.77734375" style="3069" customWidth="1"/>
    <col min="6155" max="6155" width="11.77734375" style="3069" customWidth="1"/>
    <col min="6156" max="6157" width="10.77734375" style="3069" customWidth="1"/>
    <col min="6158" max="6158" width="10" style="3069" customWidth="1"/>
    <col min="6159" max="6160" width="10.44140625" style="3069" bestFit="1" customWidth="1"/>
    <col min="6161" max="6161" width="10" style="3069" customWidth="1"/>
    <col min="6162" max="6162" width="10.109375" style="3069" customWidth="1"/>
    <col min="6163" max="6163" width="10" style="3069" customWidth="1"/>
    <col min="6164" max="6164" width="26.109375" style="3069" customWidth="1"/>
    <col min="6165" max="6400" width="8.88671875" style="3069"/>
    <col min="6401" max="6401" width="9.44140625" style="3069" customWidth="1"/>
    <col min="6402" max="6402" width="8.88671875" style="3069"/>
    <col min="6403" max="6405" width="12.88671875" style="3069" customWidth="1"/>
    <col min="6406" max="6406" width="47.44140625" style="3069" customWidth="1"/>
    <col min="6407" max="6407" width="13" style="3069" customWidth="1"/>
    <col min="6408" max="6409" width="8.88671875" style="3069"/>
    <col min="6410" max="6410" width="5.77734375" style="3069" customWidth="1"/>
    <col min="6411" max="6411" width="11.77734375" style="3069" customWidth="1"/>
    <col min="6412" max="6413" width="10.77734375" style="3069" customWidth="1"/>
    <col min="6414" max="6414" width="10" style="3069" customWidth="1"/>
    <col min="6415" max="6416" width="10.44140625" style="3069" bestFit="1" customWidth="1"/>
    <col min="6417" max="6417" width="10" style="3069" customWidth="1"/>
    <col min="6418" max="6418" width="10.109375" style="3069" customWidth="1"/>
    <col min="6419" max="6419" width="10" style="3069" customWidth="1"/>
    <col min="6420" max="6420" width="26.109375" style="3069" customWidth="1"/>
    <col min="6421" max="6656" width="8.88671875" style="3069"/>
    <col min="6657" max="6657" width="9.44140625" style="3069" customWidth="1"/>
    <col min="6658" max="6658" width="8.88671875" style="3069"/>
    <col min="6659" max="6661" width="12.88671875" style="3069" customWidth="1"/>
    <col min="6662" max="6662" width="47.44140625" style="3069" customWidth="1"/>
    <col min="6663" max="6663" width="13" style="3069" customWidth="1"/>
    <col min="6664" max="6665" width="8.88671875" style="3069"/>
    <col min="6666" max="6666" width="5.77734375" style="3069" customWidth="1"/>
    <col min="6667" max="6667" width="11.77734375" style="3069" customWidth="1"/>
    <col min="6668" max="6669" width="10.77734375" style="3069" customWidth="1"/>
    <col min="6670" max="6670" width="10" style="3069" customWidth="1"/>
    <col min="6671" max="6672" width="10.44140625" style="3069" bestFit="1" customWidth="1"/>
    <col min="6673" max="6673" width="10" style="3069" customWidth="1"/>
    <col min="6674" max="6674" width="10.109375" style="3069" customWidth="1"/>
    <col min="6675" max="6675" width="10" style="3069" customWidth="1"/>
    <col min="6676" max="6676" width="26.109375" style="3069" customWidth="1"/>
    <col min="6677" max="6912" width="8.88671875" style="3069"/>
    <col min="6913" max="6913" width="9.44140625" style="3069" customWidth="1"/>
    <col min="6914" max="6914" width="8.88671875" style="3069"/>
    <col min="6915" max="6917" width="12.88671875" style="3069" customWidth="1"/>
    <col min="6918" max="6918" width="47.44140625" style="3069" customWidth="1"/>
    <col min="6919" max="6919" width="13" style="3069" customWidth="1"/>
    <col min="6920" max="6921" width="8.88671875" style="3069"/>
    <col min="6922" max="6922" width="5.77734375" style="3069" customWidth="1"/>
    <col min="6923" max="6923" width="11.77734375" style="3069" customWidth="1"/>
    <col min="6924" max="6925" width="10.77734375" style="3069" customWidth="1"/>
    <col min="6926" max="6926" width="10" style="3069" customWidth="1"/>
    <col min="6927" max="6928" width="10.44140625" style="3069" bestFit="1" customWidth="1"/>
    <col min="6929" max="6929" width="10" style="3069" customWidth="1"/>
    <col min="6930" max="6930" width="10.109375" style="3069" customWidth="1"/>
    <col min="6931" max="6931" width="10" style="3069" customWidth="1"/>
    <col min="6932" max="6932" width="26.109375" style="3069" customWidth="1"/>
    <col min="6933" max="7168" width="8.88671875" style="3069"/>
    <col min="7169" max="7169" width="9.44140625" style="3069" customWidth="1"/>
    <col min="7170" max="7170" width="8.88671875" style="3069"/>
    <col min="7171" max="7173" width="12.88671875" style="3069" customWidth="1"/>
    <col min="7174" max="7174" width="47.44140625" style="3069" customWidth="1"/>
    <col min="7175" max="7175" width="13" style="3069" customWidth="1"/>
    <col min="7176" max="7177" width="8.88671875" style="3069"/>
    <col min="7178" max="7178" width="5.77734375" style="3069" customWidth="1"/>
    <col min="7179" max="7179" width="11.77734375" style="3069" customWidth="1"/>
    <col min="7180" max="7181" width="10.77734375" style="3069" customWidth="1"/>
    <col min="7182" max="7182" width="10" style="3069" customWidth="1"/>
    <col min="7183" max="7184" width="10.44140625" style="3069" bestFit="1" customWidth="1"/>
    <col min="7185" max="7185" width="10" style="3069" customWidth="1"/>
    <col min="7186" max="7186" width="10.109375" style="3069" customWidth="1"/>
    <col min="7187" max="7187" width="10" style="3069" customWidth="1"/>
    <col min="7188" max="7188" width="26.109375" style="3069" customWidth="1"/>
    <col min="7189" max="7424" width="8.88671875" style="3069"/>
    <col min="7425" max="7425" width="9.44140625" style="3069" customWidth="1"/>
    <col min="7426" max="7426" width="8.88671875" style="3069"/>
    <col min="7427" max="7429" width="12.88671875" style="3069" customWidth="1"/>
    <col min="7430" max="7430" width="47.44140625" style="3069" customWidth="1"/>
    <col min="7431" max="7431" width="13" style="3069" customWidth="1"/>
    <col min="7432" max="7433" width="8.88671875" style="3069"/>
    <col min="7434" max="7434" width="5.77734375" style="3069" customWidth="1"/>
    <col min="7435" max="7435" width="11.77734375" style="3069" customWidth="1"/>
    <col min="7436" max="7437" width="10.77734375" style="3069" customWidth="1"/>
    <col min="7438" max="7438" width="10" style="3069" customWidth="1"/>
    <col min="7439" max="7440" width="10.44140625" style="3069" bestFit="1" customWidth="1"/>
    <col min="7441" max="7441" width="10" style="3069" customWidth="1"/>
    <col min="7442" max="7442" width="10.109375" style="3069" customWidth="1"/>
    <col min="7443" max="7443" width="10" style="3069" customWidth="1"/>
    <col min="7444" max="7444" width="26.109375" style="3069" customWidth="1"/>
    <col min="7445" max="7680" width="8.88671875" style="3069"/>
    <col min="7681" max="7681" width="9.44140625" style="3069" customWidth="1"/>
    <col min="7682" max="7682" width="8.88671875" style="3069"/>
    <col min="7683" max="7685" width="12.88671875" style="3069" customWidth="1"/>
    <col min="7686" max="7686" width="47.44140625" style="3069" customWidth="1"/>
    <col min="7687" max="7687" width="13" style="3069" customWidth="1"/>
    <col min="7688" max="7689" width="8.88671875" style="3069"/>
    <col min="7690" max="7690" width="5.77734375" style="3069" customWidth="1"/>
    <col min="7691" max="7691" width="11.77734375" style="3069" customWidth="1"/>
    <col min="7692" max="7693" width="10.77734375" style="3069" customWidth="1"/>
    <col min="7694" max="7694" width="10" style="3069" customWidth="1"/>
    <col min="7695" max="7696" width="10.44140625" style="3069" bestFit="1" customWidth="1"/>
    <col min="7697" max="7697" width="10" style="3069" customWidth="1"/>
    <col min="7698" max="7698" width="10.109375" style="3069" customWidth="1"/>
    <col min="7699" max="7699" width="10" style="3069" customWidth="1"/>
    <col min="7700" max="7700" width="26.109375" style="3069" customWidth="1"/>
    <col min="7701" max="7936" width="8.88671875" style="3069"/>
    <col min="7937" max="7937" width="9.44140625" style="3069" customWidth="1"/>
    <col min="7938" max="7938" width="8.88671875" style="3069"/>
    <col min="7939" max="7941" width="12.88671875" style="3069" customWidth="1"/>
    <col min="7942" max="7942" width="47.44140625" style="3069" customWidth="1"/>
    <col min="7943" max="7943" width="13" style="3069" customWidth="1"/>
    <col min="7944" max="7945" width="8.88671875" style="3069"/>
    <col min="7946" max="7946" width="5.77734375" style="3069" customWidth="1"/>
    <col min="7947" max="7947" width="11.77734375" style="3069" customWidth="1"/>
    <col min="7948" max="7949" width="10.77734375" style="3069" customWidth="1"/>
    <col min="7950" max="7950" width="10" style="3069" customWidth="1"/>
    <col min="7951" max="7952" width="10.44140625" style="3069" bestFit="1" customWidth="1"/>
    <col min="7953" max="7953" width="10" style="3069" customWidth="1"/>
    <col min="7954" max="7954" width="10.109375" style="3069" customWidth="1"/>
    <col min="7955" max="7955" width="10" style="3069" customWidth="1"/>
    <col min="7956" max="7956" width="26.109375" style="3069" customWidth="1"/>
    <col min="7957" max="8192" width="8.88671875" style="3069"/>
    <col min="8193" max="8193" width="9.44140625" style="3069" customWidth="1"/>
    <col min="8194" max="8194" width="8.88671875" style="3069"/>
    <col min="8195" max="8197" width="12.88671875" style="3069" customWidth="1"/>
    <col min="8198" max="8198" width="47.44140625" style="3069" customWidth="1"/>
    <col min="8199" max="8199" width="13" style="3069" customWidth="1"/>
    <col min="8200" max="8201" width="8.88671875" style="3069"/>
    <col min="8202" max="8202" width="5.77734375" style="3069" customWidth="1"/>
    <col min="8203" max="8203" width="11.77734375" style="3069" customWidth="1"/>
    <col min="8204" max="8205" width="10.77734375" style="3069" customWidth="1"/>
    <col min="8206" max="8206" width="10" style="3069" customWidth="1"/>
    <col min="8207" max="8208" width="10.44140625" style="3069" bestFit="1" customWidth="1"/>
    <col min="8209" max="8209" width="10" style="3069" customWidth="1"/>
    <col min="8210" max="8210" width="10.109375" style="3069" customWidth="1"/>
    <col min="8211" max="8211" width="10" style="3069" customWidth="1"/>
    <col min="8212" max="8212" width="26.109375" style="3069" customWidth="1"/>
    <col min="8213" max="8448" width="8.88671875" style="3069"/>
    <col min="8449" max="8449" width="9.44140625" style="3069" customWidth="1"/>
    <col min="8450" max="8450" width="8.88671875" style="3069"/>
    <col min="8451" max="8453" width="12.88671875" style="3069" customWidth="1"/>
    <col min="8454" max="8454" width="47.44140625" style="3069" customWidth="1"/>
    <col min="8455" max="8455" width="13" style="3069" customWidth="1"/>
    <col min="8456" max="8457" width="8.88671875" style="3069"/>
    <col min="8458" max="8458" width="5.77734375" style="3069" customWidth="1"/>
    <col min="8459" max="8459" width="11.77734375" style="3069" customWidth="1"/>
    <col min="8460" max="8461" width="10.77734375" style="3069" customWidth="1"/>
    <col min="8462" max="8462" width="10" style="3069" customWidth="1"/>
    <col min="8463" max="8464" width="10.44140625" style="3069" bestFit="1" customWidth="1"/>
    <col min="8465" max="8465" width="10" style="3069" customWidth="1"/>
    <col min="8466" max="8466" width="10.109375" style="3069" customWidth="1"/>
    <col min="8467" max="8467" width="10" style="3069" customWidth="1"/>
    <col min="8468" max="8468" width="26.109375" style="3069" customWidth="1"/>
    <col min="8469" max="8704" width="8.88671875" style="3069"/>
    <col min="8705" max="8705" width="9.44140625" style="3069" customWidth="1"/>
    <col min="8706" max="8706" width="8.88671875" style="3069"/>
    <col min="8707" max="8709" width="12.88671875" style="3069" customWidth="1"/>
    <col min="8710" max="8710" width="47.44140625" style="3069" customWidth="1"/>
    <col min="8711" max="8711" width="13" style="3069" customWidth="1"/>
    <col min="8712" max="8713" width="8.88671875" style="3069"/>
    <col min="8714" max="8714" width="5.77734375" style="3069" customWidth="1"/>
    <col min="8715" max="8715" width="11.77734375" style="3069" customWidth="1"/>
    <col min="8716" max="8717" width="10.77734375" style="3069" customWidth="1"/>
    <col min="8718" max="8718" width="10" style="3069" customWidth="1"/>
    <col min="8719" max="8720" width="10.44140625" style="3069" bestFit="1" customWidth="1"/>
    <col min="8721" max="8721" width="10" style="3069" customWidth="1"/>
    <col min="8722" max="8722" width="10.109375" style="3069" customWidth="1"/>
    <col min="8723" max="8723" width="10" style="3069" customWidth="1"/>
    <col min="8724" max="8724" width="26.109375" style="3069" customWidth="1"/>
    <col min="8725" max="8960" width="8.88671875" style="3069"/>
    <col min="8961" max="8961" width="9.44140625" style="3069" customWidth="1"/>
    <col min="8962" max="8962" width="8.88671875" style="3069"/>
    <col min="8963" max="8965" width="12.88671875" style="3069" customWidth="1"/>
    <col min="8966" max="8966" width="47.44140625" style="3069" customWidth="1"/>
    <col min="8967" max="8967" width="13" style="3069" customWidth="1"/>
    <col min="8968" max="8969" width="8.88671875" style="3069"/>
    <col min="8970" max="8970" width="5.77734375" style="3069" customWidth="1"/>
    <col min="8971" max="8971" width="11.77734375" style="3069" customWidth="1"/>
    <col min="8972" max="8973" width="10.77734375" style="3069" customWidth="1"/>
    <col min="8974" max="8974" width="10" style="3069" customWidth="1"/>
    <col min="8975" max="8976" width="10.44140625" style="3069" bestFit="1" customWidth="1"/>
    <col min="8977" max="8977" width="10" style="3069" customWidth="1"/>
    <col min="8978" max="8978" width="10.109375" style="3069" customWidth="1"/>
    <col min="8979" max="8979" width="10" style="3069" customWidth="1"/>
    <col min="8980" max="8980" width="26.109375" style="3069" customWidth="1"/>
    <col min="8981" max="9216" width="8.88671875" style="3069"/>
    <col min="9217" max="9217" width="9.44140625" style="3069" customWidth="1"/>
    <col min="9218" max="9218" width="8.88671875" style="3069"/>
    <col min="9219" max="9221" width="12.88671875" style="3069" customWidth="1"/>
    <col min="9222" max="9222" width="47.44140625" style="3069" customWidth="1"/>
    <col min="9223" max="9223" width="13" style="3069" customWidth="1"/>
    <col min="9224" max="9225" width="8.88671875" style="3069"/>
    <col min="9226" max="9226" width="5.77734375" style="3069" customWidth="1"/>
    <col min="9227" max="9227" width="11.77734375" style="3069" customWidth="1"/>
    <col min="9228" max="9229" width="10.77734375" style="3069" customWidth="1"/>
    <col min="9230" max="9230" width="10" style="3069" customWidth="1"/>
    <col min="9231" max="9232" width="10.44140625" style="3069" bestFit="1" customWidth="1"/>
    <col min="9233" max="9233" width="10" style="3069" customWidth="1"/>
    <col min="9234" max="9234" width="10.109375" style="3069" customWidth="1"/>
    <col min="9235" max="9235" width="10" style="3069" customWidth="1"/>
    <col min="9236" max="9236" width="26.109375" style="3069" customWidth="1"/>
    <col min="9237" max="9472" width="8.88671875" style="3069"/>
    <col min="9473" max="9473" width="9.44140625" style="3069" customWidth="1"/>
    <col min="9474" max="9474" width="8.88671875" style="3069"/>
    <col min="9475" max="9477" width="12.88671875" style="3069" customWidth="1"/>
    <col min="9478" max="9478" width="47.44140625" style="3069" customWidth="1"/>
    <col min="9479" max="9479" width="13" style="3069" customWidth="1"/>
    <col min="9480" max="9481" width="8.88671875" style="3069"/>
    <col min="9482" max="9482" width="5.77734375" style="3069" customWidth="1"/>
    <col min="9483" max="9483" width="11.77734375" style="3069" customWidth="1"/>
    <col min="9484" max="9485" width="10.77734375" style="3069" customWidth="1"/>
    <col min="9486" max="9486" width="10" style="3069" customWidth="1"/>
    <col min="9487" max="9488" width="10.44140625" style="3069" bestFit="1" customWidth="1"/>
    <col min="9489" max="9489" width="10" style="3069" customWidth="1"/>
    <col min="9490" max="9490" width="10.109375" style="3069" customWidth="1"/>
    <col min="9491" max="9491" width="10" style="3069" customWidth="1"/>
    <col min="9492" max="9492" width="26.109375" style="3069" customWidth="1"/>
    <col min="9493" max="9728" width="8.88671875" style="3069"/>
    <col min="9729" max="9729" width="9.44140625" style="3069" customWidth="1"/>
    <col min="9730" max="9730" width="8.88671875" style="3069"/>
    <col min="9731" max="9733" width="12.88671875" style="3069" customWidth="1"/>
    <col min="9734" max="9734" width="47.44140625" style="3069" customWidth="1"/>
    <col min="9735" max="9735" width="13" style="3069" customWidth="1"/>
    <col min="9736" max="9737" width="8.88671875" style="3069"/>
    <col min="9738" max="9738" width="5.77734375" style="3069" customWidth="1"/>
    <col min="9739" max="9739" width="11.77734375" style="3069" customWidth="1"/>
    <col min="9740" max="9741" width="10.77734375" style="3069" customWidth="1"/>
    <col min="9742" max="9742" width="10" style="3069" customWidth="1"/>
    <col min="9743" max="9744" width="10.44140625" style="3069" bestFit="1" customWidth="1"/>
    <col min="9745" max="9745" width="10" style="3069" customWidth="1"/>
    <col min="9746" max="9746" width="10.109375" style="3069" customWidth="1"/>
    <col min="9747" max="9747" width="10" style="3069" customWidth="1"/>
    <col min="9748" max="9748" width="26.109375" style="3069" customWidth="1"/>
    <col min="9749" max="9984" width="8.88671875" style="3069"/>
    <col min="9985" max="9985" width="9.44140625" style="3069" customWidth="1"/>
    <col min="9986" max="9986" width="8.88671875" style="3069"/>
    <col min="9987" max="9989" width="12.88671875" style="3069" customWidth="1"/>
    <col min="9990" max="9990" width="47.44140625" style="3069" customWidth="1"/>
    <col min="9991" max="9991" width="13" style="3069" customWidth="1"/>
    <col min="9992" max="9993" width="8.88671875" style="3069"/>
    <col min="9994" max="9994" width="5.77734375" style="3069" customWidth="1"/>
    <col min="9995" max="9995" width="11.77734375" style="3069" customWidth="1"/>
    <col min="9996" max="9997" width="10.77734375" style="3069" customWidth="1"/>
    <col min="9998" max="9998" width="10" style="3069" customWidth="1"/>
    <col min="9999" max="10000" width="10.44140625" style="3069" bestFit="1" customWidth="1"/>
    <col min="10001" max="10001" width="10" style="3069" customWidth="1"/>
    <col min="10002" max="10002" width="10.109375" style="3069" customWidth="1"/>
    <col min="10003" max="10003" width="10" style="3069" customWidth="1"/>
    <col min="10004" max="10004" width="26.109375" style="3069" customWidth="1"/>
    <col min="10005" max="10240" width="8.88671875" style="3069"/>
    <col min="10241" max="10241" width="9.44140625" style="3069" customWidth="1"/>
    <col min="10242" max="10242" width="8.88671875" style="3069"/>
    <col min="10243" max="10245" width="12.88671875" style="3069" customWidth="1"/>
    <col min="10246" max="10246" width="47.44140625" style="3069" customWidth="1"/>
    <col min="10247" max="10247" width="13" style="3069" customWidth="1"/>
    <col min="10248" max="10249" width="8.88671875" style="3069"/>
    <col min="10250" max="10250" width="5.77734375" style="3069" customWidth="1"/>
    <col min="10251" max="10251" width="11.77734375" style="3069" customWidth="1"/>
    <col min="10252" max="10253" width="10.77734375" style="3069" customWidth="1"/>
    <col min="10254" max="10254" width="10" style="3069" customWidth="1"/>
    <col min="10255" max="10256" width="10.44140625" style="3069" bestFit="1" customWidth="1"/>
    <col min="10257" max="10257" width="10" style="3069" customWidth="1"/>
    <col min="10258" max="10258" width="10.109375" style="3069" customWidth="1"/>
    <col min="10259" max="10259" width="10" style="3069" customWidth="1"/>
    <col min="10260" max="10260" width="26.109375" style="3069" customWidth="1"/>
    <col min="10261" max="10496" width="8.88671875" style="3069"/>
    <col min="10497" max="10497" width="9.44140625" style="3069" customWidth="1"/>
    <col min="10498" max="10498" width="8.88671875" style="3069"/>
    <col min="10499" max="10501" width="12.88671875" style="3069" customWidth="1"/>
    <col min="10502" max="10502" width="47.44140625" style="3069" customWidth="1"/>
    <col min="10503" max="10503" width="13" style="3069" customWidth="1"/>
    <col min="10504" max="10505" width="8.88671875" style="3069"/>
    <col min="10506" max="10506" width="5.77734375" style="3069" customWidth="1"/>
    <col min="10507" max="10507" width="11.77734375" style="3069" customWidth="1"/>
    <col min="10508" max="10509" width="10.77734375" style="3069" customWidth="1"/>
    <col min="10510" max="10510" width="10" style="3069" customWidth="1"/>
    <col min="10511" max="10512" width="10.44140625" style="3069" bestFit="1" customWidth="1"/>
    <col min="10513" max="10513" width="10" style="3069" customWidth="1"/>
    <col min="10514" max="10514" width="10.109375" style="3069" customWidth="1"/>
    <col min="10515" max="10515" width="10" style="3069" customWidth="1"/>
    <col min="10516" max="10516" width="26.109375" style="3069" customWidth="1"/>
    <col min="10517" max="10752" width="8.88671875" style="3069"/>
    <col min="10753" max="10753" width="9.44140625" style="3069" customWidth="1"/>
    <col min="10754" max="10754" width="8.88671875" style="3069"/>
    <col min="10755" max="10757" width="12.88671875" style="3069" customWidth="1"/>
    <col min="10758" max="10758" width="47.44140625" style="3069" customWidth="1"/>
    <col min="10759" max="10759" width="13" style="3069" customWidth="1"/>
    <col min="10760" max="10761" width="8.88671875" style="3069"/>
    <col min="10762" max="10762" width="5.77734375" style="3069" customWidth="1"/>
    <col min="10763" max="10763" width="11.77734375" style="3069" customWidth="1"/>
    <col min="10764" max="10765" width="10.77734375" style="3069" customWidth="1"/>
    <col min="10766" max="10766" width="10" style="3069" customWidth="1"/>
    <col min="10767" max="10768" width="10.44140625" style="3069" bestFit="1" customWidth="1"/>
    <col min="10769" max="10769" width="10" style="3069" customWidth="1"/>
    <col min="10770" max="10770" width="10.109375" style="3069" customWidth="1"/>
    <col min="10771" max="10771" width="10" style="3069" customWidth="1"/>
    <col min="10772" max="10772" width="26.109375" style="3069" customWidth="1"/>
    <col min="10773" max="11008" width="8.88671875" style="3069"/>
    <col min="11009" max="11009" width="9.44140625" style="3069" customWidth="1"/>
    <col min="11010" max="11010" width="8.88671875" style="3069"/>
    <col min="11011" max="11013" width="12.88671875" style="3069" customWidth="1"/>
    <col min="11014" max="11014" width="47.44140625" style="3069" customWidth="1"/>
    <col min="11015" max="11015" width="13" style="3069" customWidth="1"/>
    <col min="11016" max="11017" width="8.88671875" style="3069"/>
    <col min="11018" max="11018" width="5.77734375" style="3069" customWidth="1"/>
    <col min="11019" max="11019" width="11.77734375" style="3069" customWidth="1"/>
    <col min="11020" max="11021" width="10.77734375" style="3069" customWidth="1"/>
    <col min="11022" max="11022" width="10" style="3069" customWidth="1"/>
    <col min="11023" max="11024" width="10.44140625" style="3069" bestFit="1" customWidth="1"/>
    <col min="11025" max="11025" width="10" style="3069" customWidth="1"/>
    <col min="11026" max="11026" width="10.109375" style="3069" customWidth="1"/>
    <col min="11027" max="11027" width="10" style="3069" customWidth="1"/>
    <col min="11028" max="11028" width="26.109375" style="3069" customWidth="1"/>
    <col min="11029" max="11264" width="8.88671875" style="3069"/>
    <col min="11265" max="11265" width="9.44140625" style="3069" customWidth="1"/>
    <col min="11266" max="11266" width="8.88671875" style="3069"/>
    <col min="11267" max="11269" width="12.88671875" style="3069" customWidth="1"/>
    <col min="11270" max="11270" width="47.44140625" style="3069" customWidth="1"/>
    <col min="11271" max="11271" width="13" style="3069" customWidth="1"/>
    <col min="11272" max="11273" width="8.88671875" style="3069"/>
    <col min="11274" max="11274" width="5.77734375" style="3069" customWidth="1"/>
    <col min="11275" max="11275" width="11.77734375" style="3069" customWidth="1"/>
    <col min="11276" max="11277" width="10.77734375" style="3069" customWidth="1"/>
    <col min="11278" max="11278" width="10" style="3069" customWidth="1"/>
    <col min="11279" max="11280" width="10.44140625" style="3069" bestFit="1" customWidth="1"/>
    <col min="11281" max="11281" width="10" style="3069" customWidth="1"/>
    <col min="11282" max="11282" width="10.109375" style="3069" customWidth="1"/>
    <col min="11283" max="11283" width="10" style="3069" customWidth="1"/>
    <col min="11284" max="11284" width="26.109375" style="3069" customWidth="1"/>
    <col min="11285" max="11520" width="8.88671875" style="3069"/>
    <col min="11521" max="11521" width="9.44140625" style="3069" customWidth="1"/>
    <col min="11522" max="11522" width="8.88671875" style="3069"/>
    <col min="11523" max="11525" width="12.88671875" style="3069" customWidth="1"/>
    <col min="11526" max="11526" width="47.44140625" style="3069" customWidth="1"/>
    <col min="11527" max="11527" width="13" style="3069" customWidth="1"/>
    <col min="11528" max="11529" width="8.88671875" style="3069"/>
    <col min="11530" max="11530" width="5.77734375" style="3069" customWidth="1"/>
    <col min="11531" max="11531" width="11.77734375" style="3069" customWidth="1"/>
    <col min="11532" max="11533" width="10.77734375" style="3069" customWidth="1"/>
    <col min="11534" max="11534" width="10" style="3069" customWidth="1"/>
    <col min="11535" max="11536" width="10.44140625" style="3069" bestFit="1" customWidth="1"/>
    <col min="11537" max="11537" width="10" style="3069" customWidth="1"/>
    <col min="11538" max="11538" width="10.109375" style="3069" customWidth="1"/>
    <col min="11539" max="11539" width="10" style="3069" customWidth="1"/>
    <col min="11540" max="11540" width="26.109375" style="3069" customWidth="1"/>
    <col min="11541" max="11776" width="8.88671875" style="3069"/>
    <col min="11777" max="11777" width="9.44140625" style="3069" customWidth="1"/>
    <col min="11778" max="11778" width="8.88671875" style="3069"/>
    <col min="11779" max="11781" width="12.88671875" style="3069" customWidth="1"/>
    <col min="11782" max="11782" width="47.44140625" style="3069" customWidth="1"/>
    <col min="11783" max="11783" width="13" style="3069" customWidth="1"/>
    <col min="11784" max="11785" width="8.88671875" style="3069"/>
    <col min="11786" max="11786" width="5.77734375" style="3069" customWidth="1"/>
    <col min="11787" max="11787" width="11.77734375" style="3069" customWidth="1"/>
    <col min="11788" max="11789" width="10.77734375" style="3069" customWidth="1"/>
    <col min="11790" max="11790" width="10" style="3069" customWidth="1"/>
    <col min="11791" max="11792" width="10.44140625" style="3069" bestFit="1" customWidth="1"/>
    <col min="11793" max="11793" width="10" style="3069" customWidth="1"/>
    <col min="11794" max="11794" width="10.109375" style="3069" customWidth="1"/>
    <col min="11795" max="11795" width="10" style="3069" customWidth="1"/>
    <col min="11796" max="11796" width="26.109375" style="3069" customWidth="1"/>
    <col min="11797" max="12032" width="8.88671875" style="3069"/>
    <col min="12033" max="12033" width="9.44140625" style="3069" customWidth="1"/>
    <col min="12034" max="12034" width="8.88671875" style="3069"/>
    <col min="12035" max="12037" width="12.88671875" style="3069" customWidth="1"/>
    <col min="12038" max="12038" width="47.44140625" style="3069" customWidth="1"/>
    <col min="12039" max="12039" width="13" style="3069" customWidth="1"/>
    <col min="12040" max="12041" width="8.88671875" style="3069"/>
    <col min="12042" max="12042" width="5.77734375" style="3069" customWidth="1"/>
    <col min="12043" max="12043" width="11.77734375" style="3069" customWidth="1"/>
    <col min="12044" max="12045" width="10.77734375" style="3069" customWidth="1"/>
    <col min="12046" max="12046" width="10" style="3069" customWidth="1"/>
    <col min="12047" max="12048" width="10.44140625" style="3069" bestFit="1" customWidth="1"/>
    <col min="12049" max="12049" width="10" style="3069" customWidth="1"/>
    <col min="12050" max="12050" width="10.109375" style="3069" customWidth="1"/>
    <col min="12051" max="12051" width="10" style="3069" customWidth="1"/>
    <col min="12052" max="12052" width="26.109375" style="3069" customWidth="1"/>
    <col min="12053" max="12288" width="8.88671875" style="3069"/>
    <col min="12289" max="12289" width="9.44140625" style="3069" customWidth="1"/>
    <col min="12290" max="12290" width="8.88671875" style="3069"/>
    <col min="12291" max="12293" width="12.88671875" style="3069" customWidth="1"/>
    <col min="12294" max="12294" width="47.44140625" style="3069" customWidth="1"/>
    <col min="12295" max="12295" width="13" style="3069" customWidth="1"/>
    <col min="12296" max="12297" width="8.88671875" style="3069"/>
    <col min="12298" max="12298" width="5.77734375" style="3069" customWidth="1"/>
    <col min="12299" max="12299" width="11.77734375" style="3069" customWidth="1"/>
    <col min="12300" max="12301" width="10.77734375" style="3069" customWidth="1"/>
    <col min="12302" max="12302" width="10" style="3069" customWidth="1"/>
    <col min="12303" max="12304" width="10.44140625" style="3069" bestFit="1" customWidth="1"/>
    <col min="12305" max="12305" width="10" style="3069" customWidth="1"/>
    <col min="12306" max="12306" width="10.109375" style="3069" customWidth="1"/>
    <col min="12307" max="12307" width="10" style="3069" customWidth="1"/>
    <col min="12308" max="12308" width="26.109375" style="3069" customWidth="1"/>
    <col min="12309" max="12544" width="8.88671875" style="3069"/>
    <col min="12545" max="12545" width="9.44140625" style="3069" customWidth="1"/>
    <col min="12546" max="12546" width="8.88671875" style="3069"/>
    <col min="12547" max="12549" width="12.88671875" style="3069" customWidth="1"/>
    <col min="12550" max="12550" width="47.44140625" style="3069" customWidth="1"/>
    <col min="12551" max="12551" width="13" style="3069" customWidth="1"/>
    <col min="12552" max="12553" width="8.88671875" style="3069"/>
    <col min="12554" max="12554" width="5.77734375" style="3069" customWidth="1"/>
    <col min="12555" max="12555" width="11.77734375" style="3069" customWidth="1"/>
    <col min="12556" max="12557" width="10.77734375" style="3069" customWidth="1"/>
    <col min="12558" max="12558" width="10" style="3069" customWidth="1"/>
    <col min="12559" max="12560" width="10.44140625" style="3069" bestFit="1" customWidth="1"/>
    <col min="12561" max="12561" width="10" style="3069" customWidth="1"/>
    <col min="12562" max="12562" width="10.109375" style="3069" customWidth="1"/>
    <col min="12563" max="12563" width="10" style="3069" customWidth="1"/>
    <col min="12564" max="12564" width="26.109375" style="3069" customWidth="1"/>
    <col min="12565" max="12800" width="8.88671875" style="3069"/>
    <col min="12801" max="12801" width="9.44140625" style="3069" customWidth="1"/>
    <col min="12802" max="12802" width="8.88671875" style="3069"/>
    <col min="12803" max="12805" width="12.88671875" style="3069" customWidth="1"/>
    <col min="12806" max="12806" width="47.44140625" style="3069" customWidth="1"/>
    <col min="12807" max="12807" width="13" style="3069" customWidth="1"/>
    <col min="12808" max="12809" width="8.88671875" style="3069"/>
    <col min="12810" max="12810" width="5.77734375" style="3069" customWidth="1"/>
    <col min="12811" max="12811" width="11.77734375" style="3069" customWidth="1"/>
    <col min="12812" max="12813" width="10.77734375" style="3069" customWidth="1"/>
    <col min="12814" max="12814" width="10" style="3069" customWidth="1"/>
    <col min="12815" max="12816" width="10.44140625" style="3069" bestFit="1" customWidth="1"/>
    <col min="12817" max="12817" width="10" style="3069" customWidth="1"/>
    <col min="12818" max="12818" width="10.109375" style="3069" customWidth="1"/>
    <col min="12819" max="12819" width="10" style="3069" customWidth="1"/>
    <col min="12820" max="12820" width="26.109375" style="3069" customWidth="1"/>
    <col min="12821" max="13056" width="8.88671875" style="3069"/>
    <col min="13057" max="13057" width="9.44140625" style="3069" customWidth="1"/>
    <col min="13058" max="13058" width="8.88671875" style="3069"/>
    <col min="13059" max="13061" width="12.88671875" style="3069" customWidth="1"/>
    <col min="13062" max="13062" width="47.44140625" style="3069" customWidth="1"/>
    <col min="13063" max="13063" width="13" style="3069" customWidth="1"/>
    <col min="13064" max="13065" width="8.88671875" style="3069"/>
    <col min="13066" max="13066" width="5.77734375" style="3069" customWidth="1"/>
    <col min="13067" max="13067" width="11.77734375" style="3069" customWidth="1"/>
    <col min="13068" max="13069" width="10.77734375" style="3069" customWidth="1"/>
    <col min="13070" max="13070" width="10" style="3069" customWidth="1"/>
    <col min="13071" max="13072" width="10.44140625" style="3069" bestFit="1" customWidth="1"/>
    <col min="13073" max="13073" width="10" style="3069" customWidth="1"/>
    <col min="13074" max="13074" width="10.109375" style="3069" customWidth="1"/>
    <col min="13075" max="13075" width="10" style="3069" customWidth="1"/>
    <col min="13076" max="13076" width="26.109375" style="3069" customWidth="1"/>
    <col min="13077" max="13312" width="8.88671875" style="3069"/>
    <col min="13313" max="13313" width="9.44140625" style="3069" customWidth="1"/>
    <col min="13314" max="13314" width="8.88671875" style="3069"/>
    <col min="13315" max="13317" width="12.88671875" style="3069" customWidth="1"/>
    <col min="13318" max="13318" width="47.44140625" style="3069" customWidth="1"/>
    <col min="13319" max="13319" width="13" style="3069" customWidth="1"/>
    <col min="13320" max="13321" width="8.88671875" style="3069"/>
    <col min="13322" max="13322" width="5.77734375" style="3069" customWidth="1"/>
    <col min="13323" max="13323" width="11.77734375" style="3069" customWidth="1"/>
    <col min="13324" max="13325" width="10.77734375" style="3069" customWidth="1"/>
    <col min="13326" max="13326" width="10" style="3069" customWidth="1"/>
    <col min="13327" max="13328" width="10.44140625" style="3069" bestFit="1" customWidth="1"/>
    <col min="13329" max="13329" width="10" style="3069" customWidth="1"/>
    <col min="13330" max="13330" width="10.109375" style="3069" customWidth="1"/>
    <col min="13331" max="13331" width="10" style="3069" customWidth="1"/>
    <col min="13332" max="13332" width="26.109375" style="3069" customWidth="1"/>
    <col min="13333" max="13568" width="8.88671875" style="3069"/>
    <col min="13569" max="13569" width="9.44140625" style="3069" customWidth="1"/>
    <col min="13570" max="13570" width="8.88671875" style="3069"/>
    <col min="13571" max="13573" width="12.88671875" style="3069" customWidth="1"/>
    <col min="13574" max="13574" width="47.44140625" style="3069" customWidth="1"/>
    <col min="13575" max="13575" width="13" style="3069" customWidth="1"/>
    <col min="13576" max="13577" width="8.88671875" style="3069"/>
    <col min="13578" max="13578" width="5.77734375" style="3069" customWidth="1"/>
    <col min="13579" max="13579" width="11.77734375" style="3069" customWidth="1"/>
    <col min="13580" max="13581" width="10.77734375" style="3069" customWidth="1"/>
    <col min="13582" max="13582" width="10" style="3069" customWidth="1"/>
    <col min="13583" max="13584" width="10.44140625" style="3069" bestFit="1" customWidth="1"/>
    <col min="13585" max="13585" width="10" style="3069" customWidth="1"/>
    <col min="13586" max="13586" width="10.109375" style="3069" customWidth="1"/>
    <col min="13587" max="13587" width="10" style="3069" customWidth="1"/>
    <col min="13588" max="13588" width="26.109375" style="3069" customWidth="1"/>
    <col min="13589" max="13824" width="8.88671875" style="3069"/>
    <col min="13825" max="13825" width="9.44140625" style="3069" customWidth="1"/>
    <col min="13826" max="13826" width="8.88671875" style="3069"/>
    <col min="13827" max="13829" width="12.88671875" style="3069" customWidth="1"/>
    <col min="13830" max="13830" width="47.44140625" style="3069" customWidth="1"/>
    <col min="13831" max="13831" width="13" style="3069" customWidth="1"/>
    <col min="13832" max="13833" width="8.88671875" style="3069"/>
    <col min="13834" max="13834" width="5.77734375" style="3069" customWidth="1"/>
    <col min="13835" max="13835" width="11.77734375" style="3069" customWidth="1"/>
    <col min="13836" max="13837" width="10.77734375" style="3069" customWidth="1"/>
    <col min="13838" max="13838" width="10" style="3069" customWidth="1"/>
    <col min="13839" max="13840" width="10.44140625" style="3069" bestFit="1" customWidth="1"/>
    <col min="13841" max="13841" width="10" style="3069" customWidth="1"/>
    <col min="13842" max="13842" width="10.109375" style="3069" customWidth="1"/>
    <col min="13843" max="13843" width="10" style="3069" customWidth="1"/>
    <col min="13844" max="13844" width="26.109375" style="3069" customWidth="1"/>
    <col min="13845" max="14080" width="8.88671875" style="3069"/>
    <col min="14081" max="14081" width="9.44140625" style="3069" customWidth="1"/>
    <col min="14082" max="14082" width="8.88671875" style="3069"/>
    <col min="14083" max="14085" width="12.88671875" style="3069" customWidth="1"/>
    <col min="14086" max="14086" width="47.44140625" style="3069" customWidth="1"/>
    <col min="14087" max="14087" width="13" style="3069" customWidth="1"/>
    <col min="14088" max="14089" width="8.88671875" style="3069"/>
    <col min="14090" max="14090" width="5.77734375" style="3069" customWidth="1"/>
    <col min="14091" max="14091" width="11.77734375" style="3069" customWidth="1"/>
    <col min="14092" max="14093" width="10.77734375" style="3069" customWidth="1"/>
    <col min="14094" max="14094" width="10" style="3069" customWidth="1"/>
    <col min="14095" max="14096" width="10.44140625" style="3069" bestFit="1" customWidth="1"/>
    <col min="14097" max="14097" width="10" style="3069" customWidth="1"/>
    <col min="14098" max="14098" width="10.109375" style="3069" customWidth="1"/>
    <col min="14099" max="14099" width="10" style="3069" customWidth="1"/>
    <col min="14100" max="14100" width="26.109375" style="3069" customWidth="1"/>
    <col min="14101" max="14336" width="8.88671875" style="3069"/>
    <col min="14337" max="14337" width="9.44140625" style="3069" customWidth="1"/>
    <col min="14338" max="14338" width="8.88671875" style="3069"/>
    <col min="14339" max="14341" width="12.88671875" style="3069" customWidth="1"/>
    <col min="14342" max="14342" width="47.44140625" style="3069" customWidth="1"/>
    <col min="14343" max="14343" width="13" style="3069" customWidth="1"/>
    <col min="14344" max="14345" width="8.88671875" style="3069"/>
    <col min="14346" max="14346" width="5.77734375" style="3069" customWidth="1"/>
    <col min="14347" max="14347" width="11.77734375" style="3069" customWidth="1"/>
    <col min="14348" max="14349" width="10.77734375" style="3069" customWidth="1"/>
    <col min="14350" max="14350" width="10" style="3069" customWidth="1"/>
    <col min="14351" max="14352" width="10.44140625" style="3069" bestFit="1" customWidth="1"/>
    <col min="14353" max="14353" width="10" style="3069" customWidth="1"/>
    <col min="14354" max="14354" width="10.109375" style="3069" customWidth="1"/>
    <col min="14355" max="14355" width="10" style="3069" customWidth="1"/>
    <col min="14356" max="14356" width="26.109375" style="3069" customWidth="1"/>
    <col min="14357" max="14592" width="8.88671875" style="3069"/>
    <col min="14593" max="14593" width="9.44140625" style="3069" customWidth="1"/>
    <col min="14594" max="14594" width="8.88671875" style="3069"/>
    <col min="14595" max="14597" width="12.88671875" style="3069" customWidth="1"/>
    <col min="14598" max="14598" width="47.44140625" style="3069" customWidth="1"/>
    <col min="14599" max="14599" width="13" style="3069" customWidth="1"/>
    <col min="14600" max="14601" width="8.88671875" style="3069"/>
    <col min="14602" max="14602" width="5.77734375" style="3069" customWidth="1"/>
    <col min="14603" max="14603" width="11.77734375" style="3069" customWidth="1"/>
    <col min="14604" max="14605" width="10.77734375" style="3069" customWidth="1"/>
    <col min="14606" max="14606" width="10" style="3069" customWidth="1"/>
    <col min="14607" max="14608" width="10.44140625" style="3069" bestFit="1" customWidth="1"/>
    <col min="14609" max="14609" width="10" style="3069" customWidth="1"/>
    <col min="14610" max="14610" width="10.109375" style="3069" customWidth="1"/>
    <col min="14611" max="14611" width="10" style="3069" customWidth="1"/>
    <col min="14612" max="14612" width="26.109375" style="3069" customWidth="1"/>
    <col min="14613" max="14848" width="8.88671875" style="3069"/>
    <col min="14849" max="14849" width="9.44140625" style="3069" customWidth="1"/>
    <col min="14850" max="14850" width="8.88671875" style="3069"/>
    <col min="14851" max="14853" width="12.88671875" style="3069" customWidth="1"/>
    <col min="14854" max="14854" width="47.44140625" style="3069" customWidth="1"/>
    <col min="14855" max="14855" width="13" style="3069" customWidth="1"/>
    <col min="14856" max="14857" width="8.88671875" style="3069"/>
    <col min="14858" max="14858" width="5.77734375" style="3069" customWidth="1"/>
    <col min="14859" max="14859" width="11.77734375" style="3069" customWidth="1"/>
    <col min="14860" max="14861" width="10.77734375" style="3069" customWidth="1"/>
    <col min="14862" max="14862" width="10" style="3069" customWidth="1"/>
    <col min="14863" max="14864" width="10.44140625" style="3069" bestFit="1" customWidth="1"/>
    <col min="14865" max="14865" width="10" style="3069" customWidth="1"/>
    <col min="14866" max="14866" width="10.109375" style="3069" customWidth="1"/>
    <col min="14867" max="14867" width="10" style="3069" customWidth="1"/>
    <col min="14868" max="14868" width="26.109375" style="3069" customWidth="1"/>
    <col min="14869" max="15104" width="8.88671875" style="3069"/>
    <col min="15105" max="15105" width="9.44140625" style="3069" customWidth="1"/>
    <col min="15106" max="15106" width="8.88671875" style="3069"/>
    <col min="15107" max="15109" width="12.88671875" style="3069" customWidth="1"/>
    <col min="15110" max="15110" width="47.44140625" style="3069" customWidth="1"/>
    <col min="15111" max="15111" width="13" style="3069" customWidth="1"/>
    <col min="15112" max="15113" width="8.88671875" style="3069"/>
    <col min="15114" max="15114" width="5.77734375" style="3069" customWidth="1"/>
    <col min="15115" max="15115" width="11.77734375" style="3069" customWidth="1"/>
    <col min="15116" max="15117" width="10.77734375" style="3069" customWidth="1"/>
    <col min="15118" max="15118" width="10" style="3069" customWidth="1"/>
    <col min="15119" max="15120" width="10.44140625" style="3069" bestFit="1" customWidth="1"/>
    <col min="15121" max="15121" width="10" style="3069" customWidth="1"/>
    <col min="15122" max="15122" width="10.109375" style="3069" customWidth="1"/>
    <col min="15123" max="15123" width="10" style="3069" customWidth="1"/>
    <col min="15124" max="15124" width="26.109375" style="3069" customWidth="1"/>
    <col min="15125" max="15360" width="8.88671875" style="3069"/>
    <col min="15361" max="15361" width="9.44140625" style="3069" customWidth="1"/>
    <col min="15362" max="15362" width="8.88671875" style="3069"/>
    <col min="15363" max="15365" width="12.88671875" style="3069" customWidth="1"/>
    <col min="15366" max="15366" width="47.44140625" style="3069" customWidth="1"/>
    <col min="15367" max="15367" width="13" style="3069" customWidth="1"/>
    <col min="15368" max="15369" width="8.88671875" style="3069"/>
    <col min="15370" max="15370" width="5.77734375" style="3069" customWidth="1"/>
    <col min="15371" max="15371" width="11.77734375" style="3069" customWidth="1"/>
    <col min="15372" max="15373" width="10.77734375" style="3069" customWidth="1"/>
    <col min="15374" max="15374" width="10" style="3069" customWidth="1"/>
    <col min="15375" max="15376" width="10.44140625" style="3069" bestFit="1" customWidth="1"/>
    <col min="15377" max="15377" width="10" style="3069" customWidth="1"/>
    <col min="15378" max="15378" width="10.109375" style="3069" customWidth="1"/>
    <col min="15379" max="15379" width="10" style="3069" customWidth="1"/>
    <col min="15380" max="15380" width="26.109375" style="3069" customWidth="1"/>
    <col min="15381" max="15616" width="8.88671875" style="3069"/>
    <col min="15617" max="15617" width="9.44140625" style="3069" customWidth="1"/>
    <col min="15618" max="15618" width="8.88671875" style="3069"/>
    <col min="15619" max="15621" width="12.88671875" style="3069" customWidth="1"/>
    <col min="15622" max="15622" width="47.44140625" style="3069" customWidth="1"/>
    <col min="15623" max="15623" width="13" style="3069" customWidth="1"/>
    <col min="15624" max="15625" width="8.88671875" style="3069"/>
    <col min="15626" max="15626" width="5.77734375" style="3069" customWidth="1"/>
    <col min="15627" max="15627" width="11.77734375" style="3069" customWidth="1"/>
    <col min="15628" max="15629" width="10.77734375" style="3069" customWidth="1"/>
    <col min="15630" max="15630" width="10" style="3069" customWidth="1"/>
    <col min="15631" max="15632" width="10.44140625" style="3069" bestFit="1" customWidth="1"/>
    <col min="15633" max="15633" width="10" style="3069" customWidth="1"/>
    <col min="15634" max="15634" width="10.109375" style="3069" customWidth="1"/>
    <col min="15635" max="15635" width="10" style="3069" customWidth="1"/>
    <col min="15636" max="15636" width="26.109375" style="3069" customWidth="1"/>
    <col min="15637" max="15872" width="8.88671875" style="3069"/>
    <col min="15873" max="15873" width="9.44140625" style="3069" customWidth="1"/>
    <col min="15874" max="15874" width="8.88671875" style="3069"/>
    <col min="15875" max="15877" width="12.88671875" style="3069" customWidth="1"/>
    <col min="15878" max="15878" width="47.44140625" style="3069" customWidth="1"/>
    <col min="15879" max="15879" width="13" style="3069" customWidth="1"/>
    <col min="15880" max="15881" width="8.88671875" style="3069"/>
    <col min="15882" max="15882" width="5.77734375" style="3069" customWidth="1"/>
    <col min="15883" max="15883" width="11.77734375" style="3069" customWidth="1"/>
    <col min="15884" max="15885" width="10.77734375" style="3069" customWidth="1"/>
    <col min="15886" max="15886" width="10" style="3069" customWidth="1"/>
    <col min="15887" max="15888" width="10.44140625" style="3069" bestFit="1" customWidth="1"/>
    <col min="15889" max="15889" width="10" style="3069" customWidth="1"/>
    <col min="15890" max="15890" width="10.109375" style="3069" customWidth="1"/>
    <col min="15891" max="15891" width="10" style="3069" customWidth="1"/>
    <col min="15892" max="15892" width="26.109375" style="3069" customWidth="1"/>
    <col min="15893" max="16128" width="8.88671875" style="3069"/>
    <col min="16129" max="16129" width="9.44140625" style="3069" customWidth="1"/>
    <col min="16130" max="16130" width="8.88671875" style="3069"/>
    <col min="16131" max="16133" width="12.88671875" style="3069" customWidth="1"/>
    <col min="16134" max="16134" width="47.44140625" style="3069" customWidth="1"/>
    <col min="16135" max="16135" width="13" style="3069" customWidth="1"/>
    <col min="16136" max="16137" width="8.88671875" style="3069"/>
    <col min="16138" max="16138" width="5.77734375" style="3069" customWidth="1"/>
    <col min="16139" max="16139" width="11.77734375" style="3069" customWidth="1"/>
    <col min="16140" max="16141" width="10.77734375" style="3069" customWidth="1"/>
    <col min="16142" max="16142" width="10" style="3069" customWidth="1"/>
    <col min="16143" max="16144" width="10.44140625" style="3069" bestFit="1" customWidth="1"/>
    <col min="16145" max="16145" width="10" style="3069" customWidth="1"/>
    <col min="16146" max="16146" width="10.109375" style="3069" customWidth="1"/>
    <col min="16147" max="16147" width="10" style="3069" customWidth="1"/>
    <col min="16148" max="16148" width="26.109375" style="3069" customWidth="1"/>
    <col min="16149" max="16384" width="8.88671875" style="3069"/>
  </cols>
  <sheetData>
    <row r="1" spans="1:22" ht="21" customHeight="1">
      <c r="A1" s="3058" t="s">
        <v>2442</v>
      </c>
      <c r="B1" s="3059"/>
      <c r="C1" s="3072"/>
      <c r="D1" s="3072"/>
      <c r="E1" s="3060"/>
      <c r="F1" s="3061"/>
      <c r="G1" s="3062"/>
      <c r="J1" s="3065" t="s">
        <v>2299</v>
      </c>
      <c r="K1" s="3066"/>
      <c r="L1" s="3066"/>
      <c r="M1" s="3066"/>
      <c r="N1" s="3066"/>
      <c r="O1" s="3066"/>
      <c r="P1" s="3066"/>
      <c r="Q1" s="3066"/>
      <c r="R1" s="3067"/>
      <c r="S1" s="3068"/>
      <c r="T1" s="3068"/>
      <c r="U1" s="3068"/>
    </row>
    <row r="2" spans="1:22" s="3081" customFormat="1" ht="13.2" customHeight="1">
      <c r="A2" s="3070" t="s">
        <v>2300</v>
      </c>
      <c r="B2" s="3071" t="e">
        <f>C40</f>
        <v>#DIV/0!</v>
      </c>
      <c r="C2" s="3072" t="s">
        <v>2301</v>
      </c>
      <c r="D2" s="3072"/>
      <c r="E2" s="3073"/>
      <c r="F2" s="3074"/>
      <c r="G2" s="3075"/>
      <c r="H2" s="3076"/>
      <c r="I2" s="3077"/>
      <c r="J2" s="3970" t="s">
        <v>2302</v>
      </c>
      <c r="K2" s="3971"/>
      <c r="L2" s="3078" t="s">
        <v>2303</v>
      </c>
      <c r="M2" s="3078" t="s">
        <v>2304</v>
      </c>
      <c r="N2" s="3078" t="s">
        <v>2305</v>
      </c>
      <c r="O2" s="3078" t="s">
        <v>2306</v>
      </c>
      <c r="P2" s="3078" t="s">
        <v>2307</v>
      </c>
      <c r="Q2" s="3079" t="s">
        <v>2308</v>
      </c>
      <c r="R2" s="3080" t="s">
        <v>2309</v>
      </c>
      <c r="S2" s="3068"/>
      <c r="T2" s="3068"/>
      <c r="U2" s="3068"/>
      <c r="V2" s="3077"/>
    </row>
    <row r="3" spans="1:22" s="3081" customFormat="1" ht="13.2" customHeight="1">
      <c r="A3" s="3082" t="s">
        <v>2310</v>
      </c>
      <c r="B3" s="3083" t="e">
        <f>ROUND(B2*10000/B4,0)</f>
        <v>#DIV/0!</v>
      </c>
      <c r="C3" s="3072" t="s">
        <v>2311</v>
      </c>
      <c r="D3" s="3072"/>
      <c r="E3" s="3073"/>
      <c r="F3" s="3074"/>
      <c r="G3" s="3075"/>
      <c r="H3" s="3076"/>
      <c r="I3" s="3077"/>
      <c r="J3" s="3972" t="s">
        <v>2312</v>
      </c>
      <c r="K3" s="3973"/>
      <c r="L3" s="3084"/>
      <c r="M3" s="3084"/>
      <c r="N3" s="3084"/>
      <c r="O3" s="3084"/>
      <c r="P3" s="3084"/>
      <c r="Q3" s="3085"/>
      <c r="R3" s="3086">
        <f>SUM(L3:Q3)</f>
        <v>0</v>
      </c>
      <c r="S3" s="3068"/>
      <c r="T3" s="3068"/>
      <c r="U3" s="3068"/>
      <c r="V3" s="3077"/>
    </row>
    <row r="4" spans="1:22" s="3081" customFormat="1" ht="13.2" customHeight="1">
      <c r="A4" s="3087" t="s">
        <v>2313</v>
      </c>
      <c r="B4" s="3088"/>
      <c r="C4" s="3072"/>
      <c r="D4" s="3072"/>
      <c r="E4" s="3073"/>
      <c r="F4" s="3074"/>
      <c r="G4" s="3075"/>
      <c r="H4" s="3076"/>
      <c r="I4" s="3077"/>
      <c r="J4" s="3972" t="s">
        <v>2314</v>
      </c>
      <c r="K4" s="3973"/>
      <c r="L4" s="3089"/>
      <c r="M4" s="3089"/>
      <c r="N4" s="3089"/>
      <c r="O4" s="3089"/>
      <c r="P4" s="3089"/>
      <c r="Q4" s="3090"/>
      <c r="R4" s="3091">
        <f>SUM(L4:Q4)</f>
        <v>0</v>
      </c>
      <c r="S4" s="3068"/>
      <c r="T4" s="3068"/>
      <c r="U4" s="3068"/>
      <c r="V4" s="3077"/>
    </row>
    <row r="5" spans="1:22" s="3081" customFormat="1" ht="13.2" customHeight="1" thickBot="1">
      <c r="A5" s="3092" t="s">
        <v>2315</v>
      </c>
      <c r="B5" s="3093"/>
      <c r="C5" s="3072"/>
      <c r="D5" s="3094"/>
      <c r="E5" s="3074"/>
      <c r="F5" s="3074"/>
      <c r="G5" s="3075"/>
      <c r="H5" s="3076"/>
      <c r="I5" s="3077"/>
      <c r="J5" s="3095" t="s">
        <v>2316</v>
      </c>
      <c r="K5" s="3096"/>
      <c r="L5" s="3096"/>
      <c r="M5" s="3097"/>
      <c r="N5" s="3097"/>
      <c r="O5" s="3097"/>
      <c r="P5" s="3097"/>
      <c r="Q5" s="3097"/>
      <c r="R5" s="3080">
        <f>SUM(R14,R19,R24,R25,R27,R28)</f>
        <v>0</v>
      </c>
      <c r="S5" s="3068"/>
      <c r="T5" s="3068" t="s">
        <v>2317</v>
      </c>
      <c r="U5" s="3068" t="e">
        <f>ROUND(R5*10000/365/R3,1)</f>
        <v>#DIV/0!</v>
      </c>
      <c r="V5" s="3077"/>
    </row>
    <row r="6" spans="1:22" s="3081" customFormat="1" ht="13.2" customHeight="1" thickBot="1">
      <c r="A6" s="3978" t="s">
        <v>2318</v>
      </c>
      <c r="B6" s="3979"/>
      <c r="C6" s="3980"/>
      <c r="D6" s="3098"/>
      <c r="E6" s="3099"/>
      <c r="F6" s="3100"/>
      <c r="G6" s="3101"/>
      <c r="H6" s="3076"/>
      <c r="I6" s="3077"/>
      <c r="J6" s="3964">
        <v>1</v>
      </c>
      <c r="K6" s="3965" t="s">
        <v>2319</v>
      </c>
      <c r="L6" s="3102" t="s">
        <v>2320</v>
      </c>
      <c r="M6" s="3103" t="s">
        <v>2321</v>
      </c>
      <c r="N6" s="3103" t="s">
        <v>2322</v>
      </c>
      <c r="O6" s="3103" t="s">
        <v>2323</v>
      </c>
      <c r="P6" s="3103" t="s">
        <v>2324</v>
      </c>
      <c r="Q6" s="3103" t="s">
        <v>2325</v>
      </c>
      <c r="R6" s="3086" t="s">
        <v>2326</v>
      </c>
      <c r="S6" s="3068"/>
      <c r="T6" s="3068" t="s">
        <v>2327</v>
      </c>
      <c r="U6" s="3068"/>
      <c r="V6" s="3077"/>
    </row>
    <row r="7" spans="1:22" s="3081" customFormat="1" ht="13.2" customHeight="1">
      <c r="A7" s="3104" t="s">
        <v>2328</v>
      </c>
      <c r="B7" s="3105"/>
      <c r="C7" s="3106"/>
      <c r="D7" s="3107">
        <f>SUM(D9,D10,D11,D17,0)</f>
        <v>0</v>
      </c>
      <c r="E7" s="3108" t="e">
        <f>E9+E10+E11+E17</f>
        <v>#DIV/0!</v>
      </c>
      <c r="F7" s="3109"/>
      <c r="G7" s="3110"/>
      <c r="H7" s="3076"/>
      <c r="I7" s="3077"/>
      <c r="J7" s="3964"/>
      <c r="K7" s="3966"/>
      <c r="L7" s="3111" t="s">
        <v>2329</v>
      </c>
      <c r="M7" s="3112"/>
      <c r="N7" s="3088"/>
      <c r="O7" s="3113"/>
      <c r="P7" s="3113"/>
      <c r="Q7" s="3114">
        <v>365</v>
      </c>
      <c r="R7" s="3115">
        <f>ROUND(M7*N7*O7*P7*Q7/10000,0)</f>
        <v>0</v>
      </c>
      <c r="S7" s="3068"/>
      <c r="T7" s="3068" t="s">
        <v>2330</v>
      </c>
      <c r="U7" s="3068"/>
      <c r="V7" s="3077"/>
    </row>
    <row r="8" spans="1:22" s="3081" customFormat="1" ht="13.2" customHeight="1">
      <c r="A8" s="3116" t="s">
        <v>2331</v>
      </c>
      <c r="B8" s="3981" t="s">
        <v>2332</v>
      </c>
      <c r="C8" s="3982"/>
      <c r="D8" s="3117" t="s">
        <v>2333</v>
      </c>
      <c r="E8" s="3118" t="s">
        <v>2334</v>
      </c>
      <c r="F8" s="3119" t="s">
        <v>2335</v>
      </c>
      <c r="G8" s="3120"/>
      <c r="H8" s="3076"/>
      <c r="I8" s="3077"/>
      <c r="J8" s="3964"/>
      <c r="K8" s="3966"/>
      <c r="L8" s="3111" t="s">
        <v>2336</v>
      </c>
      <c r="M8" s="3112"/>
      <c r="N8" s="3088"/>
      <c r="O8" s="3113"/>
      <c r="P8" s="3113"/>
      <c r="Q8" s="3114">
        <v>365</v>
      </c>
      <c r="R8" s="3115">
        <f t="shared" ref="R8:R13" si="0">ROUND(M8*N8*O8*P8*Q8/10000,0)</f>
        <v>0</v>
      </c>
      <c r="S8" s="3068"/>
      <c r="T8" s="3068" t="s">
        <v>2337</v>
      </c>
      <c r="U8" s="3068"/>
      <c r="V8" s="3077"/>
    </row>
    <row r="9" spans="1:22" s="3081" customFormat="1" ht="13.2" customHeight="1">
      <c r="A9" s="3116">
        <v>1</v>
      </c>
      <c r="B9" s="3981" t="s">
        <v>2338</v>
      </c>
      <c r="C9" s="3982"/>
      <c r="D9" s="3117">
        <f>ROUND(D6*E9,0)</f>
        <v>0</v>
      </c>
      <c r="E9" s="3121"/>
      <c r="F9" s="3122" t="s">
        <v>2339</v>
      </c>
      <c r="G9" s="3101"/>
      <c r="H9" s="3076"/>
      <c r="I9" s="3077"/>
      <c r="J9" s="3964"/>
      <c r="K9" s="3966"/>
      <c r="L9" s="3111" t="s">
        <v>2340</v>
      </c>
      <c r="M9" s="3112"/>
      <c r="N9" s="3088"/>
      <c r="O9" s="3113"/>
      <c r="P9" s="3113"/>
      <c r="Q9" s="3114">
        <v>365</v>
      </c>
      <c r="R9" s="3115">
        <f t="shared" si="0"/>
        <v>0</v>
      </c>
      <c r="S9" s="3068"/>
      <c r="T9" s="3068"/>
      <c r="U9" s="3068"/>
      <c r="V9" s="3077"/>
    </row>
    <row r="10" spans="1:22" s="3081" customFormat="1" ht="13.2" customHeight="1">
      <c r="A10" s="3116">
        <v>2</v>
      </c>
      <c r="B10" s="3981" t="s">
        <v>2341</v>
      </c>
      <c r="C10" s="3982"/>
      <c r="D10" s="3117">
        <f>ROUND(D6*E10,0)</f>
        <v>0</v>
      </c>
      <c r="E10" s="3121"/>
      <c r="F10" s="3122" t="s">
        <v>2342</v>
      </c>
      <c r="G10" s="3101"/>
      <c r="H10" s="3076"/>
      <c r="I10" s="3077"/>
      <c r="J10" s="3964"/>
      <c r="K10" s="3966"/>
      <c r="L10" s="3111" t="s">
        <v>2343</v>
      </c>
      <c r="M10" s="3112"/>
      <c r="N10" s="3088"/>
      <c r="O10" s="3113"/>
      <c r="P10" s="3113"/>
      <c r="Q10" s="3114">
        <v>365</v>
      </c>
      <c r="R10" s="3115">
        <f t="shared" si="0"/>
        <v>0</v>
      </c>
      <c r="S10" s="3068"/>
      <c r="T10" s="3068"/>
      <c r="U10" s="3068"/>
      <c r="V10" s="3077"/>
    </row>
    <row r="11" spans="1:22" s="3081" customFormat="1" ht="13.2" customHeight="1">
      <c r="A11" s="3116">
        <v>3</v>
      </c>
      <c r="B11" s="3981" t="s">
        <v>2344</v>
      </c>
      <c r="C11" s="3982"/>
      <c r="D11" s="3117">
        <f>D12+D14+D15+D16</f>
        <v>0</v>
      </c>
      <c r="E11" s="3123" t="e">
        <f>D11/D6</f>
        <v>#DIV/0!</v>
      </c>
      <c r="F11" s="3119"/>
      <c r="G11" s="3120"/>
      <c r="H11" s="3076"/>
      <c r="I11" s="3077"/>
      <c r="J11" s="3964"/>
      <c r="K11" s="3966"/>
      <c r="L11" s="3111" t="s">
        <v>2345</v>
      </c>
      <c r="M11" s="3112"/>
      <c r="N11" s="3088"/>
      <c r="O11" s="3113"/>
      <c r="P11" s="3113"/>
      <c r="Q11" s="3114">
        <v>365</v>
      </c>
      <c r="R11" s="3115">
        <f t="shared" si="0"/>
        <v>0</v>
      </c>
      <c r="S11" s="3068"/>
      <c r="T11" s="3068"/>
      <c r="U11" s="3068"/>
      <c r="V11" s="3077"/>
    </row>
    <row r="12" spans="1:22" s="3081" customFormat="1" ht="13.2" customHeight="1">
      <c r="A12" s="3124" t="s">
        <v>2346</v>
      </c>
      <c r="B12" s="3974" t="s">
        <v>2347</v>
      </c>
      <c r="C12" s="3975"/>
      <c r="D12" s="3125">
        <f>ROUND(D13*1.2%*(1-30%),0)</f>
        <v>0</v>
      </c>
      <c r="E12" s="3126">
        <v>1.2E-2</v>
      </c>
      <c r="F12" s="3119" t="s">
        <v>2348</v>
      </c>
      <c r="G12" s="3120"/>
      <c r="H12" s="3076"/>
      <c r="I12" s="3077"/>
      <c r="J12" s="3964"/>
      <c r="K12" s="3966"/>
      <c r="L12" s="3111" t="s">
        <v>2349</v>
      </c>
      <c r="M12" s="3112"/>
      <c r="N12" s="3088"/>
      <c r="O12" s="3113"/>
      <c r="P12" s="3113"/>
      <c r="Q12" s="3114">
        <v>365</v>
      </c>
      <c r="R12" s="3115">
        <f t="shared" si="0"/>
        <v>0</v>
      </c>
      <c r="S12" s="3068"/>
      <c r="T12" s="3068"/>
      <c r="U12" s="3068"/>
      <c r="V12" s="3077"/>
    </row>
    <row r="13" spans="1:22" s="3081" customFormat="1" ht="13.2" customHeight="1">
      <c r="A13" s="3124"/>
      <c r="B13" s="3127"/>
      <c r="C13" s="3128" t="s">
        <v>2350</v>
      </c>
      <c r="D13" s="3129"/>
      <c r="E13" s="3130"/>
      <c r="F13" s="3119"/>
      <c r="G13" s="3120"/>
      <c r="H13" s="3076"/>
      <c r="I13" s="3077"/>
      <c r="J13" s="3964"/>
      <c r="K13" s="3966"/>
      <c r="L13" s="3111" t="s">
        <v>2351</v>
      </c>
      <c r="M13" s="3112"/>
      <c r="N13" s="3088"/>
      <c r="O13" s="3113"/>
      <c r="P13" s="3113"/>
      <c r="Q13" s="3114">
        <v>365</v>
      </c>
      <c r="R13" s="3115">
        <f t="shared" si="0"/>
        <v>0</v>
      </c>
      <c r="S13" s="3068"/>
      <c r="T13" s="3068"/>
      <c r="U13" s="3068"/>
      <c r="V13" s="3077"/>
    </row>
    <row r="14" spans="1:22" s="3081" customFormat="1" ht="13.2" customHeight="1">
      <c r="A14" s="3124" t="s">
        <v>2352</v>
      </c>
      <c r="B14" s="3974" t="s">
        <v>2353</v>
      </c>
      <c r="C14" s="3975"/>
      <c r="D14" s="3125">
        <f>ROUND(E14*B5/10000,0)</f>
        <v>0</v>
      </c>
      <c r="E14" s="3114"/>
      <c r="F14" s="3119" t="s">
        <v>2354</v>
      </c>
      <c r="G14" s="3120"/>
      <c r="H14" s="3076"/>
      <c r="I14" s="3077"/>
      <c r="J14" s="3964"/>
      <c r="K14" s="3967"/>
      <c r="L14" s="3131" t="s">
        <v>2355</v>
      </c>
      <c r="M14" s="3132">
        <f>SUM(M7:M13)</f>
        <v>0</v>
      </c>
      <c r="N14" s="3132" t="e">
        <f>ROUND((N7*M7+N8*M8+N9*M9+N10*M10+N11*M11+N12*M12+N13*M13)/M14,0)</f>
        <v>#DIV/0!</v>
      </c>
      <c r="O14" s="3133"/>
      <c r="P14" s="3133"/>
      <c r="Q14" s="3134"/>
      <c r="R14" s="3080">
        <f>SUM(R7:R13)</f>
        <v>0</v>
      </c>
      <c r="S14" s="3068"/>
      <c r="T14" s="3068"/>
      <c r="U14" s="3068"/>
      <c r="V14" s="3077"/>
    </row>
    <row r="15" spans="1:22" s="3081" customFormat="1" ht="13.2" customHeight="1">
      <c r="A15" s="3124" t="s">
        <v>2356</v>
      </c>
      <c r="B15" s="3974" t="s">
        <v>2357</v>
      </c>
      <c r="C15" s="3975"/>
      <c r="D15" s="3125">
        <f>ROUND(D6*E15,0)</f>
        <v>0</v>
      </c>
      <c r="E15" s="3126">
        <v>5.5E-2</v>
      </c>
      <c r="F15" s="3119" t="s">
        <v>2358</v>
      </c>
      <c r="G15" s="3101"/>
      <c r="H15" s="3076"/>
      <c r="I15" s="3077"/>
      <c r="J15" s="3964">
        <v>2</v>
      </c>
      <c r="K15" s="3965" t="s">
        <v>2359</v>
      </c>
      <c r="L15" s="3111" t="s">
        <v>2360</v>
      </c>
      <c r="M15" s="3112" t="s">
        <v>2361</v>
      </c>
      <c r="N15" s="3112" t="s">
        <v>2362</v>
      </c>
      <c r="O15" s="3113" t="s">
        <v>2363</v>
      </c>
      <c r="P15" s="3113" t="s">
        <v>2364</v>
      </c>
      <c r="Q15" s="3088" t="s">
        <v>2365</v>
      </c>
      <c r="R15" s="3135" t="s">
        <v>2366</v>
      </c>
      <c r="S15" s="3068"/>
      <c r="T15" s="3068"/>
      <c r="U15" s="3068"/>
      <c r="V15" s="3077"/>
    </row>
    <row r="16" spans="1:22" s="3081" customFormat="1" ht="13.2" customHeight="1">
      <c r="A16" s="3124" t="s">
        <v>2367</v>
      </c>
      <c r="B16" s="3974" t="s">
        <v>2368</v>
      </c>
      <c r="C16" s="3975"/>
      <c r="D16" s="3136">
        <f>D6*E16</f>
        <v>0</v>
      </c>
      <c r="E16" s="3137"/>
      <c r="F16" s="3122" t="s">
        <v>2369</v>
      </c>
      <c r="G16" s="3101"/>
      <c r="H16" s="3076"/>
      <c r="I16" s="3077"/>
      <c r="J16" s="3964"/>
      <c r="K16" s="3966"/>
      <c r="L16" s="3111" t="s">
        <v>2370</v>
      </c>
      <c r="M16" s="3112"/>
      <c r="N16" s="3112"/>
      <c r="O16" s="3113"/>
      <c r="P16" s="3114">
        <v>365</v>
      </c>
      <c r="Q16" s="3088"/>
      <c r="R16" s="3135">
        <f>ROUND(M16*N16*O16*P16/10000,0)</f>
        <v>0</v>
      </c>
      <c r="S16" s="3068"/>
      <c r="T16" s="3068"/>
      <c r="U16" s="3068"/>
      <c r="V16" s="3077"/>
    </row>
    <row r="17" spans="1:22" s="3081" customFormat="1" ht="13.2" customHeight="1" thickBot="1">
      <c r="A17" s="3138">
        <v>4</v>
      </c>
      <c r="B17" s="3976" t="s">
        <v>2371</v>
      </c>
      <c r="C17" s="3977"/>
      <c r="D17" s="3139">
        <f>ROUND(D6*E17,0)</f>
        <v>0</v>
      </c>
      <c r="E17" s="3140"/>
      <c r="F17" s="3141" t="s">
        <v>2372</v>
      </c>
      <c r="G17" s="3101"/>
      <c r="H17" s="3076"/>
      <c r="I17" s="3077"/>
      <c r="J17" s="3964"/>
      <c r="K17" s="3966"/>
      <c r="L17" s="3111" t="s">
        <v>2373</v>
      </c>
      <c r="M17" s="3112"/>
      <c r="N17" s="3112"/>
      <c r="O17" s="3113"/>
      <c r="P17" s="3114">
        <v>365</v>
      </c>
      <c r="Q17" s="3088"/>
      <c r="R17" s="3135">
        <f>ROUND(M17*N17*O17*P17/10000,0)</f>
        <v>0</v>
      </c>
      <c r="S17" s="3068"/>
      <c r="T17" s="3068"/>
      <c r="U17" s="3068"/>
      <c r="V17" s="3077"/>
    </row>
    <row r="18" spans="1:22" s="3081" customFormat="1" ht="13.2" customHeight="1" thickBot="1">
      <c r="A18" s="3104" t="s">
        <v>2374</v>
      </c>
      <c r="B18" s="3105"/>
      <c r="C18" s="3105"/>
      <c r="D18" s="3142">
        <f>ROUND(D6*E18,0)</f>
        <v>0</v>
      </c>
      <c r="E18" s="3143"/>
      <c r="F18" s="3144" t="s">
        <v>2375</v>
      </c>
      <c r="G18" s="3101"/>
      <c r="H18" s="3076"/>
      <c r="I18" s="3077"/>
      <c r="J18" s="3964"/>
      <c r="K18" s="3966"/>
      <c r="L18" s="3111" t="s">
        <v>2376</v>
      </c>
      <c r="M18" s="3112"/>
      <c r="N18" s="3112"/>
      <c r="O18" s="3113"/>
      <c r="P18" s="3114">
        <v>365</v>
      </c>
      <c r="Q18" s="3088"/>
      <c r="R18" s="3135">
        <f>ROUND(M18*N18*O18*P18/10000,0)</f>
        <v>0</v>
      </c>
      <c r="S18" s="3068"/>
      <c r="T18" s="3068"/>
      <c r="U18" s="3068"/>
      <c r="V18" s="3077"/>
    </row>
    <row r="19" spans="1:22" s="3081" customFormat="1" ht="13.2" customHeight="1" thickBot="1">
      <c r="A19" s="3145" t="s">
        <v>2377</v>
      </c>
      <c r="B19" s="3099"/>
      <c r="C19" s="3099"/>
      <c r="D19" s="3099"/>
      <c r="E19" s="3099"/>
      <c r="F19" s="3100"/>
      <c r="G19" s="3120"/>
      <c r="H19" s="3076"/>
      <c r="I19" s="3077"/>
      <c r="J19" s="3964"/>
      <c r="K19" s="3967"/>
      <c r="L19" s="3131" t="s">
        <v>2355</v>
      </c>
      <c r="M19" s="3132"/>
      <c r="N19" s="3132">
        <f>SUM(N16:N18)</f>
        <v>0</v>
      </c>
      <c r="O19" s="3133"/>
      <c r="P19" s="3146" t="s">
        <v>2443</v>
      </c>
      <c r="Q19" s="3113"/>
      <c r="R19" s="3147">
        <f>ROUND(IF(P19="按比例",R14*Q19,SUM(R16:R18)),0)</f>
        <v>0</v>
      </c>
      <c r="S19" s="3068"/>
      <c r="T19" s="3068"/>
      <c r="U19" s="3068"/>
      <c r="V19" s="3077"/>
    </row>
    <row r="20" spans="1:22" s="3081" customFormat="1" ht="13.2" customHeight="1">
      <c r="A20" s="3104"/>
      <c r="B20" s="3105"/>
      <c r="C20" s="3105"/>
      <c r="D20" s="3105"/>
      <c r="E20" s="3105"/>
      <c r="F20" s="3148"/>
      <c r="G20" s="3120"/>
      <c r="H20" s="3076"/>
      <c r="I20" s="3077"/>
      <c r="J20" s="3964">
        <v>3</v>
      </c>
      <c r="K20" s="3965" t="s">
        <v>2378</v>
      </c>
      <c r="L20" s="3111" t="s">
        <v>2379</v>
      </c>
      <c r="M20" s="3112" t="s">
        <v>2380</v>
      </c>
      <c r="N20" s="3149" t="s">
        <v>2381</v>
      </c>
      <c r="O20" s="3113" t="s">
        <v>2382</v>
      </c>
      <c r="P20" s="3114" t="s">
        <v>2383</v>
      </c>
      <c r="Q20" s="3088" t="s">
        <v>2384</v>
      </c>
      <c r="R20" s="3135" t="s">
        <v>2326</v>
      </c>
      <c r="S20" s="3150"/>
      <c r="T20" s="3150"/>
      <c r="U20" s="3150"/>
      <c r="V20" s="3077"/>
    </row>
    <row r="21" spans="1:22" s="3081" customFormat="1" ht="13.2" customHeight="1">
      <c r="A21" s="3104"/>
      <c r="B21" s="3105"/>
      <c r="C21" s="3151" t="s">
        <v>2385</v>
      </c>
      <c r="D21" s="3152" t="s">
        <v>2386</v>
      </c>
      <c r="E21" s="3153" t="s">
        <v>2387</v>
      </c>
      <c r="F21" s="3148"/>
      <c r="G21" s="3120"/>
      <c r="H21" s="3076"/>
      <c r="I21" s="3077"/>
      <c r="J21" s="3964"/>
      <c r="K21" s="3966"/>
      <c r="L21" s="3111" t="s">
        <v>2388</v>
      </c>
      <c r="M21" s="3112"/>
      <c r="N21" s="3112"/>
      <c r="O21" s="3113"/>
      <c r="P21" s="3114">
        <v>365</v>
      </c>
      <c r="Q21" s="3088"/>
      <c r="R21" s="3154">
        <f>ROUND(M21*N21*O21*P21/10000,0)</f>
        <v>0</v>
      </c>
      <c r="S21" s="3150"/>
      <c r="T21" s="3150"/>
      <c r="U21" s="3150"/>
      <c r="V21" s="3077"/>
    </row>
    <row r="22" spans="1:22" s="3081" customFormat="1" ht="13.2" customHeight="1">
      <c r="A22" s="3104"/>
      <c r="B22" s="3105"/>
      <c r="C22" s="3155" t="s">
        <v>2389</v>
      </c>
      <c r="D22" s="3156" t="s">
        <v>2390</v>
      </c>
      <c r="E22" s="3157" t="s">
        <v>2391</v>
      </c>
      <c r="F22" s="3148"/>
      <c r="G22" s="3158"/>
      <c r="H22" s="3076"/>
      <c r="I22" s="3077"/>
      <c r="J22" s="3964"/>
      <c r="K22" s="3966"/>
      <c r="L22" s="3111" t="s">
        <v>2392</v>
      </c>
      <c r="M22" s="3112"/>
      <c r="N22" s="3112"/>
      <c r="O22" s="3113"/>
      <c r="P22" s="3114">
        <v>365</v>
      </c>
      <c r="Q22" s="3088"/>
      <c r="R22" s="3154">
        <f>ROUND(M22*N22*O22*P22/10000,0)</f>
        <v>0</v>
      </c>
      <c r="S22" s="3150"/>
      <c r="T22" s="3150"/>
      <c r="U22" s="3150"/>
      <c r="V22" s="3077"/>
    </row>
    <row r="23" spans="1:22" s="3081" customFormat="1" ht="13.2" customHeight="1">
      <c r="A23" s="3159">
        <v>1</v>
      </c>
      <c r="B23" s="3160" t="s">
        <v>2393</v>
      </c>
      <c r="C23" s="3161">
        <f>D6</f>
        <v>0</v>
      </c>
      <c r="D23" s="3162">
        <f>C23*(1+D24)</f>
        <v>0</v>
      </c>
      <c r="E23" s="3163">
        <f>D23*(1+E24)</f>
        <v>0</v>
      </c>
      <c r="F23" s="3164"/>
      <c r="G23" s="3165"/>
      <c r="H23" s="3076"/>
      <c r="I23" s="3077"/>
      <c r="J23" s="3964"/>
      <c r="K23" s="3966"/>
      <c r="L23" s="3111" t="s">
        <v>2394</v>
      </c>
      <c r="M23" s="3112"/>
      <c r="N23" s="3112"/>
      <c r="O23" s="3113"/>
      <c r="P23" s="3114">
        <v>365</v>
      </c>
      <c r="Q23" s="3088"/>
      <c r="R23" s="3154">
        <f>ROUND(M23*N23*O23*P23/10000,0)</f>
        <v>0</v>
      </c>
      <c r="S23" s="3068"/>
      <c r="T23" s="3068"/>
      <c r="U23" s="3068"/>
      <c r="V23" s="3077"/>
    </row>
    <row r="24" spans="1:22" s="3081" customFormat="1" ht="13.2" customHeight="1">
      <c r="A24" s="3166"/>
      <c r="B24" s="3167" t="s">
        <v>2395</v>
      </c>
      <c r="C24" s="3168"/>
      <c r="D24" s="3169"/>
      <c r="E24" s="3170"/>
      <c r="F24" s="3171"/>
      <c r="G24" s="3165"/>
      <c r="H24" s="3076"/>
      <c r="I24" s="3077"/>
      <c r="J24" s="3964"/>
      <c r="K24" s="3967"/>
      <c r="L24" s="3131" t="s">
        <v>2355</v>
      </c>
      <c r="M24" s="3132">
        <f>SUM(M21:M23)</f>
        <v>0</v>
      </c>
      <c r="N24" s="3132"/>
      <c r="O24" s="3133"/>
      <c r="P24" s="3146" t="s">
        <v>2443</v>
      </c>
      <c r="Q24" s="3113"/>
      <c r="R24" s="3147">
        <f>ROUND(IF(P24="按比例",R14*Q24,SUM(R21:R23)),0)</f>
        <v>0</v>
      </c>
      <c r="S24" s="3068"/>
      <c r="T24" s="3068"/>
      <c r="U24" s="3068"/>
      <c r="V24" s="3077"/>
    </row>
    <row r="25" spans="1:22" s="3178" customFormat="1" ht="13.2" customHeight="1">
      <c r="A25" s="3166"/>
      <c r="B25" s="3167"/>
      <c r="C25" s="3168"/>
      <c r="D25" s="3169"/>
      <c r="E25" s="3170"/>
      <c r="F25" s="3171"/>
      <c r="G25" s="3158"/>
      <c r="H25" s="3076"/>
      <c r="I25" s="3077"/>
      <c r="J25" s="3172">
        <v>4</v>
      </c>
      <c r="K25" s="3173" t="s">
        <v>2396</v>
      </c>
      <c r="L25" s="3174"/>
      <c r="M25" s="3174"/>
      <c r="N25" s="3174"/>
      <c r="O25" s="3174"/>
      <c r="P25" s="3175"/>
      <c r="Q25" s="3176"/>
      <c r="R25" s="3147">
        <f>ROUND(R14*Q25,0)</f>
        <v>0</v>
      </c>
      <c r="S25" s="3068"/>
      <c r="T25" s="3068"/>
      <c r="U25" s="3068"/>
      <c r="V25" s="3177"/>
    </row>
    <row r="26" spans="1:22" s="3178" customFormat="1" ht="13.2" customHeight="1">
      <c r="A26" s="3159">
        <v>2</v>
      </c>
      <c r="B26" s="3160" t="s">
        <v>2397</v>
      </c>
      <c r="C26" s="3161">
        <f>D7</f>
        <v>0</v>
      </c>
      <c r="D26" s="3162">
        <f>D23*D27</f>
        <v>0</v>
      </c>
      <c r="E26" s="3163">
        <f>E23*E27</f>
        <v>0</v>
      </c>
      <c r="F26" s="3164"/>
      <c r="G26" s="3165"/>
      <c r="H26" s="3076"/>
      <c r="I26" s="3077"/>
      <c r="J26" s="3968">
        <v>5</v>
      </c>
      <c r="K26" s="3179" t="s">
        <v>2398</v>
      </c>
      <c r="L26" s="3180"/>
      <c r="M26" s="3181"/>
      <c r="N26" s="3182" t="s">
        <v>2399</v>
      </c>
      <c r="O26" s="3182" t="s">
        <v>2400</v>
      </c>
      <c r="P26" s="3183" t="s">
        <v>2401</v>
      </c>
      <c r="Q26" s="3183" t="s">
        <v>2402</v>
      </c>
      <c r="R26" s="3086" t="s">
        <v>2403</v>
      </c>
      <c r="S26" s="3184"/>
      <c r="T26" s="3184"/>
      <c r="U26" s="3184"/>
      <c r="V26" s="3177"/>
    </row>
    <row r="27" spans="1:22" s="3081" customFormat="1" ht="13.2" customHeight="1">
      <c r="A27" s="3166"/>
      <c r="B27" s="3167" t="s">
        <v>2404</v>
      </c>
      <c r="C27" s="3185" t="e">
        <f>E7</f>
        <v>#DIV/0!</v>
      </c>
      <c r="D27" s="3169"/>
      <c r="E27" s="3170"/>
      <c r="F27" s="3171"/>
      <c r="G27" s="3165"/>
      <c r="H27" s="3186"/>
      <c r="I27" s="3177"/>
      <c r="J27" s="3969"/>
      <c r="K27" s="3187"/>
      <c r="L27" s="3188"/>
      <c r="M27" s="3189"/>
      <c r="N27" s="3190"/>
      <c r="O27" s="3190"/>
      <c r="P27" s="3190"/>
      <c r="Q27" s="3191"/>
      <c r="R27" s="3147">
        <f>ROUND(O27*N27*P27*(1-Q27)/10000,0)</f>
        <v>0</v>
      </c>
      <c r="S27" s="3068"/>
      <c r="T27" s="3068"/>
      <c r="U27" s="3068"/>
      <c r="V27" s="3077"/>
    </row>
    <row r="28" spans="1:22" s="3178" customFormat="1" ht="13.2" customHeight="1" thickBot="1">
      <c r="A28" s="3166"/>
      <c r="B28" s="3167"/>
      <c r="C28" s="3185"/>
      <c r="D28" s="3169"/>
      <c r="E28" s="3170" t="s">
        <v>2405</v>
      </c>
      <c r="F28" s="3171"/>
      <c r="G28" s="3158"/>
      <c r="H28" s="3186"/>
      <c r="I28" s="3177"/>
      <c r="J28" s="3192">
        <v>6</v>
      </c>
      <c r="K28" s="3193" t="s">
        <v>2406</v>
      </c>
      <c r="L28" s="3194" t="s">
        <v>2407</v>
      </c>
      <c r="M28" s="3195"/>
      <c r="N28" s="3194" t="s">
        <v>2408</v>
      </c>
      <c r="O28" s="3196"/>
      <c r="P28" s="3194" t="s">
        <v>2409</v>
      </c>
      <c r="Q28" s="3197">
        <v>1.4999999999999999E-2</v>
      </c>
      <c r="R28" s="3198"/>
      <c r="S28" s="3150"/>
      <c r="T28" s="3150"/>
      <c r="U28" s="3150"/>
      <c r="V28" s="3177"/>
    </row>
    <row r="29" spans="1:22" s="3178" customFormat="1" ht="13.2" customHeight="1">
      <c r="A29" s="3159">
        <v>3</v>
      </c>
      <c r="B29" s="3160" t="s">
        <v>2410</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2" customHeight="1" thickBot="1">
      <c r="A30" s="3166"/>
      <c r="B30" s="3167" t="s">
        <v>2411</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2" customHeight="1">
      <c r="A31" s="3166"/>
      <c r="B31" s="3167"/>
      <c r="C31" s="3200"/>
      <c r="D31" s="3199"/>
      <c r="E31" s="3130"/>
      <c r="F31" s="3171"/>
      <c r="G31" s="3158"/>
      <c r="H31" s="3186"/>
      <c r="I31" s="3177"/>
      <c r="J31" s="3065" t="s">
        <v>2412</v>
      </c>
      <c r="K31" s="3066"/>
      <c r="L31" s="3066"/>
      <c r="M31" s="3066"/>
      <c r="N31" s="3066"/>
      <c r="O31" s="3066"/>
      <c r="P31" s="3066"/>
      <c r="Q31" s="3066"/>
      <c r="R31" s="3067"/>
      <c r="S31" s="3150"/>
      <c r="T31" s="3068"/>
      <c r="U31" s="3068"/>
      <c r="V31" s="3177"/>
    </row>
    <row r="32" spans="1:22" s="3178" customFormat="1" ht="13.2" customHeight="1">
      <c r="A32" s="3159">
        <v>4</v>
      </c>
      <c r="B32" s="3160" t="s">
        <v>2413</v>
      </c>
      <c r="C32" s="3161">
        <f>C23-C26-C29</f>
        <v>0</v>
      </c>
      <c r="D32" s="3162">
        <f>D23-D26-D29</f>
        <v>0</v>
      </c>
      <c r="E32" s="3163">
        <f>E23-E26-E29</f>
        <v>0</v>
      </c>
      <c r="F32" s="3164"/>
      <c r="G32" s="3158"/>
      <c r="H32" s="3076"/>
      <c r="I32" s="3077"/>
      <c r="J32" s="3970" t="s">
        <v>2414</v>
      </c>
      <c r="K32" s="3971"/>
      <c r="L32" s="3078" t="s">
        <v>2415</v>
      </c>
      <c r="M32" s="3078" t="s">
        <v>2304</v>
      </c>
      <c r="N32" s="3078" t="s">
        <v>2305</v>
      </c>
      <c r="O32" s="3078" t="s">
        <v>2306</v>
      </c>
      <c r="P32" s="3078" t="s">
        <v>2307</v>
      </c>
      <c r="Q32" s="3079" t="s">
        <v>2416</v>
      </c>
      <c r="R32" s="3201" t="s">
        <v>2417</v>
      </c>
      <c r="S32" s="3150"/>
      <c r="T32" s="3068"/>
      <c r="U32" s="3068"/>
      <c r="V32" s="3177"/>
    </row>
    <row r="33" spans="1:23" s="3081" customFormat="1" ht="13.2" customHeight="1">
      <c r="A33" s="3159"/>
      <c r="B33" s="3160"/>
      <c r="C33" s="3161"/>
      <c r="D33" s="3202"/>
      <c r="E33" s="3203"/>
      <c r="F33" s="3164"/>
      <c r="G33" s="3158"/>
      <c r="H33" s="3186"/>
      <c r="I33" s="3177"/>
      <c r="J33" s="3972" t="s">
        <v>2418</v>
      </c>
      <c r="K33" s="3973"/>
      <c r="L33" s="3084"/>
      <c r="M33" s="3084"/>
      <c r="N33" s="3084"/>
      <c r="O33" s="3084"/>
      <c r="P33" s="3084"/>
      <c r="Q33" s="3085"/>
      <c r="R33" s="3204">
        <f>SUM(L33:Q33)</f>
        <v>0</v>
      </c>
      <c r="S33" s="3150"/>
      <c r="T33" s="3068"/>
      <c r="U33" s="3068"/>
      <c r="V33" s="3077"/>
    </row>
    <row r="34" spans="1:23" s="3081" customFormat="1" ht="13.2" customHeight="1">
      <c r="A34" s="3159">
        <v>5</v>
      </c>
      <c r="B34" s="3160" t="s">
        <v>2419</v>
      </c>
      <c r="C34" s="3205"/>
      <c r="D34" s="3206"/>
      <c r="E34" s="3207"/>
      <c r="F34" s="3164"/>
      <c r="G34" s="3158"/>
      <c r="H34" s="3186"/>
      <c r="I34" s="3177"/>
      <c r="J34" s="3972" t="s">
        <v>2420</v>
      </c>
      <c r="K34" s="3973"/>
      <c r="L34" s="3089"/>
      <c r="M34" s="3089"/>
      <c r="N34" s="3089"/>
      <c r="O34" s="3089"/>
      <c r="P34" s="3089"/>
      <c r="Q34" s="3090"/>
      <c r="R34" s="3208">
        <f>SUM(L34:Q34)</f>
        <v>0</v>
      </c>
      <c r="S34" s="3150"/>
      <c r="T34" s="3068"/>
      <c r="U34" s="3068" t="e">
        <f>ROUND(R35*10000/365/R33,1)</f>
        <v>#DIV/0!</v>
      </c>
      <c r="V34" s="3077"/>
    </row>
    <row r="35" spans="1:23" s="3081" customFormat="1" ht="13.2" customHeight="1">
      <c r="A35" s="3159">
        <v>6</v>
      </c>
      <c r="B35" s="3160" t="s">
        <v>2421</v>
      </c>
      <c r="C35" s="3209"/>
      <c r="D35" s="3210"/>
      <c r="E35" s="3211"/>
      <c r="F35" s="3164"/>
      <c r="G35" s="3212"/>
      <c r="H35" s="3076"/>
      <c r="I35" s="3177"/>
      <c r="J35" s="3095" t="s">
        <v>2422</v>
      </c>
      <c r="K35" s="3096"/>
      <c r="L35" s="3096"/>
      <c r="M35" s="3097"/>
      <c r="N35" s="3097"/>
      <c r="O35" s="3097"/>
      <c r="P35" s="3097"/>
      <c r="Q35" s="3097"/>
      <c r="R35" s="3213">
        <f>R40+R41+R43</f>
        <v>0</v>
      </c>
      <c r="S35" s="3150"/>
      <c r="T35" s="3068" t="s">
        <v>2423</v>
      </c>
      <c r="U35" s="3068"/>
      <c r="V35" s="3077"/>
    </row>
    <row r="36" spans="1:23" s="3081" customFormat="1" ht="13.2" customHeight="1" thickBot="1">
      <c r="A36" s="3159">
        <v>7</v>
      </c>
      <c r="B36" s="3214" t="s">
        <v>2424</v>
      </c>
      <c r="C36" s="3215"/>
      <c r="D36" s="3216"/>
      <c r="E36" s="3217"/>
      <c r="F36" s="3218">
        <f>C36+D36+E36</f>
        <v>0</v>
      </c>
      <c r="G36" s="3158"/>
      <c r="H36" s="3076"/>
      <c r="I36" s="3077"/>
      <c r="J36" s="3964">
        <v>1</v>
      </c>
      <c r="K36" s="3965" t="s">
        <v>2425</v>
      </c>
      <c r="L36" s="3102"/>
      <c r="M36" s="3103"/>
      <c r="N36" s="3103"/>
      <c r="O36" s="3103"/>
      <c r="P36" s="3103"/>
      <c r="Q36" s="3103"/>
      <c r="R36" s="3086" t="s">
        <v>2326</v>
      </c>
      <c r="S36" s="3150"/>
      <c r="T36" s="3068" t="s">
        <v>2327</v>
      </c>
      <c r="U36" s="3068"/>
      <c r="V36" s="3077"/>
    </row>
    <row r="37" spans="1:23" s="3081" customFormat="1" ht="13.2" customHeight="1">
      <c r="A37" s="3159"/>
      <c r="B37" s="3160"/>
      <c r="C37" s="3160"/>
      <c r="D37" s="3160"/>
      <c r="E37" s="3160"/>
      <c r="F37" s="3164"/>
      <c r="G37" s="3158"/>
      <c r="H37" s="3076"/>
      <c r="I37" s="3077"/>
      <c r="J37" s="3964"/>
      <c r="K37" s="3966"/>
      <c r="L37" s="3111"/>
      <c r="M37" s="3112"/>
      <c r="N37" s="3088"/>
      <c r="O37" s="3113"/>
      <c r="P37" s="3113"/>
      <c r="Q37" s="3114"/>
      <c r="R37" s="3115"/>
      <c r="S37" s="3150"/>
      <c r="T37" s="3068" t="s">
        <v>2330</v>
      </c>
      <c r="U37" s="3068"/>
      <c r="V37" s="3077"/>
    </row>
    <row r="38" spans="1:23" s="3081" customFormat="1" ht="13.2" customHeight="1">
      <c r="A38" s="3159">
        <v>8</v>
      </c>
      <c r="B38" s="3160"/>
      <c r="C38" s="3117" t="e">
        <f>ROUND(C32*(1-((1+C35)/(1+C34))^C36)/(C34-C35),0)</f>
        <v>#DIV/0!</v>
      </c>
      <c r="D38" s="3117">
        <f>IF(D23=0,0,ROUND(D32*(1-((1+D35)/(1+D34))^D36)/(D34-D35),0))</f>
        <v>0</v>
      </c>
      <c r="E38" s="3117">
        <f>IF(E23=0,0,ROUND(E32*(1-((1+E35)/(1+E34))^E36)/(E34-E35),0))</f>
        <v>0</v>
      </c>
      <c r="F38" s="3164"/>
      <c r="G38" s="3158"/>
      <c r="H38" s="3076"/>
      <c r="I38" s="3077"/>
      <c r="J38" s="3964"/>
      <c r="K38" s="3966"/>
      <c r="L38" s="3111"/>
      <c r="M38" s="3112"/>
      <c r="N38" s="3088"/>
      <c r="O38" s="3113"/>
      <c r="P38" s="3113"/>
      <c r="Q38" s="3114"/>
      <c r="R38" s="3115"/>
      <c r="S38" s="3150"/>
      <c r="T38" s="3068" t="s">
        <v>2337</v>
      </c>
      <c r="U38" s="3068"/>
      <c r="V38" s="3077"/>
    </row>
    <row r="39" spans="1:23" s="3081" customFormat="1" ht="13.2" customHeight="1">
      <c r="A39" s="3159">
        <v>9</v>
      </c>
      <c r="B39" s="3160" t="s">
        <v>2426</v>
      </c>
      <c r="C39" s="3125" t="e">
        <f>C38</f>
        <v>#DIV/0!</v>
      </c>
      <c r="D39" s="3160">
        <f>D38/(1+D34)^C36</f>
        <v>0</v>
      </c>
      <c r="E39" s="3160">
        <f>E38/(1+E34)^(C36+D36)</f>
        <v>0</v>
      </c>
      <c r="F39" s="3164"/>
      <c r="G39" s="3219"/>
      <c r="H39" s="3076"/>
      <c r="I39" s="3077"/>
      <c r="J39" s="3964"/>
      <c r="K39" s="3966"/>
      <c r="L39" s="3111"/>
      <c r="M39" s="3112"/>
      <c r="N39" s="3088"/>
      <c r="O39" s="3113"/>
      <c r="P39" s="3113"/>
      <c r="Q39" s="3114"/>
      <c r="R39" s="3115"/>
      <c r="S39" s="3150"/>
      <c r="T39" s="3068"/>
      <c r="U39" s="3068"/>
      <c r="V39" s="3077"/>
    </row>
    <row r="40" spans="1:23" s="3081" customFormat="1" ht="13.2" customHeight="1">
      <c r="A40" s="3220">
        <v>10</v>
      </c>
      <c r="B40" s="3160" t="s">
        <v>2427</v>
      </c>
      <c r="C40" s="3221" t="e">
        <f>C39+D39+E39</f>
        <v>#DIV/0!</v>
      </c>
      <c r="D40" s="3222"/>
      <c r="E40" s="3222"/>
      <c r="F40" s="3223"/>
      <c r="G40" s="3158"/>
      <c r="H40" s="3076"/>
      <c r="I40" s="3077"/>
      <c r="J40" s="3964"/>
      <c r="K40" s="3967"/>
      <c r="L40" s="3131" t="s">
        <v>2428</v>
      </c>
      <c r="M40" s="3132"/>
      <c r="N40" s="3132"/>
      <c r="O40" s="3133"/>
      <c r="P40" s="3133"/>
      <c r="Q40" s="3134"/>
      <c r="R40" s="3080">
        <f>SUM(R37:R39)</f>
        <v>0</v>
      </c>
      <c r="S40" s="3150"/>
      <c r="T40" s="3068"/>
      <c r="U40" s="3068"/>
      <c r="V40" s="3077"/>
    </row>
    <row r="41" spans="1:23" s="3081" customFormat="1" ht="13.2" customHeight="1" thickBot="1">
      <c r="A41" s="3224">
        <v>11</v>
      </c>
      <c r="B41" s="3225" t="s">
        <v>2429</v>
      </c>
      <c r="C41" s="3225" t="e">
        <f>ROUND(C40*10000/B4,0)</f>
        <v>#DIV/0!</v>
      </c>
      <c r="D41" s="3226"/>
      <c r="E41" s="3226"/>
      <c r="F41" s="3227"/>
      <c r="G41" s="3228"/>
      <c r="H41" s="3076"/>
      <c r="I41" s="3077"/>
      <c r="J41" s="3172">
        <v>2</v>
      </c>
      <c r="K41" s="3173" t="s">
        <v>2430</v>
      </c>
      <c r="L41" s="3174"/>
      <c r="M41" s="3174"/>
      <c r="N41" s="3174"/>
      <c r="O41" s="3174"/>
      <c r="P41" s="3175"/>
      <c r="Q41" s="3176"/>
      <c r="R41" s="3147">
        <f>ROUND(R40*Q41,0)</f>
        <v>0</v>
      </c>
      <c r="S41" s="3150"/>
      <c r="T41" s="3068"/>
      <c r="U41" s="3184"/>
      <c r="V41" s="3077"/>
    </row>
    <row r="42" spans="1:23" s="3081" customFormat="1" ht="13.2" customHeight="1">
      <c r="G42" s="3228"/>
      <c r="H42" s="3076"/>
      <c r="I42" s="3077"/>
      <c r="J42" s="3968">
        <v>3</v>
      </c>
      <c r="K42" s="3179" t="s">
        <v>2431</v>
      </c>
      <c r="L42" s="3180"/>
      <c r="M42" s="3181"/>
      <c r="N42" s="3182" t="s">
        <v>2432</v>
      </c>
      <c r="O42" s="3182" t="s">
        <v>2433</v>
      </c>
      <c r="P42" s="3183" t="s">
        <v>2434</v>
      </c>
      <c r="Q42" s="3183" t="s">
        <v>2435</v>
      </c>
      <c r="R42" s="3086" t="s">
        <v>2436</v>
      </c>
      <c r="S42" s="3184"/>
      <c r="T42" s="3184"/>
      <c r="U42" s="3068"/>
      <c r="V42" s="3077"/>
    </row>
    <row r="43" spans="1:23" ht="13.2" customHeight="1">
      <c r="A43" s="3081"/>
      <c r="B43" s="3081"/>
      <c r="C43" s="3081"/>
      <c r="D43" s="3081"/>
      <c r="E43" s="3081"/>
      <c r="F43" s="3081"/>
      <c r="I43" s="3063"/>
      <c r="J43" s="3969"/>
      <c r="K43" s="3187"/>
      <c r="L43" s="3188"/>
      <c r="M43" s="3189"/>
      <c r="N43" s="3112"/>
      <c r="O43" s="3112"/>
      <c r="P43" s="3112"/>
      <c r="Q43" s="3176"/>
      <c r="R43" s="3147">
        <f>ROUND(O43*N43*P43*(1-Q43)/10000,0)</f>
        <v>0</v>
      </c>
      <c r="S43" s="3150"/>
      <c r="T43" s="3068"/>
      <c r="V43" s="3230"/>
      <c r="W43" s="3231"/>
    </row>
    <row r="44" spans="1:23" ht="13.2" customHeight="1" thickBot="1">
      <c r="J44" s="3192">
        <v>6</v>
      </c>
      <c r="K44" s="3193" t="s">
        <v>2437</v>
      </c>
      <c r="L44" s="3232" t="s">
        <v>2438</v>
      </c>
      <c r="M44" s="3195"/>
      <c r="N44" s="3232" t="s">
        <v>2439</v>
      </c>
      <c r="O44" s="3195"/>
      <c r="P44" s="3232" t="s">
        <v>2440</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2284</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2552</v>
      </c>
      <c r="D13" s="3013">
        <f>'数据-汇总表'!E6</f>
        <v>127591.06</v>
      </c>
      <c r="E13" s="3013">
        <f>'数据-取费表'!B28</f>
        <v>200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0.84399999999999997</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3876" t="s">
        <v>471</v>
      </c>
      <c r="D4" s="3877"/>
      <c r="E4" s="3902" t="s">
        <v>472</v>
      </c>
      <c r="F4" s="3903"/>
      <c r="G4" s="3876" t="s">
        <v>473</v>
      </c>
      <c r="H4" s="3877"/>
      <c r="I4" s="3876" t="s">
        <v>474</v>
      </c>
      <c r="J4" s="3877"/>
      <c r="K4" s="818" t="s">
        <v>475</v>
      </c>
      <c r="L4" s="1856"/>
      <c r="M4" s="1857"/>
      <c r="N4" s="1857"/>
      <c r="O4" s="1857"/>
      <c r="P4" s="3878" t="s">
        <v>476</v>
      </c>
      <c r="Q4" s="3879"/>
      <c r="R4" s="3862" t="s">
        <v>472</v>
      </c>
      <c r="S4" s="3863"/>
      <c r="T4" s="3862" t="s">
        <v>473</v>
      </c>
      <c r="U4" s="3863"/>
      <c r="V4" s="3884" t="s">
        <v>474</v>
      </c>
      <c r="W4" s="3884"/>
      <c r="X4" s="1380"/>
      <c r="Y4" s="3862" t="s">
        <v>476</v>
      </c>
      <c r="Z4" s="3863"/>
      <c r="AA4" s="3857" t="s">
        <v>472</v>
      </c>
      <c r="AB4" s="3857" t="s">
        <v>473</v>
      </c>
      <c r="AC4" s="3857" t="s">
        <v>474</v>
      </c>
    </row>
    <row r="5" spans="1:29">
      <c r="A5" s="485"/>
      <c r="B5" s="486"/>
      <c r="C5" s="3887" t="s">
        <v>2191</v>
      </c>
      <c r="D5" s="3888"/>
      <c r="E5" s="3904" t="s">
        <v>2192</v>
      </c>
      <c r="F5" s="3905"/>
      <c r="G5" s="3887" t="s">
        <v>2193</v>
      </c>
      <c r="H5" s="3888"/>
      <c r="I5" s="3887" t="s">
        <v>2194</v>
      </c>
      <c r="J5" s="3888"/>
      <c r="K5" s="819"/>
      <c r="L5" s="1856"/>
      <c r="M5" s="1857"/>
      <c r="N5" s="1857"/>
      <c r="O5" s="1857"/>
      <c r="P5" s="3880"/>
      <c r="Q5" s="3881"/>
      <c r="R5" s="3864"/>
      <c r="S5" s="3865"/>
      <c r="T5" s="3864"/>
      <c r="U5" s="3865"/>
      <c r="V5" s="3884"/>
      <c r="W5" s="3884"/>
      <c r="X5" s="1380"/>
      <c r="Y5" s="3864"/>
      <c r="Z5" s="3865"/>
      <c r="AA5" s="3858"/>
      <c r="AB5" s="3858"/>
      <c r="AC5" s="3858"/>
    </row>
    <row r="6" spans="1:29" ht="15" thickBot="1">
      <c r="A6" s="487"/>
      <c r="B6" s="488"/>
      <c r="C6" s="3885" t="s">
        <v>2195</v>
      </c>
      <c r="D6" s="3886"/>
      <c r="E6" s="3906" t="s">
        <v>2195</v>
      </c>
      <c r="F6" s="3907"/>
      <c r="G6" s="3885" t="s">
        <v>2195</v>
      </c>
      <c r="H6" s="3886"/>
      <c r="I6" s="3885" t="s">
        <v>2195</v>
      </c>
      <c r="J6" s="3886"/>
      <c r="K6" s="819" t="s">
        <v>477</v>
      </c>
      <c r="L6" s="1856"/>
      <c r="M6" s="1857"/>
      <c r="N6" s="1857"/>
      <c r="O6" s="1857"/>
      <c r="P6" s="3882"/>
      <c r="Q6" s="3883"/>
      <c r="R6" s="3864"/>
      <c r="S6" s="3865"/>
      <c r="T6" s="3866"/>
      <c r="U6" s="3867"/>
      <c r="V6" s="3884"/>
      <c r="W6" s="3884"/>
      <c r="X6" s="1380"/>
      <c r="Y6" s="3866"/>
      <c r="Z6" s="3867"/>
      <c r="AA6" s="3859"/>
      <c r="AB6" s="3859"/>
      <c r="AC6" s="3859"/>
    </row>
    <row r="7" spans="1:29" s="1118" customFormat="1" ht="15" thickBot="1">
      <c r="A7" s="2392"/>
      <c r="B7" s="2399" t="s">
        <v>478</v>
      </c>
      <c r="C7" s="489">
        <f>'数据-取费表'!B2</f>
        <v>45028</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60" t="s">
        <v>479</v>
      </c>
      <c r="Q7" s="3869"/>
      <c r="R7" s="1381" t="s">
        <v>10</v>
      </c>
      <c r="S7" s="1382">
        <f t="shared" ref="S7:S15" si="0">F7</f>
        <v>0</v>
      </c>
      <c r="T7" s="1381" t="s">
        <v>10</v>
      </c>
      <c r="U7" s="1382">
        <f t="shared" ref="U7:U15" si="1">H7</f>
        <v>0</v>
      </c>
      <c r="V7" s="1381" t="s">
        <v>10</v>
      </c>
      <c r="W7" s="1382">
        <f t="shared" ref="W7:W15" si="2">J7</f>
        <v>0</v>
      </c>
      <c r="X7" s="1383"/>
      <c r="Y7" s="3860" t="s">
        <v>479</v>
      </c>
      <c r="Z7" s="3861"/>
      <c r="AA7" s="1384" t="e">
        <f>D7/F7</f>
        <v>#DIV/0!</v>
      </c>
      <c r="AB7" s="1384" t="e">
        <f>D7/H7</f>
        <v>#DIV/0!</v>
      </c>
      <c r="AC7" s="1384" t="e">
        <f>D7/J7</f>
        <v>#DIV/0!</v>
      </c>
    </row>
    <row r="8" spans="1:29" s="1118" customFormat="1" ht="1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60" t="s">
        <v>482</v>
      </c>
      <c r="Q8" s="3861"/>
      <c r="R8" s="1381" t="s">
        <v>10</v>
      </c>
      <c r="S8" s="1382">
        <f t="shared" si="0"/>
        <v>0</v>
      </c>
      <c r="T8" s="1381" t="s">
        <v>10</v>
      </c>
      <c r="U8" s="1382">
        <f t="shared" si="1"/>
        <v>0</v>
      </c>
      <c r="V8" s="1381" t="s">
        <v>10</v>
      </c>
      <c r="W8" s="1382">
        <f t="shared" si="2"/>
        <v>0</v>
      </c>
      <c r="X8" s="1383"/>
      <c r="Y8" s="3860" t="s">
        <v>482</v>
      </c>
      <c r="Z8" s="3861"/>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68" t="s">
        <v>484</v>
      </c>
      <c r="Q9" s="1050" t="str">
        <f t="shared" ref="Q9:Q15" si="6">B9</f>
        <v>用途</v>
      </c>
      <c r="R9" s="1381" t="s">
        <v>5</v>
      </c>
      <c r="S9" s="1382">
        <f t="shared" si="0"/>
        <v>100</v>
      </c>
      <c r="T9" s="1381" t="s">
        <v>5</v>
      </c>
      <c r="U9" s="1382">
        <f t="shared" si="1"/>
        <v>100</v>
      </c>
      <c r="V9" s="1381" t="s">
        <v>5</v>
      </c>
      <c r="W9" s="1382">
        <f t="shared" si="2"/>
        <v>100</v>
      </c>
      <c r="X9" s="1383"/>
      <c r="Y9" s="3820"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20"/>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68"/>
      <c r="Q11" s="1050" t="str">
        <f t="shared" si="6"/>
        <v>容积率</v>
      </c>
      <c r="R11" s="1381" t="s">
        <v>8</v>
      </c>
      <c r="S11" s="1382" t="e">
        <f t="shared" si="0"/>
        <v>#N/A</v>
      </c>
      <c r="T11" s="1381" t="s">
        <v>8</v>
      </c>
      <c r="U11" s="1382" t="e">
        <f t="shared" si="1"/>
        <v>#N/A</v>
      </c>
      <c r="V11" s="1381" t="s">
        <v>8</v>
      </c>
      <c r="W11" s="1382" t="e">
        <f t="shared" si="2"/>
        <v>#N/A</v>
      </c>
      <c r="X11" s="1383"/>
      <c r="Y11" s="382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68"/>
      <c r="Q12" s="1050">
        <f t="shared" si="6"/>
        <v>111</v>
      </c>
      <c r="R12" s="1381" t="s">
        <v>8</v>
      </c>
      <c r="S12" s="1382">
        <f t="shared" si="0"/>
        <v>100</v>
      </c>
      <c r="T12" s="1381" t="s">
        <v>8</v>
      </c>
      <c r="U12" s="1382">
        <f t="shared" si="1"/>
        <v>100</v>
      </c>
      <c r="V12" s="1381" t="s">
        <v>8</v>
      </c>
      <c r="W12" s="1382">
        <f t="shared" si="2"/>
        <v>100</v>
      </c>
      <c r="X12" s="1383"/>
      <c r="Y12" s="3820"/>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68"/>
      <c r="Q13" s="1050">
        <f t="shared" si="6"/>
        <v>111</v>
      </c>
      <c r="R13" s="1381" t="s">
        <v>8</v>
      </c>
      <c r="S13" s="1382">
        <f t="shared" si="0"/>
        <v>100</v>
      </c>
      <c r="T13" s="1381" t="s">
        <v>8</v>
      </c>
      <c r="U13" s="1382">
        <f t="shared" si="1"/>
        <v>100</v>
      </c>
      <c r="V13" s="1381" t="s">
        <v>8</v>
      </c>
      <c r="W13" s="1382">
        <f t="shared" si="2"/>
        <v>100</v>
      </c>
      <c r="X13" s="1383"/>
      <c r="Y13" s="3820"/>
      <c r="Z13" s="1049">
        <f t="shared" si="7"/>
        <v>111</v>
      </c>
      <c r="AA13" s="1384">
        <f t="shared" si="3"/>
        <v>1</v>
      </c>
      <c r="AB13" s="1384">
        <f t="shared" si="4"/>
        <v>1</v>
      </c>
      <c r="AC13" s="1384">
        <f t="shared" si="5"/>
        <v>1</v>
      </c>
    </row>
    <row r="14" spans="1:29" ht="15.6"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68"/>
      <c r="Q14" s="1050">
        <f t="shared" si="6"/>
        <v>111</v>
      </c>
      <c r="R14" s="1381" t="s">
        <v>8</v>
      </c>
      <c r="S14" s="1382">
        <f t="shared" si="0"/>
        <v>100</v>
      </c>
      <c r="T14" s="1381" t="s">
        <v>8</v>
      </c>
      <c r="U14" s="1382">
        <f t="shared" si="1"/>
        <v>100</v>
      </c>
      <c r="V14" s="1381" t="s">
        <v>8</v>
      </c>
      <c r="W14" s="1382">
        <f t="shared" si="2"/>
        <v>100</v>
      </c>
      <c r="X14" s="1383"/>
      <c r="Y14" s="3820"/>
      <c r="Z14" s="1049">
        <f t="shared" si="7"/>
        <v>111</v>
      </c>
      <c r="AA14" s="1384">
        <f t="shared" si="3"/>
        <v>1</v>
      </c>
      <c r="AB14" s="1384">
        <f t="shared" si="4"/>
        <v>1</v>
      </c>
      <c r="AC14" s="1384">
        <f t="shared" si="5"/>
        <v>1</v>
      </c>
    </row>
    <row r="15" spans="1:29" ht="96.6">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0" t="s">
        <v>489</v>
      </c>
      <c r="Q15" s="1385" t="str">
        <f t="shared" si="6"/>
        <v>居住社区成熟度</v>
      </c>
      <c r="R15" s="1386" t="s">
        <v>8</v>
      </c>
      <c r="S15" s="1387">
        <f t="shared" si="0"/>
        <v>100</v>
      </c>
      <c r="T15" s="1386" t="s">
        <v>8</v>
      </c>
      <c r="U15" s="1387">
        <f t="shared" si="1"/>
        <v>100</v>
      </c>
      <c r="V15" s="1386" t="s">
        <v>8</v>
      </c>
      <c r="W15" s="1387">
        <f t="shared" si="2"/>
        <v>100</v>
      </c>
      <c r="X15" s="1380"/>
      <c r="Y15" s="3870"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71"/>
      <c r="Q16" s="1385"/>
      <c r="R16" s="1386"/>
      <c r="S16" s="1387"/>
      <c r="T16" s="1386"/>
      <c r="U16" s="1387"/>
      <c r="V16" s="1386"/>
      <c r="W16" s="1387"/>
      <c r="X16" s="1380"/>
      <c r="Y16" s="3871"/>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71"/>
      <c r="Q17" s="1385" t="str">
        <f>B17</f>
        <v>交通便捷度</v>
      </c>
      <c r="R17" s="1386" t="s">
        <v>8</v>
      </c>
      <c r="S17" s="1387">
        <f>F17</f>
        <v>100</v>
      </c>
      <c r="T17" s="1386" t="s">
        <v>8</v>
      </c>
      <c r="U17" s="1387">
        <f>H17</f>
        <v>100</v>
      </c>
      <c r="V17" s="1386" t="s">
        <v>8</v>
      </c>
      <c r="W17" s="1387">
        <f>J17</f>
        <v>100</v>
      </c>
      <c r="X17" s="1380"/>
      <c r="Y17" s="387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71"/>
      <c r="Q18" s="1385"/>
      <c r="R18" s="1386"/>
      <c r="S18" s="1387"/>
      <c r="T18" s="1386"/>
      <c r="U18" s="1387"/>
      <c r="V18" s="1386"/>
      <c r="W18" s="1387"/>
      <c r="X18" s="1380"/>
      <c r="Y18" s="3871"/>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71"/>
      <c r="Q19" s="1385" t="str">
        <f>B19</f>
        <v>公共配套设施</v>
      </c>
      <c r="R19" s="1386" t="s">
        <v>8</v>
      </c>
      <c r="S19" s="1387">
        <f>F19</f>
        <v>100</v>
      </c>
      <c r="T19" s="1386" t="s">
        <v>8</v>
      </c>
      <c r="U19" s="1387">
        <f>H19</f>
        <v>100</v>
      </c>
      <c r="V19" s="1386" t="s">
        <v>8</v>
      </c>
      <c r="W19" s="1387">
        <f>J19</f>
        <v>100</v>
      </c>
      <c r="X19" s="1380"/>
      <c r="Y19" s="3871"/>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7.6">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71"/>
      <c r="Q21" s="2193" t="str">
        <f>B21</f>
        <v>基础设施水平</v>
      </c>
      <c r="R21" s="1386" t="s">
        <v>8</v>
      </c>
      <c r="S21" s="1387">
        <f>F21</f>
        <v>100</v>
      </c>
      <c r="T21" s="1386" t="s">
        <v>8</v>
      </c>
      <c r="U21" s="1387">
        <f>H21</f>
        <v>100</v>
      </c>
      <c r="V21" s="1386" t="s">
        <v>8</v>
      </c>
      <c r="W21" s="1387">
        <f>J21</f>
        <v>100</v>
      </c>
      <c r="X21" s="2195"/>
      <c r="Y21" s="3871"/>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71"/>
      <c r="Q22" s="2193"/>
      <c r="R22" s="1386"/>
      <c r="S22" s="1387"/>
      <c r="T22" s="1386"/>
      <c r="U22" s="1387"/>
      <c r="V22" s="1386"/>
      <c r="W22" s="1387"/>
      <c r="X22" s="2195"/>
      <c r="Y22" s="3871"/>
      <c r="Z22" s="2194"/>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71"/>
      <c r="Q23" s="1385" t="str">
        <f>B23</f>
        <v>自然及人文环境</v>
      </c>
      <c r="R23" s="1386" t="s">
        <v>8</v>
      </c>
      <c r="S23" s="1387">
        <f>F23</f>
        <v>100</v>
      </c>
      <c r="T23" s="1386" t="s">
        <v>8</v>
      </c>
      <c r="U23" s="1387">
        <f>H23</f>
        <v>100</v>
      </c>
      <c r="V23" s="1386" t="s">
        <v>8</v>
      </c>
      <c r="W23" s="1387">
        <f>J23</f>
        <v>100</v>
      </c>
      <c r="X23" s="1380"/>
      <c r="Y23" s="3871"/>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71"/>
      <c r="Q24" s="1385"/>
      <c r="R24" s="1386"/>
      <c r="S24" s="1387"/>
      <c r="T24" s="1386"/>
      <c r="U24" s="1387"/>
      <c r="V24" s="1386"/>
      <c r="W24" s="1387"/>
      <c r="X24" s="1380"/>
      <c r="Y24" s="3871"/>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1"/>
      <c r="Q25" s="1385" t="str">
        <f t="shared" ref="Q25:Q46" si="8">B25</f>
        <v>楼层-1</v>
      </c>
      <c r="R25" s="1386" t="s">
        <v>8</v>
      </c>
      <c r="S25" s="1387">
        <f>F25</f>
        <v>100</v>
      </c>
      <c r="T25" s="1386" t="s">
        <v>8</v>
      </c>
      <c r="U25" s="1387">
        <f>H25</f>
        <v>100</v>
      </c>
      <c r="V25" s="1386" t="s">
        <v>8</v>
      </c>
      <c r="W25" s="1387">
        <f>J25</f>
        <v>100</v>
      </c>
      <c r="X25" s="1380"/>
      <c r="Y25" s="3871"/>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1"/>
      <c r="Q26" s="1385" t="str">
        <f t="shared" si="8"/>
        <v>朝向</v>
      </c>
      <c r="R26" s="1386" t="s">
        <v>8</v>
      </c>
      <c r="S26" s="1387">
        <f>F26</f>
        <v>100</v>
      </c>
      <c r="T26" s="1386" t="s">
        <v>8</v>
      </c>
      <c r="U26" s="1387">
        <f>H26</f>
        <v>100</v>
      </c>
      <c r="V26" s="1386" t="s">
        <v>8</v>
      </c>
      <c r="W26" s="1387">
        <f>J26</f>
        <v>100</v>
      </c>
      <c r="X26" s="1380"/>
      <c r="Y26" s="3871"/>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1"/>
      <c r="Q27" s="1050" t="str">
        <f t="shared" si="8"/>
        <v>道路级别</v>
      </c>
      <c r="R27" s="1381" t="s">
        <v>8</v>
      </c>
      <c r="S27" s="1382">
        <f>F27</f>
        <v>100</v>
      </c>
      <c r="T27" s="1381" t="s">
        <v>8</v>
      </c>
      <c r="U27" s="1382">
        <f>H27</f>
        <v>100</v>
      </c>
      <c r="V27" s="1381" t="s">
        <v>8</v>
      </c>
      <c r="W27" s="1382">
        <f>J27</f>
        <v>100</v>
      </c>
      <c r="X27" s="1383"/>
      <c r="Y27" s="3871"/>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1"/>
      <c r="Q28" s="1385">
        <f t="shared" si="8"/>
        <v>111</v>
      </c>
      <c r="R28" s="1386" t="s">
        <v>8</v>
      </c>
      <c r="S28" s="1387">
        <f t="shared" ref="S28:S46" si="9">F28</f>
        <v>100</v>
      </c>
      <c r="T28" s="1386" t="s">
        <v>8</v>
      </c>
      <c r="U28" s="1387">
        <f t="shared" ref="U28:U46" si="10">H28</f>
        <v>100</v>
      </c>
      <c r="V28" s="1386" t="s">
        <v>8</v>
      </c>
      <c r="W28" s="1387">
        <f t="shared" ref="W28:W46" si="11">J28</f>
        <v>100</v>
      </c>
      <c r="X28" s="1380"/>
      <c r="Y28" s="3871"/>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1"/>
      <c r="Q29" s="1385">
        <f t="shared" si="8"/>
        <v>111</v>
      </c>
      <c r="R29" s="1386" t="s">
        <v>8</v>
      </c>
      <c r="S29" s="1387">
        <f t="shared" si="9"/>
        <v>100</v>
      </c>
      <c r="T29" s="1386" t="s">
        <v>8</v>
      </c>
      <c r="U29" s="1387">
        <f t="shared" si="10"/>
        <v>100</v>
      </c>
      <c r="V29" s="1386" t="s">
        <v>8</v>
      </c>
      <c r="W29" s="1387">
        <f t="shared" si="11"/>
        <v>100</v>
      </c>
      <c r="X29" s="1380"/>
      <c r="Y29" s="3871"/>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1"/>
      <c r="Q30" s="1385">
        <f t="shared" si="8"/>
        <v>111</v>
      </c>
      <c r="R30" s="1386" t="s">
        <v>8</v>
      </c>
      <c r="S30" s="1387">
        <f t="shared" si="9"/>
        <v>100</v>
      </c>
      <c r="T30" s="1386" t="s">
        <v>8</v>
      </c>
      <c r="U30" s="1387">
        <f t="shared" si="10"/>
        <v>100</v>
      </c>
      <c r="V30" s="1386" t="s">
        <v>8</v>
      </c>
      <c r="W30" s="1387">
        <f t="shared" si="11"/>
        <v>100</v>
      </c>
      <c r="X30" s="1380"/>
      <c r="Y30" s="3871"/>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1"/>
      <c r="Q31" s="1385">
        <f t="shared" si="8"/>
        <v>111</v>
      </c>
      <c r="R31" s="1386" t="s">
        <v>8</v>
      </c>
      <c r="S31" s="1387">
        <f t="shared" si="9"/>
        <v>100</v>
      </c>
      <c r="T31" s="1386" t="s">
        <v>8</v>
      </c>
      <c r="U31" s="1387">
        <f t="shared" si="10"/>
        <v>100</v>
      </c>
      <c r="V31" s="1386" t="s">
        <v>8</v>
      </c>
      <c r="W31" s="1387">
        <f t="shared" si="11"/>
        <v>100</v>
      </c>
      <c r="X31" s="1380"/>
      <c r="Y31" s="3871"/>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72" t="s">
        <v>499</v>
      </c>
      <c r="Q32" s="1385" t="str">
        <f t="shared" si="8"/>
        <v>建筑类型</v>
      </c>
      <c r="R32" s="1386" t="s">
        <v>8</v>
      </c>
      <c r="S32" s="1387">
        <f t="shared" si="9"/>
        <v>100</v>
      </c>
      <c r="T32" s="1386" t="s">
        <v>8</v>
      </c>
      <c r="U32" s="1387">
        <f t="shared" si="10"/>
        <v>100</v>
      </c>
      <c r="V32" s="1386" t="s">
        <v>8</v>
      </c>
      <c r="W32" s="1387">
        <f t="shared" si="11"/>
        <v>100</v>
      </c>
      <c r="X32" s="1380"/>
      <c r="Y32" s="3873"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73"/>
      <c r="Q33" s="1414" t="str">
        <f t="shared" si="8"/>
        <v>项目建筑规模</v>
      </c>
      <c r="R33" s="1390" t="s">
        <v>8</v>
      </c>
      <c r="S33" s="1391" t="e">
        <f t="shared" si="9"/>
        <v>#N/A</v>
      </c>
      <c r="T33" s="1390" t="s">
        <v>8</v>
      </c>
      <c r="U33" s="1391" t="e">
        <f t="shared" si="10"/>
        <v>#N/A</v>
      </c>
      <c r="V33" s="1390" t="s">
        <v>8</v>
      </c>
      <c r="W33" s="1391" t="e">
        <f t="shared" si="11"/>
        <v>#N/A</v>
      </c>
      <c r="X33" s="1392"/>
      <c r="Y33" s="3873"/>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73"/>
      <c r="Q34" s="1385" t="str">
        <f t="shared" si="8"/>
        <v>建筑结构</v>
      </c>
      <c r="R34" s="1386" t="s">
        <v>8</v>
      </c>
      <c r="S34" s="1387">
        <f t="shared" si="9"/>
        <v>100</v>
      </c>
      <c r="T34" s="1386" t="s">
        <v>8</v>
      </c>
      <c r="U34" s="1387">
        <f t="shared" si="10"/>
        <v>100</v>
      </c>
      <c r="V34" s="1386" t="s">
        <v>8</v>
      </c>
      <c r="W34" s="1387">
        <f t="shared" si="11"/>
        <v>100</v>
      </c>
      <c r="X34" s="1380"/>
      <c r="Y34" s="3873"/>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73"/>
      <c r="Q35" s="1385" t="str">
        <f t="shared" si="8"/>
        <v>建筑品质</v>
      </c>
      <c r="R35" s="1386" t="s">
        <v>8</v>
      </c>
      <c r="S35" s="1387">
        <f t="shared" si="9"/>
        <v>100</v>
      </c>
      <c r="T35" s="1386" t="s">
        <v>8</v>
      </c>
      <c r="U35" s="1387">
        <f t="shared" si="10"/>
        <v>100</v>
      </c>
      <c r="V35" s="1386" t="s">
        <v>8</v>
      </c>
      <c r="W35" s="1387">
        <f t="shared" si="11"/>
        <v>100</v>
      </c>
      <c r="X35" s="1380"/>
      <c r="Y35" s="3873"/>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73"/>
      <c r="Q36" s="1385" t="str">
        <f t="shared" si="8"/>
        <v>公共部分装修</v>
      </c>
      <c r="R36" s="1386" t="s">
        <v>8</v>
      </c>
      <c r="S36" s="1387">
        <f t="shared" si="9"/>
        <v>100</v>
      </c>
      <c r="T36" s="1386" t="s">
        <v>8</v>
      </c>
      <c r="U36" s="1387">
        <f t="shared" si="10"/>
        <v>100</v>
      </c>
      <c r="V36" s="1386" t="s">
        <v>8</v>
      </c>
      <c r="W36" s="1387">
        <f t="shared" si="11"/>
        <v>100</v>
      </c>
      <c r="X36" s="1380"/>
      <c r="Y36" s="3873"/>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73"/>
      <c r="Q37" s="1050" t="str">
        <f t="shared" si="8"/>
        <v>成新度</v>
      </c>
      <c r="R37" s="1381" t="s">
        <v>8</v>
      </c>
      <c r="S37" s="1382" t="e">
        <f t="shared" si="9"/>
        <v>#N/A</v>
      </c>
      <c r="T37" s="1381" t="s">
        <v>8</v>
      </c>
      <c r="U37" s="1382" t="e">
        <f t="shared" si="10"/>
        <v>#N/A</v>
      </c>
      <c r="V37" s="1381" t="s">
        <v>8</v>
      </c>
      <c r="W37" s="1382" t="e">
        <f t="shared" si="11"/>
        <v>#N/A</v>
      </c>
      <c r="X37" s="1383"/>
      <c r="Y37" s="3873"/>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73" t="s">
        <v>499</v>
      </c>
      <c r="Q38" s="1385" t="str">
        <f t="shared" si="8"/>
        <v>物业管理</v>
      </c>
      <c r="R38" s="1386" t="s">
        <v>8</v>
      </c>
      <c r="S38" s="1387">
        <f t="shared" si="9"/>
        <v>100</v>
      </c>
      <c r="T38" s="1386" t="s">
        <v>8</v>
      </c>
      <c r="U38" s="1387">
        <f t="shared" si="10"/>
        <v>100</v>
      </c>
      <c r="V38" s="1386" t="s">
        <v>8</v>
      </c>
      <c r="W38" s="1387">
        <f t="shared" si="11"/>
        <v>100</v>
      </c>
      <c r="X38" s="1380"/>
      <c r="Y38" s="3873"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73"/>
      <c r="Q39" s="1385" t="str">
        <f t="shared" si="8"/>
        <v>市政基础设施</v>
      </c>
      <c r="R39" s="1386" t="s">
        <v>8</v>
      </c>
      <c r="S39" s="1387">
        <f t="shared" si="9"/>
        <v>100</v>
      </c>
      <c r="T39" s="1386" t="s">
        <v>8</v>
      </c>
      <c r="U39" s="1387">
        <f t="shared" si="10"/>
        <v>100</v>
      </c>
      <c r="V39" s="1386" t="s">
        <v>8</v>
      </c>
      <c r="W39" s="1387">
        <f t="shared" si="11"/>
        <v>100</v>
      </c>
      <c r="X39" s="1380"/>
      <c r="Y39" s="3873"/>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73"/>
      <c r="Q40" s="1385" t="str">
        <f t="shared" si="8"/>
        <v>房型</v>
      </c>
      <c r="R40" s="1386" t="s">
        <v>8</v>
      </c>
      <c r="S40" s="1387">
        <f t="shared" si="9"/>
        <v>100</v>
      </c>
      <c r="T40" s="1386" t="s">
        <v>8</v>
      </c>
      <c r="U40" s="1387">
        <f t="shared" si="10"/>
        <v>100</v>
      </c>
      <c r="V40" s="1386" t="s">
        <v>8</v>
      </c>
      <c r="W40" s="1387">
        <f t="shared" si="11"/>
        <v>100</v>
      </c>
      <c r="X40" s="1380"/>
      <c r="Y40" s="3873"/>
      <c r="Z40" s="1388" t="str">
        <f t="shared" si="12"/>
        <v>房型</v>
      </c>
      <c r="AA40" s="1389">
        <f t="shared" si="3"/>
        <v>1</v>
      </c>
      <c r="AB40" s="1389">
        <f t="shared" si="4"/>
        <v>1</v>
      </c>
      <c r="AC40" s="1389">
        <f t="shared" si="5"/>
        <v>1</v>
      </c>
    </row>
    <row r="41" spans="1:29" s="1200"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73"/>
      <c r="Q41" s="1414" t="str">
        <f t="shared" si="8"/>
        <v>单套/主力户型建筑面积</v>
      </c>
      <c r="R41" s="1390" t="s">
        <v>8</v>
      </c>
      <c r="S41" s="1391">
        <f t="shared" si="9"/>
        <v>100</v>
      </c>
      <c r="T41" s="1390" t="s">
        <v>8</v>
      </c>
      <c r="U41" s="1391">
        <f t="shared" si="10"/>
        <v>100</v>
      </c>
      <c r="V41" s="1390" t="s">
        <v>8</v>
      </c>
      <c r="W41" s="1391">
        <f t="shared" si="11"/>
        <v>100</v>
      </c>
      <c r="X41" s="1392"/>
      <c r="Y41" s="3873"/>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73"/>
      <c r="Q42" s="1385" t="str">
        <f t="shared" si="8"/>
        <v>内部装修</v>
      </c>
      <c r="R42" s="1386" t="s">
        <v>8</v>
      </c>
      <c r="S42" s="1387">
        <f t="shared" si="9"/>
        <v>100</v>
      </c>
      <c r="T42" s="1386" t="s">
        <v>8</v>
      </c>
      <c r="U42" s="1387">
        <f t="shared" si="10"/>
        <v>100</v>
      </c>
      <c r="V42" s="1386" t="s">
        <v>8</v>
      </c>
      <c r="W42" s="1387">
        <f t="shared" si="11"/>
        <v>100</v>
      </c>
      <c r="X42" s="1380"/>
      <c r="Y42" s="3873"/>
      <c r="Z42" s="1388" t="str">
        <f t="shared" si="12"/>
        <v>内部装修</v>
      </c>
      <c r="AA42" s="1389">
        <f t="shared" si="3"/>
        <v>1</v>
      </c>
      <c r="AB42" s="1389">
        <f t="shared" si="4"/>
        <v>1</v>
      </c>
      <c r="AC42" s="1389">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73"/>
      <c r="Q43" s="1385" t="str">
        <f t="shared" si="8"/>
        <v>内部装修维护情况</v>
      </c>
      <c r="R43" s="1386" t="s">
        <v>8</v>
      </c>
      <c r="S43" s="1387">
        <f t="shared" si="9"/>
        <v>100</v>
      </c>
      <c r="T43" s="1386" t="s">
        <v>8</v>
      </c>
      <c r="U43" s="1387">
        <f t="shared" si="10"/>
        <v>100</v>
      </c>
      <c r="V43" s="1386" t="s">
        <v>8</v>
      </c>
      <c r="W43" s="1387">
        <f t="shared" si="11"/>
        <v>100</v>
      </c>
      <c r="X43" s="1380"/>
      <c r="Y43" s="3873"/>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73"/>
      <c r="Q44" s="1050">
        <f t="shared" si="8"/>
        <v>111</v>
      </c>
      <c r="R44" s="1381" t="s">
        <v>8</v>
      </c>
      <c r="S44" s="1382">
        <f t="shared" si="9"/>
        <v>100</v>
      </c>
      <c r="T44" s="1381" t="s">
        <v>8</v>
      </c>
      <c r="U44" s="1382">
        <f t="shared" si="10"/>
        <v>100</v>
      </c>
      <c r="V44" s="1381" t="s">
        <v>8</v>
      </c>
      <c r="W44" s="1382">
        <f t="shared" si="11"/>
        <v>100</v>
      </c>
      <c r="X44" s="1383"/>
      <c r="Y44" s="3873"/>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73"/>
      <c r="Q45" s="1385">
        <f t="shared" si="8"/>
        <v>111</v>
      </c>
      <c r="R45" s="1386" t="s">
        <v>8</v>
      </c>
      <c r="S45" s="1387">
        <f t="shared" si="9"/>
        <v>100</v>
      </c>
      <c r="T45" s="1386" t="s">
        <v>8</v>
      </c>
      <c r="U45" s="1387">
        <f t="shared" si="10"/>
        <v>100</v>
      </c>
      <c r="V45" s="1386" t="s">
        <v>8</v>
      </c>
      <c r="W45" s="1387">
        <f t="shared" si="11"/>
        <v>100</v>
      </c>
      <c r="X45" s="1380"/>
      <c r="Y45" s="3873"/>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85"/>
      <c r="Q46" s="1385">
        <f t="shared" si="8"/>
        <v>111</v>
      </c>
      <c r="R46" s="1386" t="s">
        <v>7</v>
      </c>
      <c r="S46" s="1387">
        <f t="shared" si="9"/>
        <v>100</v>
      </c>
      <c r="T46" s="1386" t="s">
        <v>7</v>
      </c>
      <c r="U46" s="1387">
        <f t="shared" si="10"/>
        <v>100</v>
      </c>
      <c r="V46" s="1386" t="s">
        <v>7</v>
      </c>
      <c r="W46" s="1387">
        <f t="shared" si="11"/>
        <v>100</v>
      </c>
      <c r="X46" s="1380"/>
      <c r="Y46" s="3985"/>
      <c r="Z46" s="1388">
        <f t="shared" si="12"/>
        <v>111</v>
      </c>
      <c r="AA46" s="1389">
        <f t="shared" si="3"/>
        <v>1</v>
      </c>
      <c r="AB46" s="1389">
        <f t="shared" si="4"/>
        <v>1</v>
      </c>
      <c r="AC46" s="1389">
        <f t="shared" si="5"/>
        <v>1</v>
      </c>
    </row>
    <row r="47" spans="1:29" ht="14.4">
      <c r="A47" s="577" t="s">
        <v>683</v>
      </c>
      <c r="B47" s="850"/>
      <c r="C47" s="2234" t="s">
        <v>6</v>
      </c>
      <c r="D47" s="2235"/>
      <c r="E47" s="2236"/>
      <c r="F47" s="2237"/>
      <c r="G47" s="2238"/>
      <c r="H47" s="2239"/>
      <c r="I47" s="2236"/>
      <c r="J47" s="2239"/>
      <c r="K47" s="1415"/>
      <c r="L47" s="1867"/>
      <c r="M47" s="1868"/>
      <c r="N47" s="1857"/>
      <c r="O47" s="1868"/>
      <c r="P47" s="3868" t="str">
        <f>A47</f>
        <v>成交单价（元/平方米）</v>
      </c>
      <c r="Q47" s="3868"/>
      <c r="R47" s="3984">
        <f>E47</f>
        <v>0</v>
      </c>
      <c r="S47" s="3984"/>
      <c r="T47" s="3984">
        <f>G47</f>
        <v>0</v>
      </c>
      <c r="U47" s="3984"/>
      <c r="V47" s="3984">
        <f>I47</f>
        <v>0</v>
      </c>
      <c r="W47" s="3984"/>
      <c r="X47" s="1375"/>
      <c r="Y47" s="1394"/>
      <c r="Z47" s="1375"/>
      <c r="AA47" s="1375"/>
      <c r="AB47" s="1375"/>
      <c r="AC47" s="1375"/>
    </row>
    <row r="48" spans="1:29" ht="15" thickBot="1">
      <c r="A48" s="585" t="s">
        <v>2042</v>
      </c>
      <c r="B48" s="851"/>
      <c r="C48" s="2240" t="e">
        <f>R49</f>
        <v>#DIV/0!</v>
      </c>
      <c r="D48" s="2757" t="s">
        <v>2260</v>
      </c>
      <c r="E48" s="2241" t="e">
        <f>R48</f>
        <v>#DIV/0!</v>
      </c>
      <c r="F48" s="2758"/>
      <c r="G48" s="2240" t="e">
        <f>T48</f>
        <v>#DIV/0!</v>
      </c>
      <c r="H48" s="2758"/>
      <c r="I48" s="2241" t="e">
        <f>V48</f>
        <v>#DIV/0!</v>
      </c>
      <c r="J48" s="2758"/>
      <c r="K48" s="2766">
        <f>F48+H48+J48</f>
        <v>0</v>
      </c>
      <c r="L48" s="1867"/>
      <c r="M48" s="1868"/>
      <c r="N48" s="1868"/>
      <c r="O48" s="1868"/>
      <c r="P48" s="3868" t="str">
        <f>A48</f>
        <v>比较价格（元/平方米）</v>
      </c>
      <c r="Q48" s="3868"/>
      <c r="R48" s="3984" t="e">
        <f>IF(F1="售价",ROUND(PRODUCT(R47,AA7:AA46),0),ROUND(PRODUCT(R47,AA7:AA46),1))</f>
        <v>#DIV/0!</v>
      </c>
      <c r="S48" s="3984"/>
      <c r="T48" s="3984" t="e">
        <f>IF(F1="售价",ROUND(PRODUCT(T47,AB7:AB46),0),ROUND(PRODUCT(T47,AB7:AB46),1))</f>
        <v>#DIV/0!</v>
      </c>
      <c r="U48" s="3984"/>
      <c r="V48" s="3984" t="e">
        <f>IF(F1="售价",ROUND(PRODUCT(V47,AC7:AC46),0),ROUND(PRODUCT(V47,AC7:AC46),1))</f>
        <v>#DIV/0!</v>
      </c>
      <c r="W48" s="3984"/>
      <c r="X48" s="1375"/>
      <c r="Y48" s="1375"/>
      <c r="Z48" s="1375"/>
      <c r="AA48" s="1375"/>
      <c r="AB48" s="1375"/>
      <c r="AC48" s="1375"/>
    </row>
    <row r="49" spans="1:29" ht="15" thickBot="1">
      <c r="A49" s="589" t="s">
        <v>2197</v>
      </c>
      <c r="B49" s="590"/>
      <c r="C49" s="2242" t="e">
        <f>R49</f>
        <v>#DIV/0!</v>
      </c>
      <c r="D49" s="2242"/>
      <c r="E49" s="2242"/>
      <c r="F49" s="2242"/>
      <c r="G49" s="2242"/>
      <c r="H49" s="2242"/>
      <c r="I49" s="2242"/>
      <c r="J49" s="2242"/>
      <c r="K49" s="1416"/>
      <c r="L49" s="1867"/>
      <c r="M49" s="1868"/>
      <c r="N49" s="1868"/>
      <c r="O49" s="1868"/>
      <c r="P49" s="3874" t="str">
        <f>A49</f>
        <v>估价对象XX用房的比较价格（楼面单价，元/平方米）</v>
      </c>
      <c r="Q49" s="3875"/>
      <c r="R49" s="3983" t="e">
        <f>IF(F1="售价",ROUND(IF(D48="简单平均",AVERAGE(R48:V48),R48*F48+T48*H48+V48*J48),0),ROUND(IF(D48="简单平均",AVERAGE(R48:V48),R48*F48+T48*H48+V48*J48),1))</f>
        <v>#DIV/0!</v>
      </c>
      <c r="S49" s="3983"/>
      <c r="T49" s="3983"/>
      <c r="U49" s="3983"/>
      <c r="V49" s="3983"/>
      <c r="W49" s="3983"/>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4" t="str">
        <f>YEAR(C7)&amp;"-"&amp;MONTH(C7)</f>
        <v>2023-4</v>
      </c>
      <c r="D58" s="2284">
        <f>EDATE(C58,-1)</f>
        <v>44986</v>
      </c>
      <c r="E58" s="2284">
        <f t="shared" ref="E58:O58" si="13">EDATE(D58,-1)</f>
        <v>44958</v>
      </c>
      <c r="F58" s="2284">
        <f t="shared" si="13"/>
        <v>44927</v>
      </c>
      <c r="G58" s="2284">
        <f t="shared" si="13"/>
        <v>44896</v>
      </c>
      <c r="H58" s="2284">
        <f t="shared" si="13"/>
        <v>44866</v>
      </c>
      <c r="I58" s="2284">
        <f t="shared" si="13"/>
        <v>44835</v>
      </c>
      <c r="J58" s="2284">
        <f t="shared" si="13"/>
        <v>44805</v>
      </c>
      <c r="K58" s="2284">
        <f t="shared" si="13"/>
        <v>44774</v>
      </c>
      <c r="L58" s="2284">
        <f t="shared" si="13"/>
        <v>44743</v>
      </c>
      <c r="M58" s="2284">
        <f t="shared" si="13"/>
        <v>44713</v>
      </c>
      <c r="N58" s="2284">
        <f t="shared" si="13"/>
        <v>44682</v>
      </c>
      <c r="O58" s="2284">
        <f t="shared" si="13"/>
        <v>44652</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3876" t="s">
        <v>471</v>
      </c>
      <c r="D4" s="3877"/>
      <c r="E4" s="3902" t="s">
        <v>472</v>
      </c>
      <c r="F4" s="3903"/>
      <c r="G4" s="3876" t="s">
        <v>473</v>
      </c>
      <c r="H4" s="3877"/>
      <c r="I4" s="3876" t="s">
        <v>474</v>
      </c>
      <c r="J4" s="3877"/>
      <c r="K4" s="484" t="s">
        <v>475</v>
      </c>
      <c r="L4" s="1856"/>
      <c r="M4" s="1857"/>
      <c r="N4" s="1857"/>
      <c r="O4" s="1857"/>
      <c r="P4" s="3878" t="s">
        <v>476</v>
      </c>
      <c r="Q4" s="3879"/>
      <c r="R4" s="3862" t="s">
        <v>472</v>
      </c>
      <c r="S4" s="3863"/>
      <c r="T4" s="3862" t="s">
        <v>473</v>
      </c>
      <c r="U4" s="3863"/>
      <c r="V4" s="3884" t="s">
        <v>474</v>
      </c>
      <c r="W4" s="3884"/>
      <c r="X4" s="1380"/>
      <c r="Y4" s="3862" t="s">
        <v>476</v>
      </c>
      <c r="Z4" s="3863"/>
      <c r="AA4" s="3857" t="s">
        <v>472</v>
      </c>
      <c r="AB4" s="3884" t="s">
        <v>473</v>
      </c>
      <c r="AC4" s="3857" t="s">
        <v>474</v>
      </c>
    </row>
    <row r="5" spans="1:29">
      <c r="A5" s="485"/>
      <c r="B5" s="486"/>
      <c r="C5" s="3887" t="s">
        <v>2191</v>
      </c>
      <c r="D5" s="3888"/>
      <c r="E5" s="3904" t="s">
        <v>2192</v>
      </c>
      <c r="F5" s="3905"/>
      <c r="G5" s="3887" t="s">
        <v>2193</v>
      </c>
      <c r="H5" s="3888"/>
      <c r="I5" s="3887" t="s">
        <v>2194</v>
      </c>
      <c r="J5" s="3888"/>
      <c r="K5" s="484"/>
      <c r="L5" s="1856"/>
      <c r="M5" s="1857"/>
      <c r="N5" s="1857"/>
      <c r="O5" s="1857"/>
      <c r="P5" s="3880"/>
      <c r="Q5" s="3881"/>
      <c r="R5" s="3864"/>
      <c r="S5" s="3865"/>
      <c r="T5" s="3864"/>
      <c r="U5" s="3865"/>
      <c r="V5" s="3884"/>
      <c r="W5" s="3884"/>
      <c r="X5" s="1380"/>
      <c r="Y5" s="3864"/>
      <c r="Z5" s="3865"/>
      <c r="AA5" s="3858"/>
      <c r="AB5" s="3884"/>
      <c r="AC5" s="3858"/>
    </row>
    <row r="6" spans="1:29" ht="15" thickBot="1">
      <c r="A6" s="487"/>
      <c r="B6" s="488"/>
      <c r="C6" s="3885" t="s">
        <v>2195</v>
      </c>
      <c r="D6" s="3886"/>
      <c r="E6" s="3906" t="s">
        <v>2195</v>
      </c>
      <c r="F6" s="3907"/>
      <c r="G6" s="3885" t="s">
        <v>2195</v>
      </c>
      <c r="H6" s="3886"/>
      <c r="I6" s="3885" t="s">
        <v>2195</v>
      </c>
      <c r="J6" s="3886"/>
      <c r="K6" s="484" t="s">
        <v>477</v>
      </c>
      <c r="L6" s="1856"/>
      <c r="M6" s="1857"/>
      <c r="N6" s="1857"/>
      <c r="O6" s="1857"/>
      <c r="P6" s="3882"/>
      <c r="Q6" s="3883"/>
      <c r="R6" s="3864"/>
      <c r="S6" s="3865"/>
      <c r="T6" s="3866"/>
      <c r="U6" s="3867"/>
      <c r="V6" s="3884"/>
      <c r="W6" s="3884"/>
      <c r="X6" s="1380"/>
      <c r="Y6" s="3866"/>
      <c r="Z6" s="3867"/>
      <c r="AA6" s="3859"/>
      <c r="AB6" s="3884"/>
      <c r="AC6" s="3859"/>
    </row>
    <row r="7" spans="1:29" s="1118" customFormat="1" ht="15" thickBot="1">
      <c r="A7" s="2392"/>
      <c r="B7" s="2399" t="s">
        <v>478</v>
      </c>
      <c r="C7" s="489">
        <f>'数据-取费表'!B2</f>
        <v>45028</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60" t="s">
        <v>479</v>
      </c>
      <c r="Q7" s="3869"/>
      <c r="R7" s="1381" t="s">
        <v>5</v>
      </c>
      <c r="S7" s="1382">
        <f t="shared" ref="S7:S15" si="0">F7</f>
        <v>0</v>
      </c>
      <c r="T7" s="1381" t="s">
        <v>5</v>
      </c>
      <c r="U7" s="1382">
        <f t="shared" ref="U7:U15" si="1">H7</f>
        <v>0</v>
      </c>
      <c r="V7" s="1381" t="s">
        <v>5</v>
      </c>
      <c r="W7" s="1382">
        <f t="shared" ref="W7:W15" si="2">J7</f>
        <v>0</v>
      </c>
      <c r="X7" s="1383"/>
      <c r="Y7" s="3860" t="s">
        <v>479</v>
      </c>
      <c r="Z7" s="3861"/>
      <c r="AA7" s="1384" t="e">
        <f>D7/F7</f>
        <v>#DIV/0!</v>
      </c>
      <c r="AB7" s="1384" t="e">
        <f>D7/H7</f>
        <v>#DIV/0!</v>
      </c>
      <c r="AC7" s="1384" t="e">
        <f>D7/J7</f>
        <v>#DIV/0!</v>
      </c>
    </row>
    <row r="8" spans="1:29" s="1118" customFormat="1" ht="1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60" t="s">
        <v>482</v>
      </c>
      <c r="Q8" s="3861"/>
      <c r="R8" s="1381" t="s">
        <v>5</v>
      </c>
      <c r="S8" s="1382">
        <f t="shared" si="0"/>
        <v>0</v>
      </c>
      <c r="T8" s="1381" t="s">
        <v>5</v>
      </c>
      <c r="U8" s="1382">
        <f t="shared" si="1"/>
        <v>0</v>
      </c>
      <c r="V8" s="1381" t="s">
        <v>5</v>
      </c>
      <c r="W8" s="1382">
        <f t="shared" si="2"/>
        <v>0</v>
      </c>
      <c r="X8" s="1383"/>
      <c r="Y8" s="3860" t="s">
        <v>482</v>
      </c>
      <c r="Z8" s="3861"/>
      <c r="AA8" s="1384" t="e">
        <f t="shared" ref="AA8:AA46" si="3">D8/F8</f>
        <v>#DIV/0!</v>
      </c>
      <c r="AB8" s="1384" t="e">
        <f t="shared" ref="AB8:AB46" si="4">D8/H8</f>
        <v>#DIV/0!</v>
      </c>
      <c r="AC8" s="1384" t="e">
        <f t="shared" ref="AC8:AC46" si="5">D8/J8</f>
        <v>#DIV/0!</v>
      </c>
    </row>
    <row r="9" spans="1:29" s="1118" customFormat="1" ht="14.4">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68" t="s">
        <v>484</v>
      </c>
      <c r="Q9" s="1050" t="str">
        <f t="shared" ref="Q9:Q15" si="6">B9</f>
        <v>用途</v>
      </c>
      <c r="R9" s="1381" t="s">
        <v>5</v>
      </c>
      <c r="S9" s="1382">
        <f t="shared" si="0"/>
        <v>100</v>
      </c>
      <c r="T9" s="1381" t="s">
        <v>5</v>
      </c>
      <c r="U9" s="1382">
        <f t="shared" si="1"/>
        <v>100</v>
      </c>
      <c r="V9" s="1381" t="s">
        <v>5</v>
      </c>
      <c r="W9" s="1382">
        <f t="shared" si="2"/>
        <v>100</v>
      </c>
      <c r="X9" s="1383"/>
      <c r="Y9" s="3820"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2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68"/>
      <c r="Q11" s="1050" t="str">
        <f t="shared" si="6"/>
        <v>容积率</v>
      </c>
      <c r="R11" s="1381" t="s">
        <v>5</v>
      </c>
      <c r="S11" s="1382" t="e">
        <f t="shared" si="0"/>
        <v>#N/A</v>
      </c>
      <c r="T11" s="1381" t="s">
        <v>5</v>
      </c>
      <c r="U11" s="1382" t="e">
        <f t="shared" si="1"/>
        <v>#N/A</v>
      </c>
      <c r="V11" s="1381" t="s">
        <v>5</v>
      </c>
      <c r="W11" s="1382" t="e">
        <f t="shared" si="2"/>
        <v>#N/A</v>
      </c>
      <c r="X11" s="1383"/>
      <c r="Y11" s="382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20"/>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20"/>
      <c r="Z13" s="1049">
        <f t="shared" si="7"/>
        <v>111</v>
      </c>
      <c r="AA13" s="1384">
        <f t="shared" si="3"/>
        <v>1</v>
      </c>
      <c r="AB13" s="1384">
        <f t="shared" si="4"/>
        <v>1</v>
      </c>
      <c r="AC13" s="1384">
        <f t="shared" si="5"/>
        <v>1</v>
      </c>
    </row>
    <row r="14" spans="1:29" ht="15.6"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68"/>
      <c r="Q14" s="1050">
        <f t="shared" si="6"/>
        <v>111</v>
      </c>
      <c r="R14" s="1381" t="s">
        <v>5</v>
      </c>
      <c r="S14" s="1382">
        <f t="shared" si="0"/>
        <v>100</v>
      </c>
      <c r="T14" s="1381" t="s">
        <v>5</v>
      </c>
      <c r="U14" s="1382">
        <f t="shared" si="1"/>
        <v>100</v>
      </c>
      <c r="V14" s="1381" t="s">
        <v>5</v>
      </c>
      <c r="W14" s="1382">
        <f t="shared" si="2"/>
        <v>100</v>
      </c>
      <c r="X14" s="1383"/>
      <c r="Y14" s="3820"/>
      <c r="Z14" s="1049">
        <f t="shared" si="7"/>
        <v>111</v>
      </c>
      <c r="AA14" s="1384">
        <f t="shared" si="3"/>
        <v>1</v>
      </c>
      <c r="AB14" s="1384">
        <f t="shared" si="4"/>
        <v>1</v>
      </c>
      <c r="AC14" s="1384">
        <f t="shared" si="5"/>
        <v>1</v>
      </c>
    </row>
    <row r="15" spans="1:29" ht="82.8">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0" t="s">
        <v>489</v>
      </c>
      <c r="Q15" s="1385" t="str">
        <f t="shared" si="6"/>
        <v>商业繁华度</v>
      </c>
      <c r="R15" s="1386" t="s">
        <v>5</v>
      </c>
      <c r="S15" s="1387">
        <f t="shared" si="0"/>
        <v>100</v>
      </c>
      <c r="T15" s="1386" t="s">
        <v>5</v>
      </c>
      <c r="U15" s="1387">
        <f t="shared" si="1"/>
        <v>100</v>
      </c>
      <c r="V15" s="1386" t="s">
        <v>5</v>
      </c>
      <c r="W15" s="1387">
        <f t="shared" si="2"/>
        <v>100</v>
      </c>
      <c r="X15" s="1380"/>
      <c r="Y15" s="3870"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1"/>
      <c r="Q16" s="1385"/>
      <c r="R16" s="1386"/>
      <c r="S16" s="1387"/>
      <c r="T16" s="1386"/>
      <c r="U16" s="1387"/>
      <c r="V16" s="1386"/>
      <c r="W16" s="1387"/>
      <c r="X16" s="1380"/>
      <c r="Y16" s="3871"/>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1"/>
      <c r="Q17" s="1385" t="str">
        <f>B17</f>
        <v>交通便捷度</v>
      </c>
      <c r="R17" s="1386" t="s">
        <v>5</v>
      </c>
      <c r="S17" s="1387">
        <f>F17</f>
        <v>100</v>
      </c>
      <c r="T17" s="1386" t="s">
        <v>5</v>
      </c>
      <c r="U17" s="1387">
        <f>H17</f>
        <v>100</v>
      </c>
      <c r="V17" s="1386" t="s">
        <v>5</v>
      </c>
      <c r="W17" s="1387">
        <f>J17</f>
        <v>100</v>
      </c>
      <c r="X17" s="1380"/>
      <c r="Y17" s="387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1"/>
      <c r="Q18" s="1385"/>
      <c r="R18" s="1386"/>
      <c r="S18" s="1387"/>
      <c r="T18" s="1386"/>
      <c r="U18" s="1387"/>
      <c r="V18" s="1386"/>
      <c r="W18" s="1387"/>
      <c r="X18" s="1380"/>
      <c r="Y18" s="3871"/>
      <c r="Z18" s="1388"/>
      <c r="AA18" s="1389">
        <v>1</v>
      </c>
      <c r="AB18" s="1389">
        <v>1</v>
      </c>
      <c r="AC18" s="1389">
        <v>1</v>
      </c>
    </row>
    <row r="19" spans="1:29" ht="41.4">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1"/>
      <c r="Q19" s="1385" t="str">
        <f>B19</f>
        <v>公共配套设施</v>
      </c>
      <c r="R19" s="1386" t="s">
        <v>5</v>
      </c>
      <c r="S19" s="1387">
        <f>F19</f>
        <v>100</v>
      </c>
      <c r="T19" s="1386" t="s">
        <v>5</v>
      </c>
      <c r="U19" s="1387">
        <f>H19</f>
        <v>100</v>
      </c>
      <c r="V19" s="1386" t="s">
        <v>5</v>
      </c>
      <c r="W19" s="1387">
        <f>J19</f>
        <v>100</v>
      </c>
      <c r="X19" s="1380"/>
      <c r="Y19" s="3871"/>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1"/>
      <c r="Q20" s="1385"/>
      <c r="R20" s="1386"/>
      <c r="S20" s="1387"/>
      <c r="T20" s="1386"/>
      <c r="U20" s="1387"/>
      <c r="V20" s="1386"/>
      <c r="W20" s="1387"/>
      <c r="X20" s="1380"/>
      <c r="Y20" s="3871"/>
      <c r="Z20" s="1388"/>
      <c r="AA20" s="1389">
        <v>1</v>
      </c>
      <c r="AB20" s="1389">
        <v>1</v>
      </c>
      <c r="AC20" s="1389">
        <v>1</v>
      </c>
    </row>
    <row r="21" spans="1:29" ht="41.4">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1"/>
      <c r="Q21" s="2193" t="str">
        <f>B21</f>
        <v>基础设施水平</v>
      </c>
      <c r="R21" s="1386" t="s">
        <v>5</v>
      </c>
      <c r="S21" s="1387">
        <f>F21</f>
        <v>100</v>
      </c>
      <c r="T21" s="1386" t="s">
        <v>5</v>
      </c>
      <c r="U21" s="1387">
        <f>H21</f>
        <v>100</v>
      </c>
      <c r="V21" s="1386" t="s">
        <v>5</v>
      </c>
      <c r="W21" s="1387">
        <f>J21</f>
        <v>100</v>
      </c>
      <c r="X21" s="2195"/>
      <c r="Y21" s="3871"/>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1"/>
      <c r="Q22" s="2193"/>
      <c r="R22" s="1386"/>
      <c r="S22" s="1387"/>
      <c r="T22" s="1386"/>
      <c r="U22" s="1387"/>
      <c r="V22" s="1386"/>
      <c r="W22" s="1387"/>
      <c r="X22" s="2195"/>
      <c r="Y22" s="3871"/>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1"/>
      <c r="Q23" s="1385" t="str">
        <f>B23</f>
        <v>自然及人文环境</v>
      </c>
      <c r="R23" s="1386" t="s">
        <v>5</v>
      </c>
      <c r="S23" s="1387">
        <f>F23</f>
        <v>100</v>
      </c>
      <c r="T23" s="1386" t="s">
        <v>5</v>
      </c>
      <c r="U23" s="1387">
        <f>H23</f>
        <v>100</v>
      </c>
      <c r="V23" s="1386" t="s">
        <v>5</v>
      </c>
      <c r="W23" s="1387">
        <f>J23</f>
        <v>100</v>
      </c>
      <c r="X23" s="1380"/>
      <c r="Y23" s="3871"/>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1"/>
      <c r="Q24" s="1385"/>
      <c r="R24" s="1386"/>
      <c r="S24" s="1387"/>
      <c r="T24" s="1386"/>
      <c r="U24" s="1387"/>
      <c r="V24" s="1386"/>
      <c r="W24" s="1387"/>
      <c r="X24" s="1380"/>
      <c r="Y24" s="3871"/>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1"/>
      <c r="Q25" s="1385" t="str">
        <f t="shared" ref="Q25:Q46" si="8">B25</f>
        <v>临街状况</v>
      </c>
      <c r="R25" s="1386" t="s">
        <v>5</v>
      </c>
      <c r="S25" s="1387">
        <f>F25</f>
        <v>100</v>
      </c>
      <c r="T25" s="1386" t="s">
        <v>5</v>
      </c>
      <c r="U25" s="1387">
        <f>H25</f>
        <v>100</v>
      </c>
      <c r="V25" s="1386" t="s">
        <v>5</v>
      </c>
      <c r="W25" s="1387">
        <f>J25</f>
        <v>100</v>
      </c>
      <c r="X25" s="1380"/>
      <c r="Y25" s="3871"/>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1"/>
      <c r="Q26" s="1385" t="str">
        <f t="shared" si="8"/>
        <v>平面位置/可视性</v>
      </c>
      <c r="R26" s="1386" t="s">
        <v>5</v>
      </c>
      <c r="S26" s="1387">
        <f>F26</f>
        <v>100</v>
      </c>
      <c r="T26" s="1386" t="s">
        <v>5</v>
      </c>
      <c r="U26" s="1387">
        <f>H26</f>
        <v>100</v>
      </c>
      <c r="V26" s="1386" t="s">
        <v>5</v>
      </c>
      <c r="W26" s="1387">
        <f>J26</f>
        <v>100</v>
      </c>
      <c r="X26" s="1380"/>
      <c r="Y26" s="3871"/>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1"/>
      <c r="Q27" s="1050" t="str">
        <f t="shared" si="8"/>
        <v>人流量</v>
      </c>
      <c r="R27" s="1381" t="s">
        <v>5</v>
      </c>
      <c r="S27" s="1382">
        <f>F27</f>
        <v>100</v>
      </c>
      <c r="T27" s="1381" t="s">
        <v>5</v>
      </c>
      <c r="U27" s="1382">
        <f>H27</f>
        <v>100</v>
      </c>
      <c r="V27" s="1381" t="s">
        <v>5</v>
      </c>
      <c r="W27" s="1382">
        <f>J27</f>
        <v>100</v>
      </c>
      <c r="X27" s="1383"/>
      <c r="Y27" s="3871"/>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1"/>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1"/>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1"/>
      <c r="Q29" s="1385">
        <f t="shared" si="8"/>
        <v>111</v>
      </c>
      <c r="R29" s="1386" t="s">
        <v>5</v>
      </c>
      <c r="S29" s="1387">
        <f t="shared" si="9"/>
        <v>100</v>
      </c>
      <c r="T29" s="1386" t="s">
        <v>5</v>
      </c>
      <c r="U29" s="1387">
        <f t="shared" si="10"/>
        <v>100</v>
      </c>
      <c r="V29" s="1386" t="s">
        <v>5</v>
      </c>
      <c r="W29" s="1387">
        <f t="shared" si="11"/>
        <v>100</v>
      </c>
      <c r="X29" s="1380"/>
      <c r="Y29" s="3871"/>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1"/>
      <c r="Q30" s="1385">
        <f t="shared" si="8"/>
        <v>111</v>
      </c>
      <c r="R30" s="1386" t="s">
        <v>5</v>
      </c>
      <c r="S30" s="1387">
        <f t="shared" si="9"/>
        <v>100</v>
      </c>
      <c r="T30" s="1386" t="s">
        <v>5</v>
      </c>
      <c r="U30" s="1387">
        <f t="shared" si="10"/>
        <v>100</v>
      </c>
      <c r="V30" s="1386" t="s">
        <v>5</v>
      </c>
      <c r="W30" s="1387">
        <f t="shared" si="11"/>
        <v>100</v>
      </c>
      <c r="X30" s="1380"/>
      <c r="Y30" s="3871"/>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1"/>
      <c r="Q31" s="1385">
        <f t="shared" si="8"/>
        <v>111</v>
      </c>
      <c r="R31" s="1386" t="s">
        <v>5</v>
      </c>
      <c r="S31" s="1387">
        <f t="shared" si="9"/>
        <v>100</v>
      </c>
      <c r="T31" s="1386" t="s">
        <v>5</v>
      </c>
      <c r="U31" s="1387">
        <f t="shared" si="10"/>
        <v>100</v>
      </c>
      <c r="V31" s="1386" t="s">
        <v>5</v>
      </c>
      <c r="W31" s="1387">
        <f t="shared" si="11"/>
        <v>100</v>
      </c>
      <c r="X31" s="1380"/>
      <c r="Y31" s="3871"/>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2" t="s">
        <v>499</v>
      </c>
      <c r="Q32" s="1385" t="str">
        <f t="shared" si="8"/>
        <v>商业类型</v>
      </c>
      <c r="R32" s="1386" t="s">
        <v>5</v>
      </c>
      <c r="S32" s="1387">
        <f t="shared" si="9"/>
        <v>100</v>
      </c>
      <c r="T32" s="1386" t="s">
        <v>5</v>
      </c>
      <c r="U32" s="1387">
        <f t="shared" si="10"/>
        <v>100</v>
      </c>
      <c r="V32" s="1386" t="s">
        <v>5</v>
      </c>
      <c r="W32" s="1387">
        <f t="shared" si="11"/>
        <v>100</v>
      </c>
      <c r="X32" s="1380"/>
      <c r="Y32" s="3873"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73"/>
      <c r="Q33" s="1414" t="str">
        <f t="shared" si="8"/>
        <v>项目建筑规模</v>
      </c>
      <c r="R33" s="1390" t="s">
        <v>5</v>
      </c>
      <c r="S33" s="1391" t="e">
        <f t="shared" si="9"/>
        <v>#N/A</v>
      </c>
      <c r="T33" s="1390" t="s">
        <v>5</v>
      </c>
      <c r="U33" s="1391" t="e">
        <f t="shared" si="10"/>
        <v>#N/A</v>
      </c>
      <c r="V33" s="1390" t="s">
        <v>5</v>
      </c>
      <c r="W33" s="1391" t="e">
        <f t="shared" si="11"/>
        <v>#N/A</v>
      </c>
      <c r="X33" s="1392"/>
      <c r="Y33" s="3873"/>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73"/>
      <c r="Q34" s="1385" t="str">
        <f t="shared" si="8"/>
        <v>建筑结构</v>
      </c>
      <c r="R34" s="1386" t="s">
        <v>5</v>
      </c>
      <c r="S34" s="1387">
        <f t="shared" si="9"/>
        <v>100</v>
      </c>
      <c r="T34" s="1386" t="s">
        <v>5</v>
      </c>
      <c r="U34" s="1387">
        <f t="shared" si="10"/>
        <v>100</v>
      </c>
      <c r="V34" s="1386" t="s">
        <v>5</v>
      </c>
      <c r="W34" s="1387">
        <f t="shared" si="11"/>
        <v>100</v>
      </c>
      <c r="X34" s="1380"/>
      <c r="Y34" s="3873"/>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73"/>
      <c r="Q35" s="1385" t="str">
        <f t="shared" si="8"/>
        <v>公共部分装修</v>
      </c>
      <c r="R35" s="1386" t="s">
        <v>5</v>
      </c>
      <c r="S35" s="1387">
        <f t="shared" si="9"/>
        <v>100</v>
      </c>
      <c r="T35" s="1386" t="s">
        <v>5</v>
      </c>
      <c r="U35" s="1387">
        <f t="shared" si="10"/>
        <v>100</v>
      </c>
      <c r="V35" s="1386" t="s">
        <v>5</v>
      </c>
      <c r="W35" s="1387">
        <f t="shared" si="11"/>
        <v>100</v>
      </c>
      <c r="X35" s="1380"/>
      <c r="Y35" s="3873"/>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73"/>
      <c r="Q36" s="1385" t="str">
        <f t="shared" si="8"/>
        <v>成新度</v>
      </c>
      <c r="R36" s="1386" t="s">
        <v>5</v>
      </c>
      <c r="S36" s="1387" t="e">
        <f t="shared" si="9"/>
        <v>#N/A</v>
      </c>
      <c r="T36" s="1386" t="s">
        <v>5</v>
      </c>
      <c r="U36" s="1387" t="e">
        <f t="shared" si="10"/>
        <v>#N/A</v>
      </c>
      <c r="V36" s="1386" t="s">
        <v>5</v>
      </c>
      <c r="W36" s="1387" t="e">
        <f t="shared" si="11"/>
        <v>#N/A</v>
      </c>
      <c r="X36" s="1380"/>
      <c r="Y36" s="3873"/>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73"/>
      <c r="Q37" s="1050" t="str">
        <f t="shared" si="8"/>
        <v>市政基础设施</v>
      </c>
      <c r="R37" s="1381" t="s">
        <v>5</v>
      </c>
      <c r="S37" s="1382">
        <f t="shared" si="9"/>
        <v>100</v>
      </c>
      <c r="T37" s="1381" t="s">
        <v>5</v>
      </c>
      <c r="U37" s="1382">
        <f t="shared" si="10"/>
        <v>100</v>
      </c>
      <c r="V37" s="1381" t="s">
        <v>5</v>
      </c>
      <c r="W37" s="1382">
        <f t="shared" si="11"/>
        <v>100</v>
      </c>
      <c r="X37" s="1383"/>
      <c r="Y37" s="3873"/>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73" t="s">
        <v>706</v>
      </c>
      <c r="Q38" s="1385" t="str">
        <f t="shared" si="8"/>
        <v>业态</v>
      </c>
      <c r="R38" s="1386" t="s">
        <v>5</v>
      </c>
      <c r="S38" s="1387">
        <f t="shared" si="9"/>
        <v>100</v>
      </c>
      <c r="T38" s="1386" t="s">
        <v>5</v>
      </c>
      <c r="U38" s="1387">
        <f t="shared" si="10"/>
        <v>100</v>
      </c>
      <c r="V38" s="1386" t="s">
        <v>5</v>
      </c>
      <c r="W38" s="1387">
        <f t="shared" si="11"/>
        <v>100</v>
      </c>
      <c r="X38" s="1380"/>
      <c r="Y38" s="3873"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73"/>
      <c r="Q39" s="1385" t="str">
        <f t="shared" si="8"/>
        <v>层高</v>
      </c>
      <c r="R39" s="1386" t="s">
        <v>5</v>
      </c>
      <c r="S39" s="1387">
        <f t="shared" si="9"/>
        <v>100</v>
      </c>
      <c r="T39" s="1386" t="s">
        <v>5</v>
      </c>
      <c r="U39" s="1387">
        <f t="shared" si="10"/>
        <v>100</v>
      </c>
      <c r="V39" s="1386" t="s">
        <v>5</v>
      </c>
      <c r="W39" s="1387">
        <f t="shared" si="11"/>
        <v>100</v>
      </c>
      <c r="X39" s="1380"/>
      <c r="Y39" s="3873"/>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73"/>
      <c r="Q40" s="1385" t="str">
        <f t="shared" si="8"/>
        <v>单套建筑面积</v>
      </c>
      <c r="R40" s="1386" t="s">
        <v>5</v>
      </c>
      <c r="S40" s="1387">
        <f t="shared" si="9"/>
        <v>100</v>
      </c>
      <c r="T40" s="1386" t="s">
        <v>5</v>
      </c>
      <c r="U40" s="1387">
        <f t="shared" si="10"/>
        <v>100</v>
      </c>
      <c r="V40" s="1386" t="s">
        <v>5</v>
      </c>
      <c r="W40" s="1387">
        <f t="shared" si="11"/>
        <v>100</v>
      </c>
      <c r="X40" s="1380"/>
      <c r="Y40" s="3873"/>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73"/>
      <c r="Q41" s="1414" t="str">
        <f t="shared" si="8"/>
        <v>进深比</v>
      </c>
      <c r="R41" s="1390" t="s">
        <v>5</v>
      </c>
      <c r="S41" s="1391">
        <f t="shared" si="9"/>
        <v>100</v>
      </c>
      <c r="T41" s="1390" t="s">
        <v>5</v>
      </c>
      <c r="U41" s="1391">
        <f t="shared" si="10"/>
        <v>100</v>
      </c>
      <c r="V41" s="1390" t="s">
        <v>5</v>
      </c>
      <c r="W41" s="1391">
        <f t="shared" si="11"/>
        <v>100</v>
      </c>
      <c r="X41" s="1392"/>
      <c r="Y41" s="3873"/>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73"/>
      <c r="Q42" s="1385" t="str">
        <f t="shared" si="8"/>
        <v>内部装修</v>
      </c>
      <c r="R42" s="1386" t="s">
        <v>5</v>
      </c>
      <c r="S42" s="1387">
        <f t="shared" si="9"/>
        <v>100</v>
      </c>
      <c r="T42" s="1386" t="s">
        <v>5</v>
      </c>
      <c r="U42" s="1387">
        <f t="shared" si="10"/>
        <v>100</v>
      </c>
      <c r="V42" s="1386" t="s">
        <v>5</v>
      </c>
      <c r="W42" s="1387">
        <f t="shared" si="11"/>
        <v>100</v>
      </c>
      <c r="X42" s="1380"/>
      <c r="Y42" s="3873"/>
      <c r="Z42" s="1388" t="str">
        <f t="shared" si="12"/>
        <v>内部装修</v>
      </c>
      <c r="AA42" s="1389">
        <f t="shared" si="3"/>
        <v>1</v>
      </c>
      <c r="AB42" s="1389">
        <f t="shared" si="4"/>
        <v>1</v>
      </c>
      <c r="AC42" s="1389">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73"/>
      <c r="Q43" s="1385" t="str">
        <f t="shared" si="8"/>
        <v>内部装修维护情况</v>
      </c>
      <c r="R43" s="1386" t="s">
        <v>5</v>
      </c>
      <c r="S43" s="1387">
        <f t="shared" si="9"/>
        <v>100</v>
      </c>
      <c r="T43" s="1386" t="s">
        <v>5</v>
      </c>
      <c r="U43" s="1387">
        <f t="shared" si="10"/>
        <v>100</v>
      </c>
      <c r="V43" s="1386" t="s">
        <v>5</v>
      </c>
      <c r="W43" s="1387">
        <f t="shared" si="11"/>
        <v>100</v>
      </c>
      <c r="X43" s="1380"/>
      <c r="Y43" s="3873"/>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73"/>
      <c r="Q44" s="1050">
        <f t="shared" si="8"/>
        <v>111</v>
      </c>
      <c r="R44" s="1381" t="s">
        <v>5</v>
      </c>
      <c r="S44" s="1382">
        <f t="shared" si="9"/>
        <v>100</v>
      </c>
      <c r="T44" s="1381" t="s">
        <v>5</v>
      </c>
      <c r="U44" s="1382">
        <f t="shared" si="10"/>
        <v>100</v>
      </c>
      <c r="V44" s="1381" t="s">
        <v>5</v>
      </c>
      <c r="W44" s="1382">
        <f t="shared" si="11"/>
        <v>100</v>
      </c>
      <c r="X44" s="1383"/>
      <c r="Y44" s="3873"/>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73"/>
      <c r="Q45" s="1385">
        <f t="shared" si="8"/>
        <v>111</v>
      </c>
      <c r="R45" s="1386" t="s">
        <v>5</v>
      </c>
      <c r="S45" s="1387">
        <f t="shared" si="9"/>
        <v>100</v>
      </c>
      <c r="T45" s="1386" t="s">
        <v>5</v>
      </c>
      <c r="U45" s="1387">
        <f t="shared" si="10"/>
        <v>100</v>
      </c>
      <c r="V45" s="1386" t="s">
        <v>5</v>
      </c>
      <c r="W45" s="1387">
        <f t="shared" si="11"/>
        <v>100</v>
      </c>
      <c r="X45" s="1380"/>
      <c r="Y45" s="3873"/>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85"/>
      <c r="Q46" s="1385">
        <f t="shared" si="8"/>
        <v>111</v>
      </c>
      <c r="R46" s="1386" t="s">
        <v>5</v>
      </c>
      <c r="S46" s="1387">
        <f t="shared" si="9"/>
        <v>100</v>
      </c>
      <c r="T46" s="1386" t="s">
        <v>5</v>
      </c>
      <c r="U46" s="1387">
        <f t="shared" si="10"/>
        <v>100</v>
      </c>
      <c r="V46" s="1386" t="s">
        <v>5</v>
      </c>
      <c r="W46" s="1387">
        <f t="shared" si="11"/>
        <v>100</v>
      </c>
      <c r="X46" s="1380"/>
      <c r="Y46" s="3985"/>
      <c r="Z46" s="1388">
        <f t="shared" si="12"/>
        <v>111</v>
      </c>
      <c r="AA46" s="1389">
        <f t="shared" si="3"/>
        <v>1</v>
      </c>
      <c r="AB46" s="1389">
        <f t="shared" si="4"/>
        <v>1</v>
      </c>
      <c r="AC46" s="1389">
        <f t="shared" si="5"/>
        <v>1</v>
      </c>
    </row>
    <row r="47" spans="1:29" ht="14.4">
      <c r="A47" s="577" t="s">
        <v>683</v>
      </c>
      <c r="B47" s="850"/>
      <c r="C47" s="2234" t="s">
        <v>0</v>
      </c>
      <c r="D47" s="2235"/>
      <c r="E47" s="2236"/>
      <c r="F47" s="2237"/>
      <c r="G47" s="2238"/>
      <c r="H47" s="2239"/>
      <c r="I47" s="2236"/>
      <c r="J47" s="2239"/>
      <c r="K47" s="1419"/>
      <c r="L47" s="1867"/>
      <c r="M47" s="1868"/>
      <c r="N47" s="1857"/>
      <c r="O47" s="1868"/>
      <c r="P47" s="3868" t="str">
        <f>A47</f>
        <v>成交单价（元/平方米）</v>
      </c>
      <c r="Q47" s="3868"/>
      <c r="R47" s="3984">
        <f>E47</f>
        <v>0</v>
      </c>
      <c r="S47" s="3984"/>
      <c r="T47" s="3984">
        <f>G47</f>
        <v>0</v>
      </c>
      <c r="U47" s="3984"/>
      <c r="V47" s="3984">
        <f>I47</f>
        <v>0</v>
      </c>
      <c r="W47" s="3984"/>
      <c r="X47" s="1375"/>
      <c r="Y47" s="1394"/>
      <c r="Z47" s="1375"/>
      <c r="AA47" s="1375"/>
      <c r="AB47" s="1375"/>
      <c r="AC47" s="1375"/>
    </row>
    <row r="48" spans="1:29" ht="15" thickBot="1">
      <c r="A48" s="585" t="s">
        <v>2042</v>
      </c>
      <c r="B48" s="851"/>
      <c r="C48" s="2240" t="e">
        <f>R49</f>
        <v>#DIV/0!</v>
      </c>
      <c r="D48" s="2757" t="s">
        <v>2260</v>
      </c>
      <c r="E48" s="2241" t="e">
        <f>R48</f>
        <v>#DIV/0!</v>
      </c>
      <c r="F48" s="2758"/>
      <c r="G48" s="2240" t="e">
        <f>T48</f>
        <v>#DIV/0!</v>
      </c>
      <c r="H48" s="2758"/>
      <c r="I48" s="2241" t="e">
        <f>V48</f>
        <v>#DIV/0!</v>
      </c>
      <c r="J48" s="2758"/>
      <c r="K48" s="2766">
        <f>F48+H48+J48</f>
        <v>0</v>
      </c>
      <c r="L48" s="1867"/>
      <c r="M48" s="1868"/>
      <c r="N48" s="1857"/>
      <c r="O48" s="1868"/>
      <c r="P48" s="3868" t="str">
        <f>A48</f>
        <v>比较价格（元/平方米）</v>
      </c>
      <c r="Q48" s="3868"/>
      <c r="R48" s="3984" t="e">
        <f>IF(F1="售价",ROUND(PRODUCT(R47,AA7:AA46),0),ROUND(PRODUCT(R47,AA7:AA46),1))</f>
        <v>#DIV/0!</v>
      </c>
      <c r="S48" s="3984"/>
      <c r="T48" s="3984" t="e">
        <f>IF(F1="售价",ROUND(PRODUCT(T47,AB7:AB46),0),ROUND(PRODUCT(T47,AB7:AB46),1))</f>
        <v>#DIV/0!</v>
      </c>
      <c r="U48" s="3984"/>
      <c r="V48" s="3984" t="e">
        <f>IF(F1="售价",ROUND(PRODUCT(V47,AC7:AC46),0),ROUND(PRODUCT(V47,AC7:AC46),1))</f>
        <v>#DIV/0!</v>
      </c>
      <c r="W48" s="3984"/>
      <c r="X48" s="1375"/>
      <c r="Y48" s="1375"/>
      <c r="Z48" s="1375"/>
      <c r="AA48" s="1375"/>
      <c r="AB48" s="1375"/>
      <c r="AC48" s="1375"/>
    </row>
    <row r="49" spans="1:29" ht="15" thickBot="1">
      <c r="A49" s="589" t="s">
        <v>2197</v>
      </c>
      <c r="B49" s="590"/>
      <c r="C49" s="2242" t="e">
        <f>R49</f>
        <v>#DIV/0!</v>
      </c>
      <c r="D49" s="2242"/>
      <c r="E49" s="2242"/>
      <c r="F49" s="2242"/>
      <c r="G49" s="2242"/>
      <c r="H49" s="2242"/>
      <c r="I49" s="2242"/>
      <c r="J49" s="2242"/>
      <c r="K49" s="1420"/>
      <c r="L49" s="1867"/>
      <c r="M49" s="1868"/>
      <c r="N49" s="1857"/>
      <c r="O49" s="1868"/>
      <c r="P49" s="3874" t="str">
        <f>A49</f>
        <v>估价对象XX用房的比较价格（楼面单价，元/平方米）</v>
      </c>
      <c r="Q49" s="3875"/>
      <c r="R49" s="3983" t="e">
        <f>IF(F1="售价",ROUND(IF(D48="简单平均",AVERAGE(R48:V48),R48*F48+T48*H48+V48*J48),0),ROUND(IF(D48="简单平均",AVERAGE(R48:V48),R48*F48+T48*H48+V48*J48),1))</f>
        <v>#DIV/0!</v>
      </c>
      <c r="S49" s="3983"/>
      <c r="T49" s="3983"/>
      <c r="U49" s="3983"/>
      <c r="V49" s="3983"/>
      <c r="W49" s="3983"/>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2" t="str">
        <f>YEAR(C7)&amp;"-"&amp;MONTH(C7)</f>
        <v>2023-4</v>
      </c>
      <c r="D58" s="2284">
        <f>EDATE(C58,-1)</f>
        <v>44986</v>
      </c>
      <c r="E58" s="2284">
        <f t="shared" ref="E58:O58" si="13">EDATE(D58,-1)</f>
        <v>44958</v>
      </c>
      <c r="F58" s="2284">
        <f t="shared" si="13"/>
        <v>44927</v>
      </c>
      <c r="G58" s="2284">
        <f t="shared" si="13"/>
        <v>44896</v>
      </c>
      <c r="H58" s="2284">
        <f t="shared" si="13"/>
        <v>44866</v>
      </c>
      <c r="I58" s="2284">
        <f t="shared" si="13"/>
        <v>44835</v>
      </c>
      <c r="J58" s="2284">
        <f t="shared" si="13"/>
        <v>44805</v>
      </c>
      <c r="K58" s="2284">
        <f t="shared" si="13"/>
        <v>44774</v>
      </c>
      <c r="L58" s="2284">
        <f t="shared" si="13"/>
        <v>44743</v>
      </c>
      <c r="M58" s="2284">
        <f t="shared" si="13"/>
        <v>44713</v>
      </c>
      <c r="N58" s="2284">
        <f t="shared" si="13"/>
        <v>44682</v>
      </c>
      <c r="O58" s="2284">
        <f t="shared" si="13"/>
        <v>44652</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1428</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受贵公司委托，我公司对北京市出让国有建设用地使用权抵押价格进行了预评估。</v>
      </c>
    </row>
    <row r="5" spans="1:4" ht="17.399999999999999">
      <c r="A5" s="1582" t="s">
        <v>1429</v>
      </c>
    </row>
    <row r="6" spans="1:4" ht="69.599999999999994">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9791.14平方米。根据《建设工程规划许可证》[]、《出让合同》[]，估价对象规划建筑面积为127591.06平方米。</v>
      </c>
    </row>
    <row r="7" spans="1:4" ht="87">
      <c r="A7" s="2353" t="s">
        <v>2030</v>
      </c>
    </row>
    <row r="8" spans="1:4" ht="17.399999999999999">
      <c r="A8" s="1582" t="s">
        <v>1430</v>
      </c>
    </row>
    <row r="9" spans="1:4" ht="69.599999999999994">
      <c r="A9" s="158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585" t="s">
        <v>1544</v>
      </c>
    </row>
    <row r="11" spans="1:4" ht="17.399999999999999">
      <c r="A11" s="1568" t="str">
        <f>TEXT(项目基本情况!D3,"yyyy年m月d日;;")&amp;IF(项目基本情况!B3=项目基本情况!D3,"（评估专业人员勘察现场之日）","")</f>
        <v>2023年4月12日</v>
      </c>
    </row>
    <row r="12" spans="1:4" ht="17.399999999999999">
      <c r="A12" s="1585" t="s">
        <v>1543</v>
      </c>
    </row>
    <row r="13" spans="1:4" ht="17.399999999999999">
      <c r="A13" s="1579" t="s">
        <v>1589</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1590</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1591</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根据《国有土地使用证》[]，估价对象（分摊）出让国有建设用地使用权面积为9791.14平方米。根据《建设工程规划许可证》[]、《出让合同》[]，估价对象规划建筑面积为127591.06平方米。</v>
      </c>
    </row>
    <row r="21" spans="1:1" ht="87">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1592</v>
      </c>
    </row>
    <row r="23" spans="1:1" ht="17.399999999999999">
      <c r="A23" s="2355" t="s">
        <v>2031</v>
      </c>
    </row>
    <row r="24" spans="1:1" ht="17.399999999999999">
      <c r="A24" s="1579" t="s">
        <v>1593</v>
      </c>
    </row>
    <row r="25" spans="1:1" ht="87">
      <c r="A25" s="1579" t="str">
        <f>定义!C53</f>
        <v>本次估价的“出让国有建设用地使用权价格”是指在估价对象土地所有权为国家所有，使用权性质为出让，在公开市场条件下、于估价期日2023年4月12日，在规划利用条件下、设定土地开发程度为红线外“七通”、宗地内场地，设定用途为，剩余土地使用年限为的出让国有建设用地使用权价格。</v>
      </c>
    </row>
    <row r="26" spans="1:1" ht="52.2">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1545</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7.399999999999999">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4.4">
      <c r="A4" s="482" t="s">
        <v>470</v>
      </c>
      <c r="B4" s="483"/>
      <c r="C4" s="3876" t="s">
        <v>471</v>
      </c>
      <c r="D4" s="3877"/>
      <c r="E4" s="3902" t="s">
        <v>472</v>
      </c>
      <c r="F4" s="3903"/>
      <c r="G4" s="3876" t="s">
        <v>473</v>
      </c>
      <c r="H4" s="3877"/>
      <c r="I4" s="3876" t="s">
        <v>474</v>
      </c>
      <c r="J4" s="3877"/>
      <c r="K4" s="484" t="s">
        <v>475</v>
      </c>
      <c r="L4" s="1856"/>
      <c r="M4" s="1857"/>
      <c r="N4" s="1857"/>
      <c r="O4" s="1857"/>
      <c r="P4" s="3986" t="s">
        <v>476</v>
      </c>
      <c r="Q4" s="3879"/>
      <c r="R4" s="3862" t="s">
        <v>472</v>
      </c>
      <c r="S4" s="3863"/>
      <c r="T4" s="3862" t="s">
        <v>473</v>
      </c>
      <c r="U4" s="3863"/>
      <c r="V4" s="3884" t="s">
        <v>474</v>
      </c>
      <c r="W4" s="3884"/>
      <c r="X4" s="1380"/>
      <c r="Y4" s="3862" t="s">
        <v>476</v>
      </c>
      <c r="Z4" s="3863"/>
      <c r="AA4" s="3857" t="s">
        <v>472</v>
      </c>
      <c r="AB4" s="3857" t="s">
        <v>473</v>
      </c>
      <c r="AC4" s="3857" t="s">
        <v>474</v>
      </c>
    </row>
    <row r="5" spans="1:29">
      <c r="A5" s="485"/>
      <c r="B5" s="486"/>
      <c r="C5" s="3887" t="s">
        <v>2191</v>
      </c>
      <c r="D5" s="3888"/>
      <c r="E5" s="3904" t="s">
        <v>2192</v>
      </c>
      <c r="F5" s="3905"/>
      <c r="G5" s="3887" t="s">
        <v>2193</v>
      </c>
      <c r="H5" s="3888"/>
      <c r="I5" s="3887" t="s">
        <v>2194</v>
      </c>
      <c r="J5" s="3888"/>
      <c r="K5" s="484"/>
      <c r="L5" s="1856"/>
      <c r="M5" s="1857"/>
      <c r="N5" s="1857"/>
      <c r="O5" s="1857"/>
      <c r="P5" s="3987"/>
      <c r="Q5" s="3881"/>
      <c r="R5" s="3864"/>
      <c r="S5" s="3865"/>
      <c r="T5" s="3864"/>
      <c r="U5" s="3865"/>
      <c r="V5" s="3884"/>
      <c r="W5" s="3884"/>
      <c r="X5" s="1380"/>
      <c r="Y5" s="3864"/>
      <c r="Z5" s="3865"/>
      <c r="AA5" s="3858"/>
      <c r="AB5" s="3858"/>
      <c r="AC5" s="3858"/>
    </row>
    <row r="6" spans="1:29" ht="15" thickBot="1">
      <c r="A6" s="487"/>
      <c r="B6" s="488"/>
      <c r="C6" s="3885" t="s">
        <v>2195</v>
      </c>
      <c r="D6" s="3886"/>
      <c r="E6" s="3906" t="s">
        <v>2195</v>
      </c>
      <c r="F6" s="3907"/>
      <c r="G6" s="3885" t="s">
        <v>2195</v>
      </c>
      <c r="H6" s="3886"/>
      <c r="I6" s="3885" t="s">
        <v>2195</v>
      </c>
      <c r="J6" s="3886"/>
      <c r="K6" s="484" t="s">
        <v>477</v>
      </c>
      <c r="L6" s="1856"/>
      <c r="M6" s="1857"/>
      <c r="N6" s="1857"/>
      <c r="O6" s="1857"/>
      <c r="P6" s="3988"/>
      <c r="Q6" s="3883"/>
      <c r="R6" s="3864"/>
      <c r="S6" s="3865"/>
      <c r="T6" s="3866"/>
      <c r="U6" s="3867"/>
      <c r="V6" s="3884"/>
      <c r="W6" s="3884"/>
      <c r="X6" s="1380"/>
      <c r="Y6" s="3866"/>
      <c r="Z6" s="3867"/>
      <c r="AA6" s="3859"/>
      <c r="AB6" s="3859"/>
      <c r="AC6" s="3859"/>
    </row>
    <row r="7" spans="1:29" s="1118" customFormat="1" ht="15" thickBot="1">
      <c r="A7" s="2392"/>
      <c r="B7" s="2399" t="s">
        <v>478</v>
      </c>
      <c r="C7" s="489">
        <f>'数据-取费表'!B2</f>
        <v>45028</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69" t="s">
        <v>479</v>
      </c>
      <c r="Q7" s="3869"/>
      <c r="R7" s="1381" t="s">
        <v>5</v>
      </c>
      <c r="S7" s="1382">
        <f t="shared" ref="S7:S15" si="0">F7</f>
        <v>0</v>
      </c>
      <c r="T7" s="1381" t="s">
        <v>5</v>
      </c>
      <c r="U7" s="1382">
        <f t="shared" ref="U7:U15" si="1">H7</f>
        <v>0</v>
      </c>
      <c r="V7" s="1381" t="s">
        <v>5</v>
      </c>
      <c r="W7" s="1382">
        <f t="shared" ref="W7:W15" si="2">J7</f>
        <v>0</v>
      </c>
      <c r="X7" s="1383"/>
      <c r="Y7" s="3860" t="s">
        <v>479</v>
      </c>
      <c r="Z7" s="3861"/>
      <c r="AA7" s="1384" t="e">
        <f>D7/F7</f>
        <v>#DIV/0!</v>
      </c>
      <c r="AB7" s="1384" t="e">
        <f>D7/H7</f>
        <v>#DIV/0!</v>
      </c>
      <c r="AC7" s="1384" t="e">
        <f>D7/J7</f>
        <v>#DIV/0!</v>
      </c>
    </row>
    <row r="8" spans="1:29" s="1118" customFormat="1" ht="1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69" t="s">
        <v>482</v>
      </c>
      <c r="Q8" s="3861"/>
      <c r="R8" s="1381" t="s">
        <v>5</v>
      </c>
      <c r="S8" s="1382">
        <f t="shared" si="0"/>
        <v>0</v>
      </c>
      <c r="T8" s="1381" t="s">
        <v>5</v>
      </c>
      <c r="U8" s="1382">
        <f t="shared" si="1"/>
        <v>0</v>
      </c>
      <c r="V8" s="1381" t="s">
        <v>5</v>
      </c>
      <c r="W8" s="1382">
        <f t="shared" si="2"/>
        <v>0</v>
      </c>
      <c r="X8" s="1383"/>
      <c r="Y8" s="3860" t="s">
        <v>482</v>
      </c>
      <c r="Z8" s="3861"/>
      <c r="AA8" s="1384" t="e">
        <f t="shared" ref="AA8:AA47" si="3">D8/F8</f>
        <v>#DIV/0!</v>
      </c>
      <c r="AB8" s="1384" t="e">
        <f t="shared" ref="AB8:AB47" si="4">D8/H8</f>
        <v>#DIV/0!</v>
      </c>
      <c r="AC8" s="1384" t="e">
        <f t="shared" ref="AC8:AC47" si="5">D8/J8</f>
        <v>#DIV/0!</v>
      </c>
    </row>
    <row r="9" spans="1:29" s="1118" customFormat="1" ht="14.4">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68" t="s">
        <v>484</v>
      </c>
      <c r="Q9" s="1050" t="str">
        <f t="shared" ref="Q9:Q15" si="6">B9</f>
        <v>用途</v>
      </c>
      <c r="R9" s="1381" t="s">
        <v>5</v>
      </c>
      <c r="S9" s="1382">
        <f t="shared" si="0"/>
        <v>100</v>
      </c>
      <c r="T9" s="1381" t="s">
        <v>5</v>
      </c>
      <c r="U9" s="1382">
        <f t="shared" si="1"/>
        <v>100</v>
      </c>
      <c r="V9" s="1381" t="s">
        <v>5</v>
      </c>
      <c r="W9" s="1382">
        <f t="shared" si="2"/>
        <v>100</v>
      </c>
      <c r="X9" s="1383"/>
      <c r="Y9" s="3820"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68"/>
      <c r="Q10" s="1050" t="str">
        <f t="shared" si="6"/>
        <v>土地使用年限（年）</v>
      </c>
      <c r="R10" s="1381" t="s">
        <v>5</v>
      </c>
      <c r="S10" s="1382">
        <f t="shared" si="0"/>
        <v>100</v>
      </c>
      <c r="T10" s="1381" t="s">
        <v>5</v>
      </c>
      <c r="U10" s="1382">
        <f t="shared" si="1"/>
        <v>100</v>
      </c>
      <c r="V10" s="1381" t="s">
        <v>5</v>
      </c>
      <c r="W10" s="1382">
        <f t="shared" si="2"/>
        <v>100</v>
      </c>
      <c r="X10" s="1383"/>
      <c r="Y10" s="382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68"/>
      <c r="Q11" s="1050" t="str">
        <f t="shared" si="6"/>
        <v>容积率</v>
      </c>
      <c r="R11" s="1381" t="s">
        <v>5</v>
      </c>
      <c r="S11" s="1382" t="e">
        <f t="shared" si="0"/>
        <v>#N/A</v>
      </c>
      <c r="T11" s="1381" t="s">
        <v>5</v>
      </c>
      <c r="U11" s="1382" t="e">
        <f t="shared" si="1"/>
        <v>#N/A</v>
      </c>
      <c r="V11" s="1381" t="s">
        <v>5</v>
      </c>
      <c r="W11" s="1382" t="e">
        <f t="shared" si="2"/>
        <v>#N/A</v>
      </c>
      <c r="X11" s="1383"/>
      <c r="Y11" s="382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68"/>
      <c r="Q12" s="1050">
        <f t="shared" si="6"/>
        <v>111</v>
      </c>
      <c r="R12" s="1381" t="s">
        <v>5</v>
      </c>
      <c r="S12" s="1382">
        <f t="shared" si="0"/>
        <v>100</v>
      </c>
      <c r="T12" s="1381" t="s">
        <v>5</v>
      </c>
      <c r="U12" s="1382">
        <f t="shared" si="1"/>
        <v>100</v>
      </c>
      <c r="V12" s="1381" t="s">
        <v>5</v>
      </c>
      <c r="W12" s="1382">
        <f t="shared" si="2"/>
        <v>100</v>
      </c>
      <c r="X12" s="1383"/>
      <c r="Y12" s="3820"/>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68"/>
      <c r="Q13" s="1050">
        <f t="shared" si="6"/>
        <v>111</v>
      </c>
      <c r="R13" s="1381" t="s">
        <v>5</v>
      </c>
      <c r="S13" s="1382">
        <f t="shared" si="0"/>
        <v>100</v>
      </c>
      <c r="T13" s="1381" t="s">
        <v>5</v>
      </c>
      <c r="U13" s="1382">
        <f t="shared" si="1"/>
        <v>100</v>
      </c>
      <c r="V13" s="1381" t="s">
        <v>5</v>
      </c>
      <c r="W13" s="1382">
        <f t="shared" si="2"/>
        <v>100</v>
      </c>
      <c r="X13" s="1383"/>
      <c r="Y13" s="3820"/>
      <c r="Z13" s="1049">
        <f t="shared" si="7"/>
        <v>111</v>
      </c>
      <c r="AA13" s="1384">
        <f t="shared" si="3"/>
        <v>1</v>
      </c>
      <c r="AB13" s="1384">
        <f t="shared" si="4"/>
        <v>1</v>
      </c>
      <c r="AC13" s="1384">
        <f t="shared" si="5"/>
        <v>1</v>
      </c>
    </row>
    <row r="14" spans="1:29" ht="15.6"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68"/>
      <c r="Q14" s="1050">
        <f t="shared" si="6"/>
        <v>111</v>
      </c>
      <c r="R14" s="1381" t="s">
        <v>5</v>
      </c>
      <c r="S14" s="1382">
        <f t="shared" si="0"/>
        <v>100</v>
      </c>
      <c r="T14" s="1381" t="s">
        <v>5</v>
      </c>
      <c r="U14" s="1382">
        <f t="shared" si="1"/>
        <v>100</v>
      </c>
      <c r="V14" s="1381" t="s">
        <v>5</v>
      </c>
      <c r="W14" s="1382">
        <f t="shared" si="2"/>
        <v>100</v>
      </c>
      <c r="X14" s="1383"/>
      <c r="Y14" s="3820"/>
      <c r="Z14" s="1049">
        <f t="shared" si="7"/>
        <v>111</v>
      </c>
      <c r="AA14" s="1384">
        <f t="shared" si="3"/>
        <v>1</v>
      </c>
      <c r="AB14" s="1384">
        <f t="shared" si="4"/>
        <v>1</v>
      </c>
      <c r="AC14" s="1384">
        <f t="shared" si="5"/>
        <v>1</v>
      </c>
    </row>
    <row r="15" spans="1:29" ht="82.8">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0" t="s">
        <v>489</v>
      </c>
      <c r="Q15" s="1385" t="str">
        <f t="shared" si="6"/>
        <v>办公集聚程度</v>
      </c>
      <c r="R15" s="1386" t="s">
        <v>5</v>
      </c>
      <c r="S15" s="1387">
        <f t="shared" si="0"/>
        <v>100</v>
      </c>
      <c r="T15" s="1386" t="s">
        <v>5</v>
      </c>
      <c r="U15" s="1387">
        <f t="shared" si="1"/>
        <v>100</v>
      </c>
      <c r="V15" s="1386" t="s">
        <v>5</v>
      </c>
      <c r="W15" s="1387">
        <f t="shared" si="2"/>
        <v>100</v>
      </c>
      <c r="X15" s="1380"/>
      <c r="Y15" s="3870"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1"/>
      <c r="Q16" s="1385"/>
      <c r="R16" s="1386"/>
      <c r="S16" s="1387"/>
      <c r="T16" s="1386"/>
      <c r="U16" s="1387"/>
      <c r="V16" s="1386"/>
      <c r="W16" s="1387"/>
      <c r="X16" s="1380"/>
      <c r="Y16" s="3871"/>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1"/>
      <c r="Q17" s="1385" t="str">
        <f>B17</f>
        <v>交通便捷度</v>
      </c>
      <c r="R17" s="1386" t="s">
        <v>5</v>
      </c>
      <c r="S17" s="1387">
        <f>F17</f>
        <v>100</v>
      </c>
      <c r="T17" s="1386" t="s">
        <v>5</v>
      </c>
      <c r="U17" s="1387">
        <f>H17</f>
        <v>100</v>
      </c>
      <c r="V17" s="1386" t="s">
        <v>5</v>
      </c>
      <c r="W17" s="1387">
        <f>J17</f>
        <v>100</v>
      </c>
      <c r="X17" s="1380"/>
      <c r="Y17" s="3871"/>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1"/>
      <c r="Q18" s="1385"/>
      <c r="R18" s="1386"/>
      <c r="S18" s="1387"/>
      <c r="T18" s="1386"/>
      <c r="U18" s="1387"/>
      <c r="V18" s="1386"/>
      <c r="W18" s="1387"/>
      <c r="X18" s="1380"/>
      <c r="Y18" s="3871"/>
      <c r="Z18" s="1388"/>
      <c r="AA18" s="1389">
        <v>1</v>
      </c>
      <c r="AB18" s="1389">
        <v>1</v>
      </c>
      <c r="AC18" s="1389">
        <v>1</v>
      </c>
    </row>
    <row r="19" spans="1:29" ht="41.4">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1"/>
      <c r="Q19" s="1385" t="str">
        <f>B19</f>
        <v>公共配套设施</v>
      </c>
      <c r="R19" s="1386" t="s">
        <v>5</v>
      </c>
      <c r="S19" s="1387">
        <f>F19</f>
        <v>100</v>
      </c>
      <c r="T19" s="1386" t="s">
        <v>5</v>
      </c>
      <c r="U19" s="1387">
        <f>H19</f>
        <v>100</v>
      </c>
      <c r="V19" s="1386" t="s">
        <v>5</v>
      </c>
      <c r="W19" s="1387">
        <f>J19</f>
        <v>100</v>
      </c>
      <c r="X19" s="1380"/>
      <c r="Y19" s="3871"/>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1"/>
      <c r="Q20" s="1385"/>
      <c r="R20" s="1386"/>
      <c r="S20" s="1387"/>
      <c r="T20" s="1386"/>
      <c r="U20" s="1387"/>
      <c r="V20" s="1386"/>
      <c r="W20" s="1387"/>
      <c r="X20" s="1380"/>
      <c r="Y20" s="3871"/>
      <c r="Z20" s="1388"/>
      <c r="AA20" s="1389">
        <v>1</v>
      </c>
      <c r="AB20" s="1389">
        <v>1</v>
      </c>
      <c r="AC20" s="1389">
        <v>1</v>
      </c>
    </row>
    <row r="21" spans="1:29" ht="41.4">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1"/>
      <c r="Q21" s="2193" t="str">
        <f>B21</f>
        <v>基础设施水平</v>
      </c>
      <c r="R21" s="1386" t="s">
        <v>5</v>
      </c>
      <c r="S21" s="1387">
        <f>F21</f>
        <v>100</v>
      </c>
      <c r="T21" s="1386" t="s">
        <v>5</v>
      </c>
      <c r="U21" s="1387">
        <f>H21</f>
        <v>100</v>
      </c>
      <c r="V21" s="1386" t="s">
        <v>5</v>
      </c>
      <c r="W21" s="1387">
        <f>J21</f>
        <v>100</v>
      </c>
      <c r="X21" s="2195"/>
      <c r="Y21" s="3871"/>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1"/>
      <c r="Q22" s="2193"/>
      <c r="R22" s="1386"/>
      <c r="S22" s="1387"/>
      <c r="T22" s="1386"/>
      <c r="U22" s="1387"/>
      <c r="V22" s="1386"/>
      <c r="W22" s="1387"/>
      <c r="X22" s="2195"/>
      <c r="Y22" s="3871"/>
      <c r="Z22" s="2194"/>
      <c r="AA22" s="1389">
        <v>1</v>
      </c>
      <c r="AB22" s="1389">
        <v>1</v>
      </c>
      <c r="AC22" s="1389">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1"/>
      <c r="Q23" s="1385" t="str">
        <f>B23</f>
        <v>环境质量</v>
      </c>
      <c r="R23" s="1386" t="s">
        <v>5</v>
      </c>
      <c r="S23" s="1387">
        <f>F23</f>
        <v>100</v>
      </c>
      <c r="T23" s="1386" t="s">
        <v>5</v>
      </c>
      <c r="U23" s="1387">
        <f>H23</f>
        <v>100</v>
      </c>
      <c r="V23" s="1386" t="s">
        <v>5</v>
      </c>
      <c r="W23" s="1387">
        <f>J23</f>
        <v>100</v>
      </c>
      <c r="X23" s="1380"/>
      <c r="Y23" s="3871"/>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1"/>
      <c r="Q24" s="1385"/>
      <c r="R24" s="1386"/>
      <c r="S24" s="1387"/>
      <c r="T24" s="1386"/>
      <c r="U24" s="1387"/>
      <c r="V24" s="1386"/>
      <c r="W24" s="1387"/>
      <c r="X24" s="1380"/>
      <c r="Y24" s="3871"/>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1"/>
      <c r="Q25" s="1385" t="str">
        <f>B25</f>
        <v>毗邻道路的类型与等级</v>
      </c>
      <c r="R25" s="1386" t="s">
        <v>5</v>
      </c>
      <c r="S25" s="1387">
        <f>F25</f>
        <v>100</v>
      </c>
      <c r="T25" s="1386" t="s">
        <v>5</v>
      </c>
      <c r="U25" s="1387">
        <f>H25</f>
        <v>100</v>
      </c>
      <c r="V25" s="1386" t="s">
        <v>5</v>
      </c>
      <c r="W25" s="1387">
        <f>J25</f>
        <v>100</v>
      </c>
      <c r="X25" s="1380"/>
      <c r="Y25" s="3871"/>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1"/>
      <c r="Q26" s="1385"/>
      <c r="R26" s="1386"/>
      <c r="S26" s="1387"/>
      <c r="T26" s="1386"/>
      <c r="U26" s="1387"/>
      <c r="V26" s="1386"/>
      <c r="W26" s="1387"/>
      <c r="X26" s="1380"/>
      <c r="Y26" s="3871"/>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1"/>
      <c r="Q27" s="1385" t="str">
        <f t="shared" ref="Q27:Q47" si="8">B27</f>
        <v>楼层</v>
      </c>
      <c r="R27" s="1386" t="s">
        <v>5</v>
      </c>
      <c r="S27" s="1387">
        <f>F27</f>
        <v>100</v>
      </c>
      <c r="T27" s="1386" t="s">
        <v>5</v>
      </c>
      <c r="U27" s="1387">
        <f>H27</f>
        <v>100</v>
      </c>
      <c r="V27" s="1386" t="s">
        <v>5</v>
      </c>
      <c r="W27" s="1387">
        <f>J27</f>
        <v>100</v>
      </c>
      <c r="X27" s="1380"/>
      <c r="Y27" s="3871"/>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1"/>
      <c r="Q28" s="1050" t="str">
        <f t="shared" si="8"/>
        <v>朝向</v>
      </c>
      <c r="R28" s="1381" t="s">
        <v>5</v>
      </c>
      <c r="S28" s="1382">
        <f>F28</f>
        <v>100</v>
      </c>
      <c r="T28" s="1381" t="s">
        <v>5</v>
      </c>
      <c r="U28" s="1382">
        <f>H28</f>
        <v>100</v>
      </c>
      <c r="V28" s="1381" t="s">
        <v>5</v>
      </c>
      <c r="W28" s="1382">
        <f>J28</f>
        <v>100</v>
      </c>
      <c r="X28" s="1383"/>
      <c r="Y28" s="3871"/>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1"/>
      <c r="Q29" s="1385">
        <f t="shared" si="8"/>
        <v>111</v>
      </c>
      <c r="R29" s="1386" t="s">
        <v>5</v>
      </c>
      <c r="S29" s="1387">
        <f t="shared" ref="S29:S47" si="9">F29</f>
        <v>100</v>
      </c>
      <c r="T29" s="1386" t="s">
        <v>5</v>
      </c>
      <c r="U29" s="1387">
        <f t="shared" ref="U29:U47" si="10">H29</f>
        <v>100</v>
      </c>
      <c r="V29" s="1386" t="s">
        <v>5</v>
      </c>
      <c r="W29" s="1387">
        <f t="shared" ref="W29:W47" si="11">J29</f>
        <v>100</v>
      </c>
      <c r="X29" s="1380"/>
      <c r="Y29" s="3871"/>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1"/>
      <c r="Q30" s="1385">
        <f t="shared" si="8"/>
        <v>111</v>
      </c>
      <c r="R30" s="1386" t="s">
        <v>5</v>
      </c>
      <c r="S30" s="1387">
        <f t="shared" si="9"/>
        <v>100</v>
      </c>
      <c r="T30" s="1386" t="s">
        <v>5</v>
      </c>
      <c r="U30" s="1387">
        <f t="shared" si="10"/>
        <v>100</v>
      </c>
      <c r="V30" s="1386" t="s">
        <v>5</v>
      </c>
      <c r="W30" s="1387">
        <f t="shared" si="11"/>
        <v>100</v>
      </c>
      <c r="X30" s="1380"/>
      <c r="Y30" s="3871"/>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1"/>
      <c r="Q31" s="1385">
        <f t="shared" si="8"/>
        <v>111</v>
      </c>
      <c r="R31" s="1386" t="s">
        <v>5</v>
      </c>
      <c r="S31" s="1387">
        <f t="shared" si="9"/>
        <v>100</v>
      </c>
      <c r="T31" s="1386" t="s">
        <v>5</v>
      </c>
      <c r="U31" s="1387">
        <f t="shared" si="10"/>
        <v>100</v>
      </c>
      <c r="V31" s="1386" t="s">
        <v>5</v>
      </c>
      <c r="W31" s="1387">
        <f t="shared" si="11"/>
        <v>100</v>
      </c>
      <c r="X31" s="1380"/>
      <c r="Y31" s="3871"/>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1"/>
      <c r="Q32" s="1385">
        <f t="shared" si="8"/>
        <v>111</v>
      </c>
      <c r="R32" s="1386" t="s">
        <v>5</v>
      </c>
      <c r="S32" s="1387">
        <f t="shared" si="9"/>
        <v>100</v>
      </c>
      <c r="T32" s="1386" t="s">
        <v>5</v>
      </c>
      <c r="U32" s="1387">
        <f t="shared" si="10"/>
        <v>100</v>
      </c>
      <c r="V32" s="1386" t="s">
        <v>5</v>
      </c>
      <c r="W32" s="1387">
        <f t="shared" si="11"/>
        <v>100</v>
      </c>
      <c r="X32" s="1380"/>
      <c r="Y32" s="3871"/>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2" t="s">
        <v>499</v>
      </c>
      <c r="Q33" s="1385" t="str">
        <f t="shared" si="8"/>
        <v>建筑类型</v>
      </c>
      <c r="R33" s="1386" t="s">
        <v>5</v>
      </c>
      <c r="S33" s="1387">
        <f t="shared" si="9"/>
        <v>100</v>
      </c>
      <c r="T33" s="1386" t="s">
        <v>5</v>
      </c>
      <c r="U33" s="1387">
        <f t="shared" si="10"/>
        <v>100</v>
      </c>
      <c r="V33" s="1386" t="s">
        <v>5</v>
      </c>
      <c r="W33" s="1387">
        <f t="shared" si="11"/>
        <v>100</v>
      </c>
      <c r="X33" s="1380"/>
      <c r="Y33" s="3873"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73"/>
      <c r="Q34" s="1414" t="str">
        <f t="shared" si="8"/>
        <v>项目建筑规模</v>
      </c>
      <c r="R34" s="1390" t="s">
        <v>5</v>
      </c>
      <c r="S34" s="1391" t="e">
        <f t="shared" si="9"/>
        <v>#N/A</v>
      </c>
      <c r="T34" s="1390" t="s">
        <v>5</v>
      </c>
      <c r="U34" s="1391" t="e">
        <f t="shared" si="10"/>
        <v>#N/A</v>
      </c>
      <c r="V34" s="1390" t="s">
        <v>5</v>
      </c>
      <c r="W34" s="1391" t="e">
        <f t="shared" si="11"/>
        <v>#N/A</v>
      </c>
      <c r="X34" s="1392"/>
      <c r="Y34" s="3873"/>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73"/>
      <c r="Q35" s="1385" t="str">
        <f t="shared" si="8"/>
        <v>建筑结构</v>
      </c>
      <c r="R35" s="1386" t="s">
        <v>5</v>
      </c>
      <c r="S35" s="1387">
        <f t="shared" si="9"/>
        <v>100</v>
      </c>
      <c r="T35" s="1386" t="s">
        <v>5</v>
      </c>
      <c r="U35" s="1387">
        <f t="shared" si="10"/>
        <v>100</v>
      </c>
      <c r="V35" s="1386" t="s">
        <v>5</v>
      </c>
      <c r="W35" s="1387">
        <f t="shared" si="11"/>
        <v>100</v>
      </c>
      <c r="X35" s="1380"/>
      <c r="Y35" s="3873"/>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73"/>
      <c r="Q36" s="1385" t="str">
        <f t="shared" si="8"/>
        <v>公共部分装修</v>
      </c>
      <c r="R36" s="1386" t="s">
        <v>5</v>
      </c>
      <c r="S36" s="1387">
        <f t="shared" si="9"/>
        <v>100</v>
      </c>
      <c r="T36" s="1386" t="s">
        <v>5</v>
      </c>
      <c r="U36" s="1387">
        <f t="shared" si="10"/>
        <v>100</v>
      </c>
      <c r="V36" s="1386" t="s">
        <v>5</v>
      </c>
      <c r="W36" s="1387">
        <f t="shared" si="11"/>
        <v>100</v>
      </c>
      <c r="X36" s="1380"/>
      <c r="Y36" s="3873"/>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73"/>
      <c r="Q37" s="1385" t="str">
        <f t="shared" si="8"/>
        <v>成新度</v>
      </c>
      <c r="R37" s="1386" t="s">
        <v>5</v>
      </c>
      <c r="S37" s="1387" t="e">
        <f t="shared" si="9"/>
        <v>#N/A</v>
      </c>
      <c r="T37" s="1386" t="s">
        <v>5</v>
      </c>
      <c r="U37" s="1387" t="e">
        <f t="shared" si="10"/>
        <v>#N/A</v>
      </c>
      <c r="V37" s="1386" t="s">
        <v>5</v>
      </c>
      <c r="W37" s="1387" t="e">
        <f t="shared" si="11"/>
        <v>#N/A</v>
      </c>
      <c r="X37" s="1380"/>
      <c r="Y37" s="3873"/>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73"/>
      <c r="Q38" s="1050" t="str">
        <f t="shared" si="8"/>
        <v>写字楼等级</v>
      </c>
      <c r="R38" s="1381" t="s">
        <v>5</v>
      </c>
      <c r="S38" s="1382">
        <f t="shared" si="9"/>
        <v>100</v>
      </c>
      <c r="T38" s="1381" t="s">
        <v>5</v>
      </c>
      <c r="U38" s="1382">
        <f t="shared" si="10"/>
        <v>100</v>
      </c>
      <c r="V38" s="1381" t="s">
        <v>5</v>
      </c>
      <c r="W38" s="1382">
        <f t="shared" si="11"/>
        <v>100</v>
      </c>
      <c r="X38" s="1383"/>
      <c r="Y38" s="3873"/>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73" t="s">
        <v>499</v>
      </c>
      <c r="Q39" s="1385" t="str">
        <f t="shared" si="8"/>
        <v>物业管理</v>
      </c>
      <c r="R39" s="1386" t="s">
        <v>5</v>
      </c>
      <c r="S39" s="1387">
        <f t="shared" si="9"/>
        <v>100</v>
      </c>
      <c r="T39" s="1386" t="s">
        <v>5</v>
      </c>
      <c r="U39" s="1387">
        <f t="shared" si="10"/>
        <v>100</v>
      </c>
      <c r="V39" s="1386" t="s">
        <v>5</v>
      </c>
      <c r="W39" s="1387">
        <f t="shared" si="11"/>
        <v>100</v>
      </c>
      <c r="X39" s="1380"/>
      <c r="Y39" s="3873"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73"/>
      <c r="Q40" s="1385" t="str">
        <f t="shared" si="8"/>
        <v>市政基础设施</v>
      </c>
      <c r="R40" s="1386" t="s">
        <v>5</v>
      </c>
      <c r="S40" s="1387">
        <f t="shared" si="9"/>
        <v>100</v>
      </c>
      <c r="T40" s="1386" t="s">
        <v>5</v>
      </c>
      <c r="U40" s="1387">
        <f t="shared" si="10"/>
        <v>100</v>
      </c>
      <c r="V40" s="1386" t="s">
        <v>5</v>
      </c>
      <c r="W40" s="1387">
        <f t="shared" si="11"/>
        <v>100</v>
      </c>
      <c r="X40" s="1380"/>
      <c r="Y40" s="3873"/>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73"/>
      <c r="Q41" s="1385" t="str">
        <f t="shared" si="8"/>
        <v>层高</v>
      </c>
      <c r="R41" s="1386" t="s">
        <v>5</v>
      </c>
      <c r="S41" s="1387">
        <f t="shared" si="9"/>
        <v>100</v>
      </c>
      <c r="T41" s="1386" t="s">
        <v>5</v>
      </c>
      <c r="U41" s="1387">
        <f t="shared" si="10"/>
        <v>100</v>
      </c>
      <c r="V41" s="1386" t="s">
        <v>5</v>
      </c>
      <c r="W41" s="1387">
        <f t="shared" si="11"/>
        <v>100</v>
      </c>
      <c r="X41" s="1380"/>
      <c r="Y41" s="3873"/>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73"/>
      <c r="Q42" s="1414" t="str">
        <f t="shared" si="8"/>
        <v>单套建筑面积</v>
      </c>
      <c r="R42" s="1390" t="s">
        <v>5</v>
      </c>
      <c r="S42" s="1391">
        <f t="shared" si="9"/>
        <v>100</v>
      </c>
      <c r="T42" s="1390" t="s">
        <v>5</v>
      </c>
      <c r="U42" s="1391">
        <f t="shared" si="10"/>
        <v>100</v>
      </c>
      <c r="V42" s="1390" t="s">
        <v>5</v>
      </c>
      <c r="W42" s="1391">
        <f t="shared" si="11"/>
        <v>100</v>
      </c>
      <c r="X42" s="1392"/>
      <c r="Y42" s="3873"/>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73"/>
      <c r="Q43" s="1385" t="str">
        <f t="shared" si="8"/>
        <v>内部装修</v>
      </c>
      <c r="R43" s="1386" t="s">
        <v>5</v>
      </c>
      <c r="S43" s="1387">
        <f t="shared" si="9"/>
        <v>100</v>
      </c>
      <c r="T43" s="1386" t="s">
        <v>5</v>
      </c>
      <c r="U43" s="1387">
        <f t="shared" si="10"/>
        <v>100</v>
      </c>
      <c r="V43" s="1386" t="s">
        <v>5</v>
      </c>
      <c r="W43" s="1387">
        <f t="shared" si="11"/>
        <v>100</v>
      </c>
      <c r="X43" s="1380"/>
      <c r="Y43" s="3873"/>
      <c r="Z43" s="1388" t="str">
        <f t="shared" si="12"/>
        <v>内部装修</v>
      </c>
      <c r="AA43" s="1389">
        <f t="shared" si="3"/>
        <v>1</v>
      </c>
      <c r="AB43" s="1389">
        <f t="shared" si="4"/>
        <v>1</v>
      </c>
      <c r="AC43" s="1389">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73"/>
      <c r="Q44" s="1385" t="str">
        <f t="shared" si="8"/>
        <v>内部装修维护情况</v>
      </c>
      <c r="R44" s="1386" t="s">
        <v>5</v>
      </c>
      <c r="S44" s="1387">
        <f t="shared" si="9"/>
        <v>100</v>
      </c>
      <c r="T44" s="1386" t="s">
        <v>5</v>
      </c>
      <c r="U44" s="1387">
        <f t="shared" si="10"/>
        <v>100</v>
      </c>
      <c r="V44" s="1386" t="s">
        <v>5</v>
      </c>
      <c r="W44" s="1387">
        <f t="shared" si="11"/>
        <v>100</v>
      </c>
      <c r="X44" s="1380"/>
      <c r="Y44" s="3873"/>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73"/>
      <c r="Q45" s="1050">
        <f t="shared" si="8"/>
        <v>111</v>
      </c>
      <c r="R45" s="1381" t="s">
        <v>5</v>
      </c>
      <c r="S45" s="1382">
        <f t="shared" si="9"/>
        <v>100</v>
      </c>
      <c r="T45" s="1381" t="s">
        <v>5</v>
      </c>
      <c r="U45" s="1382">
        <f t="shared" si="10"/>
        <v>100</v>
      </c>
      <c r="V45" s="1381" t="s">
        <v>5</v>
      </c>
      <c r="W45" s="1382">
        <f t="shared" si="11"/>
        <v>100</v>
      </c>
      <c r="X45" s="1383"/>
      <c r="Y45" s="3873"/>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73"/>
      <c r="Q46" s="1385">
        <f t="shared" si="8"/>
        <v>111</v>
      </c>
      <c r="R46" s="1386" t="s">
        <v>5</v>
      </c>
      <c r="S46" s="1387">
        <f t="shared" si="9"/>
        <v>100</v>
      </c>
      <c r="T46" s="1386" t="s">
        <v>5</v>
      </c>
      <c r="U46" s="1387">
        <f t="shared" si="10"/>
        <v>100</v>
      </c>
      <c r="V46" s="1386" t="s">
        <v>5</v>
      </c>
      <c r="W46" s="1387">
        <f t="shared" si="11"/>
        <v>100</v>
      </c>
      <c r="X46" s="1380"/>
      <c r="Y46" s="3873"/>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85"/>
      <c r="Q47" s="1385">
        <f t="shared" si="8"/>
        <v>111</v>
      </c>
      <c r="R47" s="1386" t="s">
        <v>5</v>
      </c>
      <c r="S47" s="1387">
        <f t="shared" si="9"/>
        <v>100</v>
      </c>
      <c r="T47" s="1386" t="s">
        <v>5</v>
      </c>
      <c r="U47" s="1387">
        <f t="shared" si="10"/>
        <v>100</v>
      </c>
      <c r="V47" s="1386" t="s">
        <v>5</v>
      </c>
      <c r="W47" s="1387">
        <f t="shared" si="11"/>
        <v>100</v>
      </c>
      <c r="X47" s="1380"/>
      <c r="Y47" s="3985"/>
      <c r="Z47" s="1388">
        <f t="shared" si="12"/>
        <v>111</v>
      </c>
      <c r="AA47" s="1389">
        <f t="shared" si="3"/>
        <v>1</v>
      </c>
      <c r="AB47" s="1389">
        <f t="shared" si="4"/>
        <v>1</v>
      </c>
      <c r="AC47" s="1389">
        <f t="shared" si="5"/>
        <v>1</v>
      </c>
    </row>
    <row r="48" spans="1:29" ht="14.4">
      <c r="A48" s="577" t="s">
        <v>683</v>
      </c>
      <c r="B48" s="850"/>
      <c r="C48" s="2234" t="s">
        <v>0</v>
      </c>
      <c r="D48" s="2235"/>
      <c r="E48" s="2236"/>
      <c r="F48" s="2237"/>
      <c r="G48" s="2238"/>
      <c r="H48" s="2239"/>
      <c r="I48" s="2236"/>
      <c r="J48" s="2239"/>
      <c r="K48" s="1419"/>
      <c r="L48" s="1867"/>
      <c r="M48" s="1857"/>
      <c r="N48" s="1857"/>
      <c r="O48" s="1857"/>
      <c r="P48" s="3875" t="str">
        <f>A48</f>
        <v>成交单价（元/平方米）</v>
      </c>
      <c r="Q48" s="3868"/>
      <c r="R48" s="3984">
        <f>E48</f>
        <v>0</v>
      </c>
      <c r="S48" s="3984"/>
      <c r="T48" s="3984">
        <f>G48</f>
        <v>0</v>
      </c>
      <c r="U48" s="3984"/>
      <c r="V48" s="3984">
        <f>I48</f>
        <v>0</v>
      </c>
      <c r="W48" s="3984"/>
      <c r="X48" s="1375"/>
      <c r="Y48" s="1394"/>
      <c r="Z48" s="1375"/>
      <c r="AA48" s="1375"/>
      <c r="AB48" s="1375"/>
      <c r="AC48" s="1375"/>
    </row>
    <row r="49" spans="1:29" ht="15" thickBot="1">
      <c r="A49" s="585" t="s">
        <v>2042</v>
      </c>
      <c r="B49" s="851"/>
      <c r="C49" s="2240" t="e">
        <f>R50</f>
        <v>#DIV/0!</v>
      </c>
      <c r="D49" s="2757" t="s">
        <v>2260</v>
      </c>
      <c r="E49" s="2241" t="e">
        <f>R49</f>
        <v>#DIV/0!</v>
      </c>
      <c r="F49" s="2758"/>
      <c r="G49" s="2240" t="e">
        <f>T49</f>
        <v>#DIV/0!</v>
      </c>
      <c r="H49" s="2758"/>
      <c r="I49" s="2241" t="e">
        <f>V49</f>
        <v>#DIV/0!</v>
      </c>
      <c r="J49" s="2758"/>
      <c r="K49" s="2766">
        <f>F49+H49+J49</f>
        <v>0</v>
      </c>
      <c r="L49" s="1867"/>
      <c r="M49" s="1857"/>
      <c r="N49" s="1857"/>
      <c r="O49" s="1857"/>
      <c r="P49" s="3875" t="str">
        <f>A49</f>
        <v>比较价格（元/平方米）</v>
      </c>
      <c r="Q49" s="3868"/>
      <c r="R49" s="3984" t="e">
        <f>IF(F1="售价",ROUND(PRODUCT(R48,AA7:AA47),0),ROUND(PRODUCT(R48,AA7:AA47),1))</f>
        <v>#DIV/0!</v>
      </c>
      <c r="S49" s="3984"/>
      <c r="T49" s="3984" t="e">
        <f>IF(F1="售价",ROUND(PRODUCT(T48,AB7:AB47),0),ROUND(PRODUCT(T48,AB7:AB47),1))</f>
        <v>#DIV/0!</v>
      </c>
      <c r="U49" s="3984"/>
      <c r="V49" s="3984" t="e">
        <f>IF(F1="售价",ROUND(PRODUCT(V48,AC7:AC47),0),ROUND(PRODUCT(V48,AC7:AC47),1))</f>
        <v>#DIV/0!</v>
      </c>
      <c r="W49" s="3984"/>
      <c r="X49" s="1375"/>
      <c r="Y49" s="1375"/>
      <c r="Z49" s="1375"/>
      <c r="AA49" s="1375"/>
      <c r="AB49" s="1375"/>
      <c r="AC49" s="1375"/>
    </row>
    <row r="50" spans="1:29" ht="15" thickBot="1">
      <c r="A50" s="589" t="s">
        <v>2197</v>
      </c>
      <c r="B50" s="590"/>
      <c r="C50" s="2242" t="e">
        <f>R50</f>
        <v>#DIV/0!</v>
      </c>
      <c r="D50" s="2242"/>
      <c r="E50" s="2242"/>
      <c r="F50" s="2242"/>
      <c r="G50" s="2242"/>
      <c r="H50" s="2242"/>
      <c r="I50" s="2242"/>
      <c r="J50" s="2242"/>
      <c r="K50" s="1420"/>
      <c r="L50" s="1867"/>
      <c r="M50" s="1857"/>
      <c r="N50" s="1857"/>
      <c r="O50" s="1857"/>
      <c r="P50" s="3989" t="str">
        <f>A50</f>
        <v>估价对象XX用房的比较价格（楼面单价，元/平方米）</v>
      </c>
      <c r="Q50" s="3875"/>
      <c r="R50" s="3983" t="e">
        <f>IF(F1="售价",ROUND(IF(D49="简单平均",AVERAGE(R49:V49),R49*F49+T49*H49+V49*J49),0),ROUND(IF(D49="简单平均",AVERAGE(R49:V49),R49*F49+T49*H49+V49*J49),1))</f>
        <v>#DIV/0!</v>
      </c>
      <c r="S50" s="3983"/>
      <c r="T50" s="3983"/>
      <c r="U50" s="3983"/>
      <c r="V50" s="3983"/>
      <c r="W50" s="3983"/>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2" t="str">
        <f>YEAR(C7)&amp;"-"&amp;MONTH(C7)</f>
        <v>2023-4</v>
      </c>
      <c r="D59" s="2284">
        <f>EDATE(C59,-1)</f>
        <v>44986</v>
      </c>
      <c r="E59" s="2284">
        <f t="shared" ref="E59:O59" si="13">EDATE(D59,-1)</f>
        <v>44958</v>
      </c>
      <c r="F59" s="2284">
        <f t="shared" si="13"/>
        <v>44927</v>
      </c>
      <c r="G59" s="2284">
        <f t="shared" si="13"/>
        <v>44896</v>
      </c>
      <c r="H59" s="2284">
        <f t="shared" si="13"/>
        <v>44866</v>
      </c>
      <c r="I59" s="2284">
        <f t="shared" si="13"/>
        <v>44835</v>
      </c>
      <c r="J59" s="2284">
        <f t="shared" si="13"/>
        <v>44805</v>
      </c>
      <c r="K59" s="2284">
        <f t="shared" si="13"/>
        <v>44774</v>
      </c>
      <c r="L59" s="2284">
        <f t="shared" si="13"/>
        <v>44743</v>
      </c>
      <c r="M59" s="2284">
        <f t="shared" si="13"/>
        <v>44713</v>
      </c>
      <c r="N59" s="2284">
        <f t="shared" si="13"/>
        <v>44682</v>
      </c>
      <c r="O59" s="2284">
        <f t="shared" si="13"/>
        <v>44652</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470</v>
      </c>
      <c r="B4" s="483"/>
      <c r="C4" s="3876" t="s">
        <v>471</v>
      </c>
      <c r="D4" s="3877"/>
      <c r="E4" s="3902" t="s">
        <v>472</v>
      </c>
      <c r="F4" s="3903"/>
      <c r="G4" s="3876" t="s">
        <v>473</v>
      </c>
      <c r="H4" s="3877"/>
      <c r="I4" s="3876" t="s">
        <v>474</v>
      </c>
      <c r="J4" s="3877"/>
      <c r="K4" s="484" t="s">
        <v>475</v>
      </c>
      <c r="L4" s="1856"/>
      <c r="M4" s="1857"/>
      <c r="N4" s="1857"/>
      <c r="O4" s="1857"/>
      <c r="P4" s="3878" t="s">
        <v>476</v>
      </c>
      <c r="Q4" s="3879"/>
      <c r="R4" s="3862" t="s">
        <v>472</v>
      </c>
      <c r="S4" s="3863"/>
      <c r="T4" s="3862" t="s">
        <v>473</v>
      </c>
      <c r="U4" s="3863"/>
      <c r="V4" s="3884" t="s">
        <v>474</v>
      </c>
      <c r="W4" s="3884"/>
      <c r="X4" s="1380"/>
      <c r="Y4" s="3862" t="s">
        <v>476</v>
      </c>
      <c r="Z4" s="3863"/>
      <c r="AA4" s="3857" t="s">
        <v>472</v>
      </c>
      <c r="AB4" s="3858" t="s">
        <v>473</v>
      </c>
      <c r="AC4" s="3857" t="s">
        <v>474</v>
      </c>
    </row>
    <row r="5" spans="1:29">
      <c r="A5" s="485"/>
      <c r="B5" s="486"/>
      <c r="C5" s="3887" t="s">
        <v>2191</v>
      </c>
      <c r="D5" s="3888"/>
      <c r="E5" s="3904" t="s">
        <v>2192</v>
      </c>
      <c r="F5" s="3905"/>
      <c r="G5" s="3887" t="s">
        <v>2193</v>
      </c>
      <c r="H5" s="3888"/>
      <c r="I5" s="3887" t="s">
        <v>2194</v>
      </c>
      <c r="J5" s="3888"/>
      <c r="K5" s="484"/>
      <c r="L5" s="1856"/>
      <c r="M5" s="1857"/>
      <c r="N5" s="1857"/>
      <c r="O5" s="1857"/>
      <c r="P5" s="3880"/>
      <c r="Q5" s="3881"/>
      <c r="R5" s="3864"/>
      <c r="S5" s="3865"/>
      <c r="T5" s="3864"/>
      <c r="U5" s="3865"/>
      <c r="V5" s="3884"/>
      <c r="W5" s="3884"/>
      <c r="X5" s="1380"/>
      <c r="Y5" s="3864"/>
      <c r="Z5" s="3865"/>
      <c r="AA5" s="3858"/>
      <c r="AB5" s="3858"/>
      <c r="AC5" s="3858"/>
    </row>
    <row r="6" spans="1:29" ht="15" thickBot="1">
      <c r="A6" s="487"/>
      <c r="B6" s="488"/>
      <c r="C6" s="3885" t="s">
        <v>2195</v>
      </c>
      <c r="D6" s="3886"/>
      <c r="E6" s="3906" t="s">
        <v>2195</v>
      </c>
      <c r="F6" s="3907"/>
      <c r="G6" s="3885" t="s">
        <v>2195</v>
      </c>
      <c r="H6" s="3886"/>
      <c r="I6" s="3885" t="s">
        <v>2195</v>
      </c>
      <c r="J6" s="3886"/>
      <c r="K6" s="484" t="s">
        <v>477</v>
      </c>
      <c r="L6" s="1856"/>
      <c r="M6" s="1857"/>
      <c r="N6" s="1857"/>
      <c r="O6" s="1857"/>
      <c r="P6" s="3882"/>
      <c r="Q6" s="3883"/>
      <c r="R6" s="3864"/>
      <c r="S6" s="3865"/>
      <c r="T6" s="3866"/>
      <c r="U6" s="3867"/>
      <c r="V6" s="3884"/>
      <c r="W6" s="3884"/>
      <c r="X6" s="1380"/>
      <c r="Y6" s="3866"/>
      <c r="Z6" s="3867"/>
      <c r="AA6" s="3859"/>
      <c r="AB6" s="3859"/>
      <c r="AC6" s="3859"/>
    </row>
    <row r="7" spans="1:29" s="1118" customFormat="1" ht="15" thickBot="1">
      <c r="A7" s="2392"/>
      <c r="B7" s="2399" t="s">
        <v>478</v>
      </c>
      <c r="C7" s="489">
        <f>'数据-取费表'!B2</f>
        <v>45028</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60" t="s">
        <v>479</v>
      </c>
      <c r="Q7" s="3869"/>
      <c r="R7" s="1381" t="s">
        <v>5</v>
      </c>
      <c r="S7" s="1382">
        <f t="shared" ref="S7:S15" si="0">F7</f>
        <v>0</v>
      </c>
      <c r="T7" s="1381" t="s">
        <v>5</v>
      </c>
      <c r="U7" s="1382">
        <f t="shared" ref="U7:U15" si="1">H7</f>
        <v>0</v>
      </c>
      <c r="V7" s="1381" t="s">
        <v>5</v>
      </c>
      <c r="W7" s="1382">
        <f t="shared" ref="W7:W15" si="2">J7</f>
        <v>0</v>
      </c>
      <c r="X7" s="1383"/>
      <c r="Y7" s="3860" t="s">
        <v>479</v>
      </c>
      <c r="Z7" s="3861"/>
      <c r="AA7" s="1384" t="e">
        <f>D7/F7</f>
        <v>#DIV/0!</v>
      </c>
      <c r="AB7" s="1384" t="e">
        <f>D7/H7</f>
        <v>#DIV/0!</v>
      </c>
      <c r="AC7" s="1384" t="e">
        <f>D7/J7</f>
        <v>#DIV/0!</v>
      </c>
    </row>
    <row r="8" spans="1:29" s="1118" customFormat="1" ht="1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60" t="s">
        <v>482</v>
      </c>
      <c r="Q8" s="3861"/>
      <c r="R8" s="1381" t="s">
        <v>5</v>
      </c>
      <c r="S8" s="1382">
        <f t="shared" si="0"/>
        <v>0</v>
      </c>
      <c r="T8" s="1381" t="s">
        <v>5</v>
      </c>
      <c r="U8" s="1382">
        <f t="shared" si="1"/>
        <v>0</v>
      </c>
      <c r="V8" s="1381" t="s">
        <v>5</v>
      </c>
      <c r="W8" s="1382">
        <f t="shared" si="2"/>
        <v>0</v>
      </c>
      <c r="X8" s="1383"/>
      <c r="Y8" s="3860" t="s">
        <v>482</v>
      </c>
      <c r="Z8" s="3861"/>
      <c r="AA8" s="1384" t="e">
        <f t="shared" ref="AA8:AA40" si="3">D8/F8</f>
        <v>#DIV/0!</v>
      </c>
      <c r="AB8" s="1384" t="e">
        <f t="shared" ref="AB8:AB40" si="4">D8/H8</f>
        <v>#DIV/0!</v>
      </c>
      <c r="AC8" s="1384" t="e">
        <f t="shared" ref="AC8:AC40" si="5">D8/J8</f>
        <v>#DIV/0!</v>
      </c>
    </row>
    <row r="9" spans="1:29" s="1118" customFormat="1" ht="14.4">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68" t="s">
        <v>484</v>
      </c>
      <c r="Q9" s="1050" t="str">
        <f t="shared" ref="Q9:Q15" si="6">B9</f>
        <v>用途</v>
      </c>
      <c r="R9" s="1381" t="s">
        <v>5</v>
      </c>
      <c r="S9" s="1382">
        <f t="shared" si="0"/>
        <v>100</v>
      </c>
      <c r="T9" s="1381" t="s">
        <v>5</v>
      </c>
      <c r="U9" s="1382">
        <f t="shared" si="1"/>
        <v>100</v>
      </c>
      <c r="V9" s="1381" t="s">
        <v>5</v>
      </c>
      <c r="W9" s="1382">
        <f t="shared" si="2"/>
        <v>100</v>
      </c>
      <c r="X9" s="1383"/>
      <c r="Y9" s="3820" t="s">
        <v>485</v>
      </c>
      <c r="Z9" s="1049" t="str">
        <f t="shared" ref="Z9:Z15" si="7">Q9</f>
        <v>用途</v>
      </c>
      <c r="AA9" s="1384">
        <f t="shared" si="3"/>
        <v>1</v>
      </c>
      <c r="AB9" s="1384">
        <f t="shared" si="4"/>
        <v>1</v>
      </c>
      <c r="AC9" s="1384">
        <f t="shared" si="5"/>
        <v>1</v>
      </c>
    </row>
    <row r="10" spans="1:29" s="1199" customFormat="1" ht="28.8">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20"/>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68"/>
      <c r="Q11" s="1050" t="str">
        <f t="shared" si="6"/>
        <v>容积率</v>
      </c>
      <c r="R11" s="1381" t="s">
        <v>5</v>
      </c>
      <c r="S11" s="1382" t="e">
        <f t="shared" si="0"/>
        <v>#N/A</v>
      </c>
      <c r="T11" s="1381" t="s">
        <v>5</v>
      </c>
      <c r="U11" s="1382" t="e">
        <f t="shared" si="1"/>
        <v>#N/A</v>
      </c>
      <c r="V11" s="1381" t="s">
        <v>5</v>
      </c>
      <c r="W11" s="1382" t="e">
        <f t="shared" si="2"/>
        <v>#N/A</v>
      </c>
      <c r="X11" s="1383"/>
      <c r="Y11" s="3820"/>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20"/>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20"/>
      <c r="Z13" s="1049">
        <f t="shared" si="7"/>
        <v>111</v>
      </c>
      <c r="AA13" s="1384">
        <f t="shared" si="3"/>
        <v>1</v>
      </c>
      <c r="AB13" s="1384">
        <f t="shared" si="4"/>
        <v>1</v>
      </c>
      <c r="AC13" s="1384">
        <f t="shared" si="5"/>
        <v>1</v>
      </c>
    </row>
    <row r="14" spans="1:29" ht="15.6"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68"/>
      <c r="Q14" s="1050">
        <f t="shared" si="6"/>
        <v>111</v>
      </c>
      <c r="R14" s="1381" t="s">
        <v>5</v>
      </c>
      <c r="S14" s="1382">
        <f t="shared" si="0"/>
        <v>100</v>
      </c>
      <c r="T14" s="1381" t="s">
        <v>5</v>
      </c>
      <c r="U14" s="1382">
        <f t="shared" si="1"/>
        <v>100</v>
      </c>
      <c r="V14" s="1381" t="s">
        <v>5</v>
      </c>
      <c r="W14" s="1382">
        <f t="shared" si="2"/>
        <v>100</v>
      </c>
      <c r="X14" s="1383"/>
      <c r="Y14" s="3820"/>
      <c r="Z14" s="1049">
        <f t="shared" si="7"/>
        <v>111</v>
      </c>
      <c r="AA14" s="1384">
        <f t="shared" si="3"/>
        <v>1</v>
      </c>
      <c r="AB14" s="1384">
        <f t="shared" si="4"/>
        <v>1</v>
      </c>
      <c r="AC14" s="1384">
        <f t="shared" si="5"/>
        <v>1</v>
      </c>
    </row>
    <row r="15" spans="1:29" ht="69">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0" t="s">
        <v>489</v>
      </c>
      <c r="Q15" s="1385" t="str">
        <f t="shared" si="6"/>
        <v>产业集聚程度</v>
      </c>
      <c r="R15" s="1386" t="s">
        <v>5</v>
      </c>
      <c r="S15" s="1387">
        <f t="shared" si="0"/>
        <v>100</v>
      </c>
      <c r="T15" s="1386" t="s">
        <v>5</v>
      </c>
      <c r="U15" s="1387">
        <f t="shared" si="1"/>
        <v>100</v>
      </c>
      <c r="V15" s="1386" t="s">
        <v>5</v>
      </c>
      <c r="W15" s="1387">
        <f t="shared" si="2"/>
        <v>100</v>
      </c>
      <c r="X15" s="1380"/>
      <c r="Y15" s="3870"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1"/>
      <c r="Q16" s="1385"/>
      <c r="R16" s="1386"/>
      <c r="S16" s="1387"/>
      <c r="T16" s="1386"/>
      <c r="U16" s="1387"/>
      <c r="V16" s="1386"/>
      <c r="W16" s="1387"/>
      <c r="X16" s="1380"/>
      <c r="Y16" s="3871"/>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1"/>
      <c r="Q17" s="1385" t="str">
        <f>B17</f>
        <v>交通便捷度</v>
      </c>
      <c r="R17" s="1386" t="s">
        <v>5</v>
      </c>
      <c r="S17" s="1387">
        <f>F17</f>
        <v>100</v>
      </c>
      <c r="T17" s="1386" t="s">
        <v>5</v>
      </c>
      <c r="U17" s="1387">
        <f>H17</f>
        <v>100</v>
      </c>
      <c r="V17" s="1386" t="s">
        <v>5</v>
      </c>
      <c r="W17" s="1387">
        <f>J17</f>
        <v>100</v>
      </c>
      <c r="X17" s="1380"/>
      <c r="Y17" s="387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1"/>
      <c r="Q18" s="1385"/>
      <c r="R18" s="1386"/>
      <c r="S18" s="1387"/>
      <c r="T18" s="1386"/>
      <c r="U18" s="1387"/>
      <c r="V18" s="1386"/>
      <c r="W18" s="1387"/>
      <c r="X18" s="1380"/>
      <c r="Y18" s="3871"/>
      <c r="Z18" s="1388"/>
      <c r="AA18" s="1389">
        <v>1</v>
      </c>
      <c r="AB18" s="1389">
        <v>1</v>
      </c>
      <c r="AC18" s="1389">
        <v>1</v>
      </c>
    </row>
    <row r="19" spans="1:29" ht="41.4">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1"/>
      <c r="Q19" s="1385" t="str">
        <f>B19</f>
        <v>公共配套设施</v>
      </c>
      <c r="R19" s="1386" t="s">
        <v>5</v>
      </c>
      <c r="S19" s="1387">
        <f>F19</f>
        <v>100</v>
      </c>
      <c r="T19" s="1386" t="s">
        <v>5</v>
      </c>
      <c r="U19" s="1387">
        <f>H19</f>
        <v>100</v>
      </c>
      <c r="V19" s="1386" t="s">
        <v>5</v>
      </c>
      <c r="W19" s="1387">
        <f>J19</f>
        <v>100</v>
      </c>
      <c r="X19" s="1380"/>
      <c r="Y19" s="3871"/>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1"/>
      <c r="Q20" s="1385"/>
      <c r="R20" s="1386"/>
      <c r="S20" s="1387"/>
      <c r="T20" s="1386"/>
      <c r="U20" s="1387"/>
      <c r="V20" s="1386"/>
      <c r="W20" s="1387"/>
      <c r="X20" s="1380"/>
      <c r="Y20" s="3871"/>
      <c r="Z20" s="1388"/>
      <c r="AA20" s="1389">
        <v>1</v>
      </c>
      <c r="AB20" s="1389">
        <v>1</v>
      </c>
      <c r="AC20" s="1389">
        <v>1</v>
      </c>
    </row>
    <row r="21" spans="1:29" ht="41.4">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1"/>
      <c r="Q21" s="2193" t="str">
        <f>B21</f>
        <v>基础设施水平</v>
      </c>
      <c r="R21" s="1386" t="s">
        <v>5</v>
      </c>
      <c r="S21" s="1387">
        <f>F21</f>
        <v>100</v>
      </c>
      <c r="T21" s="1386" t="s">
        <v>5</v>
      </c>
      <c r="U21" s="1387">
        <f>H21</f>
        <v>100</v>
      </c>
      <c r="V21" s="1386" t="s">
        <v>5</v>
      </c>
      <c r="W21" s="1387">
        <f>J21</f>
        <v>100</v>
      </c>
      <c r="X21" s="2195"/>
      <c r="Y21" s="3871"/>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1"/>
      <c r="Q22" s="2193"/>
      <c r="R22" s="1386"/>
      <c r="S22" s="1387"/>
      <c r="T22" s="1386"/>
      <c r="U22" s="1387"/>
      <c r="V22" s="1386"/>
      <c r="W22" s="1387"/>
      <c r="X22" s="2195"/>
      <c r="Y22" s="3871"/>
      <c r="Z22" s="2194"/>
      <c r="AA22" s="1389">
        <v>1</v>
      </c>
      <c r="AB22" s="1389">
        <v>1</v>
      </c>
      <c r="AC22" s="1389">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1"/>
      <c r="Q23" s="1385" t="str">
        <f>B23</f>
        <v>环境质量</v>
      </c>
      <c r="R23" s="1386" t="s">
        <v>5</v>
      </c>
      <c r="S23" s="1387">
        <f>F23</f>
        <v>100</v>
      </c>
      <c r="T23" s="1386" t="s">
        <v>5</v>
      </c>
      <c r="U23" s="1387">
        <f>H23</f>
        <v>100</v>
      </c>
      <c r="V23" s="1386" t="s">
        <v>5</v>
      </c>
      <c r="W23" s="1387">
        <f>J23</f>
        <v>100</v>
      </c>
      <c r="X23" s="1380"/>
      <c r="Y23" s="3871"/>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1"/>
      <c r="Q24" s="1385"/>
      <c r="R24" s="1386"/>
      <c r="S24" s="1387"/>
      <c r="T24" s="1386"/>
      <c r="U24" s="1387"/>
      <c r="V24" s="1386"/>
      <c r="W24" s="1387"/>
      <c r="X24" s="1380"/>
      <c r="Y24" s="3871"/>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1"/>
      <c r="Q25" s="1385">
        <f>B25</f>
        <v>111</v>
      </c>
      <c r="R25" s="1386" t="s">
        <v>5</v>
      </c>
      <c r="S25" s="1387">
        <f>F25</f>
        <v>100</v>
      </c>
      <c r="T25" s="1386" t="s">
        <v>5</v>
      </c>
      <c r="U25" s="1387">
        <f>H25</f>
        <v>100</v>
      </c>
      <c r="V25" s="1386" t="s">
        <v>5</v>
      </c>
      <c r="W25" s="1387">
        <f>J25</f>
        <v>100</v>
      </c>
      <c r="X25" s="1380"/>
      <c r="Y25" s="3871"/>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1"/>
      <c r="Q26" s="1385">
        <f t="shared" ref="Q26:Q40" si="8">B26</f>
        <v>111</v>
      </c>
      <c r="R26" s="1386" t="s">
        <v>5</v>
      </c>
      <c r="S26" s="1387">
        <f>F26</f>
        <v>100</v>
      </c>
      <c r="T26" s="1386" t="s">
        <v>5</v>
      </c>
      <c r="U26" s="1387">
        <f>H26</f>
        <v>100</v>
      </c>
      <c r="V26" s="1386" t="s">
        <v>5</v>
      </c>
      <c r="W26" s="1387">
        <f>J26</f>
        <v>100</v>
      </c>
      <c r="X26" s="1380"/>
      <c r="Y26" s="3871"/>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1"/>
      <c r="Q27" s="1050">
        <f t="shared" si="8"/>
        <v>111</v>
      </c>
      <c r="R27" s="1381" t="s">
        <v>5</v>
      </c>
      <c r="S27" s="1382">
        <f>F27</f>
        <v>100</v>
      </c>
      <c r="T27" s="1381" t="s">
        <v>5</v>
      </c>
      <c r="U27" s="1382">
        <f>H27</f>
        <v>100</v>
      </c>
      <c r="V27" s="1381" t="s">
        <v>5</v>
      </c>
      <c r="W27" s="1382">
        <f>J27</f>
        <v>100</v>
      </c>
      <c r="X27" s="1383"/>
      <c r="Y27" s="3871"/>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1"/>
      <c r="Q28" s="1385">
        <f t="shared" si="8"/>
        <v>111</v>
      </c>
      <c r="R28" s="1386" t="s">
        <v>5</v>
      </c>
      <c r="S28" s="1387">
        <f t="shared" ref="S28:S40" si="9">F28</f>
        <v>100</v>
      </c>
      <c r="T28" s="1386" t="s">
        <v>5</v>
      </c>
      <c r="U28" s="1387">
        <f t="shared" ref="U28:U40" si="10">H28</f>
        <v>100</v>
      </c>
      <c r="V28" s="1386" t="s">
        <v>5</v>
      </c>
      <c r="W28" s="1387">
        <f t="shared" ref="W28:W40" si="11">J28</f>
        <v>100</v>
      </c>
      <c r="X28" s="1380"/>
      <c r="Y28" s="3871"/>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2" t="s">
        <v>499</v>
      </c>
      <c r="Q29" s="1385" t="str">
        <f t="shared" si="8"/>
        <v>建筑类型</v>
      </c>
      <c r="R29" s="1386" t="s">
        <v>5</v>
      </c>
      <c r="S29" s="1387">
        <f t="shared" si="9"/>
        <v>100</v>
      </c>
      <c r="T29" s="1386" t="s">
        <v>5</v>
      </c>
      <c r="U29" s="1387">
        <f t="shared" si="10"/>
        <v>100</v>
      </c>
      <c r="V29" s="1386" t="s">
        <v>5</v>
      </c>
      <c r="W29" s="1387">
        <f t="shared" si="11"/>
        <v>100</v>
      </c>
      <c r="X29" s="1380"/>
      <c r="Y29" s="3873"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73"/>
      <c r="Q30" s="1414" t="str">
        <f t="shared" si="8"/>
        <v>项目建筑规模</v>
      </c>
      <c r="R30" s="1390" t="s">
        <v>5</v>
      </c>
      <c r="S30" s="1391" t="e">
        <f t="shared" si="9"/>
        <v>#N/A</v>
      </c>
      <c r="T30" s="1390" t="s">
        <v>5</v>
      </c>
      <c r="U30" s="1391" t="e">
        <f t="shared" si="10"/>
        <v>#N/A</v>
      </c>
      <c r="V30" s="1390" t="s">
        <v>5</v>
      </c>
      <c r="W30" s="1391" t="e">
        <f t="shared" si="11"/>
        <v>#N/A</v>
      </c>
      <c r="X30" s="1392"/>
      <c r="Y30" s="3873"/>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73"/>
      <c r="Q31" s="1385" t="str">
        <f t="shared" si="8"/>
        <v>建筑结构</v>
      </c>
      <c r="R31" s="1386" t="s">
        <v>5</v>
      </c>
      <c r="S31" s="1387">
        <f t="shared" si="9"/>
        <v>100</v>
      </c>
      <c r="T31" s="1386" t="s">
        <v>5</v>
      </c>
      <c r="U31" s="1387">
        <f t="shared" si="10"/>
        <v>100</v>
      </c>
      <c r="V31" s="1386" t="s">
        <v>5</v>
      </c>
      <c r="W31" s="1387">
        <f t="shared" si="11"/>
        <v>100</v>
      </c>
      <c r="X31" s="1380"/>
      <c r="Y31" s="3873"/>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73"/>
      <c r="Q32" s="1385" t="str">
        <f t="shared" si="8"/>
        <v>公共部分装修</v>
      </c>
      <c r="R32" s="1386" t="s">
        <v>5</v>
      </c>
      <c r="S32" s="1387">
        <f t="shared" si="9"/>
        <v>100</v>
      </c>
      <c r="T32" s="1386" t="s">
        <v>5</v>
      </c>
      <c r="U32" s="1387">
        <f t="shared" si="10"/>
        <v>100</v>
      </c>
      <c r="V32" s="1386" t="s">
        <v>5</v>
      </c>
      <c r="W32" s="1387">
        <f t="shared" si="11"/>
        <v>100</v>
      </c>
      <c r="X32" s="1380"/>
      <c r="Y32" s="3873"/>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73"/>
      <c r="Q33" s="1385" t="str">
        <f t="shared" si="8"/>
        <v>成新度</v>
      </c>
      <c r="R33" s="1386" t="s">
        <v>5</v>
      </c>
      <c r="S33" s="1387" t="e">
        <f t="shared" si="9"/>
        <v>#N/A</v>
      </c>
      <c r="T33" s="1386" t="s">
        <v>5</v>
      </c>
      <c r="U33" s="1387" t="e">
        <f t="shared" si="10"/>
        <v>#N/A</v>
      </c>
      <c r="V33" s="1386" t="s">
        <v>5</v>
      </c>
      <c r="W33" s="1387" t="e">
        <f t="shared" si="11"/>
        <v>#N/A</v>
      </c>
      <c r="X33" s="1380"/>
      <c r="Y33" s="3873"/>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73"/>
      <c r="Q34" s="1050" t="str">
        <f t="shared" si="8"/>
        <v>物业管理</v>
      </c>
      <c r="R34" s="1381" t="s">
        <v>5</v>
      </c>
      <c r="S34" s="1382">
        <f t="shared" si="9"/>
        <v>100</v>
      </c>
      <c r="T34" s="1381" t="s">
        <v>5</v>
      </c>
      <c r="U34" s="1382">
        <f t="shared" si="10"/>
        <v>100</v>
      </c>
      <c r="V34" s="1381" t="s">
        <v>5</v>
      </c>
      <c r="W34" s="1382">
        <f t="shared" si="11"/>
        <v>100</v>
      </c>
      <c r="X34" s="1383"/>
      <c r="Y34" s="3873"/>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73" t="s">
        <v>499</v>
      </c>
      <c r="Q35" s="1385" t="str">
        <f t="shared" si="8"/>
        <v>市政基础设施</v>
      </c>
      <c r="R35" s="1386" t="s">
        <v>5</v>
      </c>
      <c r="S35" s="1387">
        <f t="shared" si="9"/>
        <v>100</v>
      </c>
      <c r="T35" s="1386" t="s">
        <v>5</v>
      </c>
      <c r="U35" s="1387">
        <f t="shared" si="10"/>
        <v>100</v>
      </c>
      <c r="V35" s="1386" t="s">
        <v>5</v>
      </c>
      <c r="W35" s="1387">
        <f t="shared" si="11"/>
        <v>100</v>
      </c>
      <c r="X35" s="1380"/>
      <c r="Y35" s="3873"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73"/>
      <c r="Q36" s="1385" t="str">
        <f t="shared" si="8"/>
        <v>内部装修</v>
      </c>
      <c r="R36" s="1386" t="s">
        <v>5</v>
      </c>
      <c r="S36" s="1387">
        <f t="shared" si="9"/>
        <v>100</v>
      </c>
      <c r="T36" s="1386" t="s">
        <v>5</v>
      </c>
      <c r="U36" s="1387">
        <f t="shared" si="10"/>
        <v>100</v>
      </c>
      <c r="V36" s="1386" t="s">
        <v>5</v>
      </c>
      <c r="W36" s="1387">
        <f t="shared" si="11"/>
        <v>100</v>
      </c>
      <c r="X36" s="1380"/>
      <c r="Y36" s="3873"/>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73"/>
      <c r="Q37" s="1385" t="str">
        <f t="shared" si="8"/>
        <v>内部装修状况</v>
      </c>
      <c r="R37" s="1386" t="s">
        <v>5</v>
      </c>
      <c r="S37" s="1387">
        <f t="shared" si="9"/>
        <v>100</v>
      </c>
      <c r="T37" s="1386" t="s">
        <v>5</v>
      </c>
      <c r="U37" s="1387">
        <f t="shared" si="10"/>
        <v>100</v>
      </c>
      <c r="V37" s="1386" t="s">
        <v>5</v>
      </c>
      <c r="W37" s="1387">
        <f t="shared" si="11"/>
        <v>100</v>
      </c>
      <c r="X37" s="1380"/>
      <c r="Y37" s="3873"/>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73"/>
      <c r="Q38" s="1414">
        <f t="shared" si="8"/>
        <v>111</v>
      </c>
      <c r="R38" s="1390" t="s">
        <v>5</v>
      </c>
      <c r="S38" s="1391">
        <f t="shared" si="9"/>
        <v>100</v>
      </c>
      <c r="T38" s="1390" t="s">
        <v>5</v>
      </c>
      <c r="U38" s="1391">
        <f t="shared" si="10"/>
        <v>100</v>
      </c>
      <c r="V38" s="1390" t="s">
        <v>5</v>
      </c>
      <c r="W38" s="1391">
        <f t="shared" si="11"/>
        <v>100</v>
      </c>
      <c r="X38" s="1392"/>
      <c r="Y38" s="3873"/>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73"/>
      <c r="Q39" s="1385">
        <f t="shared" si="8"/>
        <v>111</v>
      </c>
      <c r="R39" s="1386" t="s">
        <v>5</v>
      </c>
      <c r="S39" s="1387">
        <f t="shared" si="9"/>
        <v>100</v>
      </c>
      <c r="T39" s="1386" t="s">
        <v>5</v>
      </c>
      <c r="U39" s="1387">
        <f t="shared" si="10"/>
        <v>100</v>
      </c>
      <c r="V39" s="1386" t="s">
        <v>5</v>
      </c>
      <c r="W39" s="1387">
        <f t="shared" si="11"/>
        <v>100</v>
      </c>
      <c r="X39" s="1380"/>
      <c r="Y39" s="3873"/>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85"/>
      <c r="Q40" s="1385">
        <f t="shared" si="8"/>
        <v>111</v>
      </c>
      <c r="R40" s="1386" t="s">
        <v>5</v>
      </c>
      <c r="S40" s="1387">
        <f t="shared" si="9"/>
        <v>100</v>
      </c>
      <c r="T40" s="1386" t="s">
        <v>5</v>
      </c>
      <c r="U40" s="1387">
        <f t="shared" si="10"/>
        <v>100</v>
      </c>
      <c r="V40" s="1386" t="s">
        <v>5</v>
      </c>
      <c r="W40" s="1387">
        <f t="shared" si="11"/>
        <v>100</v>
      </c>
      <c r="X40" s="1380"/>
      <c r="Y40" s="3985"/>
      <c r="Z40" s="1388">
        <f t="shared" si="12"/>
        <v>111</v>
      </c>
      <c r="AA40" s="1389">
        <f t="shared" si="3"/>
        <v>1</v>
      </c>
      <c r="AB40" s="1389">
        <f t="shared" si="4"/>
        <v>1</v>
      </c>
      <c r="AC40" s="1389">
        <f t="shared" si="5"/>
        <v>1</v>
      </c>
    </row>
    <row r="41" spans="1:29" ht="14.4">
      <c r="A41" s="577" t="s">
        <v>683</v>
      </c>
      <c r="B41" s="850"/>
      <c r="C41" s="2234" t="s">
        <v>0</v>
      </c>
      <c r="D41" s="2235"/>
      <c r="E41" s="2236"/>
      <c r="F41" s="2237"/>
      <c r="G41" s="2238"/>
      <c r="H41" s="2239"/>
      <c r="I41" s="2236"/>
      <c r="J41" s="2239"/>
      <c r="K41" s="1419"/>
      <c r="L41" s="1867"/>
      <c r="M41" s="1868"/>
      <c r="N41" s="1857"/>
      <c r="O41" s="1868"/>
      <c r="P41" s="3868" t="str">
        <f>A41</f>
        <v>成交单价（元/平方米）</v>
      </c>
      <c r="Q41" s="3868"/>
      <c r="R41" s="3984">
        <f>E41</f>
        <v>0</v>
      </c>
      <c r="S41" s="3984"/>
      <c r="T41" s="3984">
        <f>G41</f>
        <v>0</v>
      </c>
      <c r="U41" s="3984"/>
      <c r="V41" s="3984">
        <f>I41</f>
        <v>0</v>
      </c>
      <c r="W41" s="3984"/>
      <c r="X41" s="1375"/>
      <c r="Y41" s="1394"/>
      <c r="Z41" s="1375"/>
      <c r="AA41" s="1375"/>
      <c r="AB41" s="1375"/>
      <c r="AC41" s="1375"/>
    </row>
    <row r="42" spans="1:29" ht="15" thickBot="1">
      <c r="A42" s="585" t="s">
        <v>2042</v>
      </c>
      <c r="B42" s="851"/>
      <c r="C42" s="2240" t="e">
        <f>R43</f>
        <v>#DIV/0!</v>
      </c>
      <c r="D42" s="2757" t="s">
        <v>2260</v>
      </c>
      <c r="E42" s="2241" t="e">
        <f>R42</f>
        <v>#DIV/0!</v>
      </c>
      <c r="F42" s="2758"/>
      <c r="G42" s="2240" t="e">
        <f>T42</f>
        <v>#DIV/0!</v>
      </c>
      <c r="H42" s="2758"/>
      <c r="I42" s="2241" t="e">
        <f>V42</f>
        <v>#DIV/0!</v>
      </c>
      <c r="J42" s="2758"/>
      <c r="K42" s="2766">
        <f>F42+H42+J42</f>
        <v>0</v>
      </c>
      <c r="L42" s="1867"/>
      <c r="M42" s="1868"/>
      <c r="N42" s="1857"/>
      <c r="O42" s="1868"/>
      <c r="P42" s="3868" t="str">
        <f>A42</f>
        <v>比较价格（元/平方米）</v>
      </c>
      <c r="Q42" s="3868"/>
      <c r="R42" s="3984" t="e">
        <f>IF(F1="售价",ROUND(PRODUCT(R41,AA7:AA40),0),ROUND(PRODUCT(R41,AA7:AA40),1))</f>
        <v>#DIV/0!</v>
      </c>
      <c r="S42" s="3984"/>
      <c r="T42" s="3984" t="e">
        <f>IF(F1="售价",ROUND(PRODUCT(T41,AB7:AB40),0),ROUND(PRODUCT(T41,AB7:AB40),1))</f>
        <v>#DIV/0!</v>
      </c>
      <c r="U42" s="3984"/>
      <c r="V42" s="3984" t="e">
        <f>IF(F1="售价",ROUND(PRODUCT(V41,AC7:AC40),0),ROUND(PRODUCT(V41,AC7:AC40),1))</f>
        <v>#DIV/0!</v>
      </c>
      <c r="W42" s="3984"/>
      <c r="X42" s="1375"/>
      <c r="Y42" s="1375"/>
      <c r="Z42" s="1375"/>
      <c r="AA42" s="1375"/>
      <c r="AB42" s="1375"/>
      <c r="AC42" s="1375"/>
    </row>
    <row r="43" spans="1:29" ht="15" thickBot="1">
      <c r="A43" s="589" t="s">
        <v>2197</v>
      </c>
      <c r="B43" s="590"/>
      <c r="C43" s="2242" t="e">
        <f>R43</f>
        <v>#DIV/0!</v>
      </c>
      <c r="D43" s="2242"/>
      <c r="E43" s="2242"/>
      <c r="F43" s="2242"/>
      <c r="G43" s="2242"/>
      <c r="H43" s="2242"/>
      <c r="I43" s="2242"/>
      <c r="J43" s="2242"/>
      <c r="K43" s="1420"/>
      <c r="L43" s="1867"/>
      <c r="M43" s="1868"/>
      <c r="N43" s="1868"/>
      <c r="O43" s="1868"/>
      <c r="P43" s="3874" t="str">
        <f>A43</f>
        <v>估价对象XX用房的比较价格（楼面单价，元/平方米）</v>
      </c>
      <c r="Q43" s="3875"/>
      <c r="R43" s="3983" t="e">
        <f>IF(F1="售价",ROUND(IF(D42="简单平均",AVERAGE(R42:V42),R42*F42+T42*H42+V42*J42),0),ROUND(IF(D42="简单平均",AVERAGE(R42:V42),R42*F42+T42*H42+V42*J42),1))</f>
        <v>#DIV/0!</v>
      </c>
      <c r="S43" s="3983"/>
      <c r="T43" s="3983"/>
      <c r="U43" s="3983"/>
      <c r="V43" s="3983"/>
      <c r="W43" s="3983"/>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2" t="str">
        <f>YEAR(C7)&amp;"-"&amp;MONTH(C7)</f>
        <v>2023-4</v>
      </c>
      <c r="D52" s="2284">
        <f>EDATE(C52,-1)</f>
        <v>44986</v>
      </c>
      <c r="E52" s="2284">
        <f t="shared" ref="E52:O52" si="13">EDATE(D52,-1)</f>
        <v>44958</v>
      </c>
      <c r="F52" s="2284">
        <f t="shared" si="13"/>
        <v>44927</v>
      </c>
      <c r="G52" s="2284">
        <f t="shared" si="13"/>
        <v>44896</v>
      </c>
      <c r="H52" s="2284">
        <f t="shared" si="13"/>
        <v>44866</v>
      </c>
      <c r="I52" s="2284">
        <f t="shared" si="13"/>
        <v>44835</v>
      </c>
      <c r="J52" s="2284">
        <f t="shared" si="13"/>
        <v>44805</v>
      </c>
      <c r="K52" s="2284">
        <f t="shared" si="13"/>
        <v>44774</v>
      </c>
      <c r="L52" s="2284">
        <f t="shared" si="13"/>
        <v>44743</v>
      </c>
      <c r="M52" s="2284">
        <f t="shared" si="13"/>
        <v>44713</v>
      </c>
      <c r="N52" s="2284">
        <f t="shared" si="13"/>
        <v>44682</v>
      </c>
      <c r="O52" s="2284">
        <f t="shared" si="13"/>
        <v>44652</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737</v>
      </c>
      <c r="B4" s="483"/>
      <c r="C4" s="3876" t="s">
        <v>738</v>
      </c>
      <c r="D4" s="3877"/>
      <c r="E4" s="3876" t="s">
        <v>739</v>
      </c>
      <c r="F4" s="3877"/>
      <c r="G4" s="3876" t="s">
        <v>740</v>
      </c>
      <c r="H4" s="3877"/>
      <c r="I4" s="3876" t="s">
        <v>741</v>
      </c>
      <c r="J4" s="3877"/>
      <c r="K4" s="484" t="s">
        <v>742</v>
      </c>
      <c r="L4" s="1856"/>
      <c r="M4" s="1857"/>
      <c r="N4" s="1857"/>
      <c r="O4" s="1857"/>
      <c r="P4" s="3878" t="s">
        <v>743</v>
      </c>
      <c r="Q4" s="3879"/>
      <c r="R4" s="3862" t="s">
        <v>739</v>
      </c>
      <c r="S4" s="3863"/>
      <c r="T4" s="3862" t="s">
        <v>740</v>
      </c>
      <c r="U4" s="3863"/>
      <c r="V4" s="3884" t="s">
        <v>741</v>
      </c>
      <c r="W4" s="3884"/>
      <c r="X4" s="1380"/>
      <c r="Y4" s="3862" t="s">
        <v>743</v>
      </c>
      <c r="Z4" s="3863"/>
      <c r="AA4" s="3857" t="s">
        <v>739</v>
      </c>
      <c r="AB4" s="3858" t="s">
        <v>740</v>
      </c>
      <c r="AC4" s="3857" t="s">
        <v>741</v>
      </c>
    </row>
    <row r="5" spans="1:29">
      <c r="A5" s="485"/>
      <c r="B5" s="486"/>
      <c r="C5" s="3887" t="s">
        <v>2191</v>
      </c>
      <c r="D5" s="3888"/>
      <c r="E5" s="3887" t="s">
        <v>2192</v>
      </c>
      <c r="F5" s="3888"/>
      <c r="G5" s="3887" t="s">
        <v>2193</v>
      </c>
      <c r="H5" s="3888"/>
      <c r="I5" s="3887" t="s">
        <v>2194</v>
      </c>
      <c r="J5" s="3888"/>
      <c r="K5" s="484"/>
      <c r="L5" s="1856"/>
      <c r="M5" s="1857"/>
      <c r="N5" s="1857"/>
      <c r="O5" s="1857"/>
      <c r="P5" s="3880"/>
      <c r="Q5" s="3881"/>
      <c r="R5" s="3864"/>
      <c r="S5" s="3865"/>
      <c r="T5" s="3864"/>
      <c r="U5" s="3865"/>
      <c r="V5" s="3884"/>
      <c r="W5" s="3884"/>
      <c r="X5" s="1380"/>
      <c r="Y5" s="3864"/>
      <c r="Z5" s="3865"/>
      <c r="AA5" s="3858"/>
      <c r="AB5" s="3858"/>
      <c r="AC5" s="3858"/>
    </row>
    <row r="6" spans="1:29" ht="15" thickBot="1">
      <c r="A6" s="487"/>
      <c r="B6" s="488"/>
      <c r="C6" s="3885" t="s">
        <v>2195</v>
      </c>
      <c r="D6" s="3886"/>
      <c r="E6" s="3889" t="s">
        <v>2195</v>
      </c>
      <c r="F6" s="3890"/>
      <c r="G6" s="3885" t="s">
        <v>2195</v>
      </c>
      <c r="H6" s="3886"/>
      <c r="I6" s="3885" t="s">
        <v>2195</v>
      </c>
      <c r="J6" s="3886"/>
      <c r="K6" s="484" t="s">
        <v>477</v>
      </c>
      <c r="L6" s="1856"/>
      <c r="M6" s="1857"/>
      <c r="N6" s="1857"/>
      <c r="O6" s="1857"/>
      <c r="P6" s="3882"/>
      <c r="Q6" s="3883"/>
      <c r="R6" s="3864"/>
      <c r="S6" s="3865"/>
      <c r="T6" s="3866"/>
      <c r="U6" s="3867"/>
      <c r="V6" s="3884"/>
      <c r="W6" s="3884"/>
      <c r="X6" s="1380"/>
      <c r="Y6" s="3866"/>
      <c r="Z6" s="3867"/>
      <c r="AA6" s="3859"/>
      <c r="AB6" s="3859"/>
      <c r="AC6" s="3859"/>
    </row>
    <row r="7" spans="1:29" s="1118" customFormat="1" ht="15" thickBot="1">
      <c r="A7" s="2392"/>
      <c r="B7" s="2399" t="s">
        <v>478</v>
      </c>
      <c r="C7" s="489">
        <f>'数据-取费表'!B2</f>
        <v>45028</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60" t="s">
        <v>479</v>
      </c>
      <c r="Q7" s="3869"/>
      <c r="R7" s="1381" t="s">
        <v>5</v>
      </c>
      <c r="S7" s="1382">
        <f t="shared" ref="S7:S14" si="0">F7</f>
        <v>0</v>
      </c>
      <c r="T7" s="1381" t="s">
        <v>5</v>
      </c>
      <c r="U7" s="1382">
        <f t="shared" ref="U7:U14" si="1">H7</f>
        <v>0</v>
      </c>
      <c r="V7" s="1381" t="s">
        <v>5</v>
      </c>
      <c r="W7" s="1382">
        <f t="shared" ref="W7:W14" si="2">J7</f>
        <v>0</v>
      </c>
      <c r="X7" s="1383"/>
      <c r="Y7" s="3860" t="s">
        <v>479</v>
      </c>
      <c r="Z7" s="3861"/>
      <c r="AA7" s="1384" t="e">
        <f>D7/F7</f>
        <v>#DIV/0!</v>
      </c>
      <c r="AB7" s="1384" t="e">
        <f>D7/H7</f>
        <v>#DIV/0!</v>
      </c>
      <c r="AC7" s="1384" t="e">
        <f>D7/J7</f>
        <v>#DIV/0!</v>
      </c>
    </row>
    <row r="8" spans="1:29" s="1118" customFormat="1" ht="1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60" t="s">
        <v>482</v>
      </c>
      <c r="Q8" s="3861"/>
      <c r="R8" s="1381" t="s">
        <v>5</v>
      </c>
      <c r="S8" s="1382">
        <f t="shared" si="0"/>
        <v>0</v>
      </c>
      <c r="T8" s="1381" t="s">
        <v>5</v>
      </c>
      <c r="U8" s="1382">
        <f t="shared" si="1"/>
        <v>0</v>
      </c>
      <c r="V8" s="1381" t="s">
        <v>5</v>
      </c>
      <c r="W8" s="1382">
        <f t="shared" si="2"/>
        <v>0</v>
      </c>
      <c r="X8" s="1383"/>
      <c r="Y8" s="3860" t="s">
        <v>482</v>
      </c>
      <c r="Z8" s="3861"/>
      <c r="AA8" s="1384" t="e">
        <f t="shared" ref="AA8:AA36" si="3">D8/F8</f>
        <v>#DIV/0!</v>
      </c>
      <c r="AB8" s="1384" t="e">
        <f t="shared" ref="AB8:AB36" si="4">D8/H8</f>
        <v>#DIV/0!</v>
      </c>
      <c r="AC8" s="1384" t="e">
        <f t="shared" ref="AC8:AC36" si="5">D8/J8</f>
        <v>#DIV/0!</v>
      </c>
    </row>
    <row r="9" spans="1:29" s="1118" customFormat="1" ht="14.4">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68" t="s">
        <v>484</v>
      </c>
      <c r="Q9" s="1050" t="str">
        <f t="shared" ref="Q9:Q14" si="6">B9</f>
        <v>用途</v>
      </c>
      <c r="R9" s="1381" t="s">
        <v>5</v>
      </c>
      <c r="S9" s="1382">
        <f t="shared" si="0"/>
        <v>100</v>
      </c>
      <c r="T9" s="1381" t="s">
        <v>5</v>
      </c>
      <c r="U9" s="1382">
        <f t="shared" si="1"/>
        <v>100</v>
      </c>
      <c r="V9" s="1381" t="s">
        <v>5</v>
      </c>
      <c r="W9" s="1382">
        <f t="shared" si="2"/>
        <v>100</v>
      </c>
      <c r="X9" s="1383"/>
      <c r="Y9" s="3820" t="s">
        <v>485</v>
      </c>
      <c r="Z9" s="1049" t="str">
        <f t="shared" ref="Z9:Z14" si="7">Q9</f>
        <v>用途</v>
      </c>
      <c r="AA9" s="1384">
        <f t="shared" si="3"/>
        <v>1</v>
      </c>
      <c r="AB9" s="1384">
        <f t="shared" si="4"/>
        <v>1</v>
      </c>
      <c r="AC9" s="1384">
        <f t="shared" si="5"/>
        <v>1</v>
      </c>
    </row>
    <row r="10" spans="1:29" s="1199" customFormat="1" ht="28.8">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20"/>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68"/>
      <c r="Q11" s="1050">
        <f t="shared" si="6"/>
        <v>111</v>
      </c>
      <c r="R11" s="1381" t="s">
        <v>5</v>
      </c>
      <c r="S11" s="1382">
        <f t="shared" si="0"/>
        <v>100</v>
      </c>
      <c r="T11" s="1381" t="s">
        <v>5</v>
      </c>
      <c r="U11" s="1382">
        <f t="shared" si="1"/>
        <v>100</v>
      </c>
      <c r="V11" s="1381" t="s">
        <v>5</v>
      </c>
      <c r="W11" s="1382">
        <f t="shared" si="2"/>
        <v>100</v>
      </c>
      <c r="X11" s="1383"/>
      <c r="Y11" s="3820"/>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20"/>
      <c r="Z12" s="1049">
        <f t="shared" si="7"/>
        <v>111</v>
      </c>
      <c r="AA12" s="1384">
        <f>D12/F12</f>
        <v>1</v>
      </c>
      <c r="AB12" s="1384">
        <f>D12/H12</f>
        <v>1</v>
      </c>
      <c r="AC12" s="1384">
        <f>D12/J12</f>
        <v>1</v>
      </c>
    </row>
    <row r="13" spans="1:29" ht="15.6"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20"/>
      <c r="Z13" s="1049">
        <f t="shared" si="7"/>
        <v>111</v>
      </c>
      <c r="AA13" s="1384">
        <f t="shared" si="3"/>
        <v>1</v>
      </c>
      <c r="AB13" s="1384">
        <f t="shared" si="4"/>
        <v>1</v>
      </c>
      <c r="AC13" s="1384">
        <f t="shared" si="5"/>
        <v>1</v>
      </c>
    </row>
    <row r="14" spans="1:29" ht="96.6">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0" t="s">
        <v>489</v>
      </c>
      <c r="Q14" s="1385" t="str">
        <f t="shared" si="6"/>
        <v>交通便捷度</v>
      </c>
      <c r="R14" s="1386" t="s">
        <v>5</v>
      </c>
      <c r="S14" s="1387">
        <f t="shared" si="0"/>
        <v>100</v>
      </c>
      <c r="T14" s="1386" t="s">
        <v>5</v>
      </c>
      <c r="U14" s="1387">
        <f t="shared" si="1"/>
        <v>100</v>
      </c>
      <c r="V14" s="1386" t="s">
        <v>5</v>
      </c>
      <c r="W14" s="1387">
        <f t="shared" si="2"/>
        <v>100</v>
      </c>
      <c r="X14" s="1380"/>
      <c r="Y14" s="3870"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71"/>
      <c r="Q15" s="1385"/>
      <c r="R15" s="1386"/>
      <c r="S15" s="1387"/>
      <c r="T15" s="1386"/>
      <c r="U15" s="1387"/>
      <c r="V15" s="1386"/>
      <c r="W15" s="1387"/>
      <c r="X15" s="1380"/>
      <c r="Y15" s="3871"/>
      <c r="Z15" s="1388"/>
      <c r="AA15" s="1389">
        <v>1</v>
      </c>
      <c r="AB15" s="1389">
        <v>1</v>
      </c>
      <c r="AC15" s="1389">
        <v>1</v>
      </c>
    </row>
    <row r="16" spans="1:29" ht="41.4">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71"/>
      <c r="Q16" s="1385" t="str">
        <f>B16</f>
        <v>公共配套设施</v>
      </c>
      <c r="R16" s="1386" t="s">
        <v>5</v>
      </c>
      <c r="S16" s="1387">
        <f>F16</f>
        <v>100</v>
      </c>
      <c r="T16" s="1386" t="s">
        <v>5</v>
      </c>
      <c r="U16" s="1387">
        <f>H16</f>
        <v>100</v>
      </c>
      <c r="V16" s="1386" t="s">
        <v>5</v>
      </c>
      <c r="W16" s="1387">
        <f>J16</f>
        <v>100</v>
      </c>
      <c r="X16" s="1380"/>
      <c r="Y16" s="3871"/>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71"/>
      <c r="Q17" s="1385"/>
      <c r="R17" s="1386"/>
      <c r="S17" s="1387"/>
      <c r="T17" s="1386"/>
      <c r="U17" s="1387"/>
      <c r="V17" s="1386"/>
      <c r="W17" s="1387"/>
      <c r="X17" s="1380"/>
      <c r="Y17" s="3871"/>
      <c r="Z17" s="1388"/>
      <c r="AA17" s="1389">
        <v>1</v>
      </c>
      <c r="AB17" s="1389">
        <v>1</v>
      </c>
      <c r="AC17" s="1389">
        <v>1</v>
      </c>
    </row>
    <row r="18" spans="1:29" ht="41.4">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71"/>
      <c r="Q18" s="2193" t="str">
        <f>B18</f>
        <v>基础设施水平</v>
      </c>
      <c r="R18" s="1386" t="s">
        <v>5</v>
      </c>
      <c r="S18" s="1387">
        <f>F18</f>
        <v>100</v>
      </c>
      <c r="T18" s="1386" t="s">
        <v>5</v>
      </c>
      <c r="U18" s="1387">
        <f>H18</f>
        <v>100</v>
      </c>
      <c r="V18" s="1386" t="s">
        <v>5</v>
      </c>
      <c r="W18" s="1387">
        <f>J18</f>
        <v>100</v>
      </c>
      <c r="X18" s="2195"/>
      <c r="Y18" s="3871"/>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71"/>
      <c r="Q19" s="2193"/>
      <c r="R19" s="1386"/>
      <c r="S19" s="1387"/>
      <c r="T19" s="1386"/>
      <c r="U19" s="1387"/>
      <c r="V19" s="1386"/>
      <c r="W19" s="1387"/>
      <c r="X19" s="2195"/>
      <c r="Y19" s="3871"/>
      <c r="Z19" s="2194"/>
      <c r="AA19" s="1389">
        <v>1</v>
      </c>
      <c r="AB19" s="1389">
        <v>1</v>
      </c>
      <c r="AC19" s="1389">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71"/>
      <c r="Q20" s="1385" t="str">
        <f>B20</f>
        <v>自然及人文环境</v>
      </c>
      <c r="R20" s="1386" t="s">
        <v>5</v>
      </c>
      <c r="S20" s="1387">
        <f>F20</f>
        <v>100</v>
      </c>
      <c r="T20" s="1386" t="s">
        <v>5</v>
      </c>
      <c r="U20" s="1387">
        <f>H20</f>
        <v>100</v>
      </c>
      <c r="V20" s="1386" t="s">
        <v>5</v>
      </c>
      <c r="W20" s="1387">
        <f>J20</f>
        <v>100</v>
      </c>
      <c r="X20" s="1380"/>
      <c r="Y20" s="3871"/>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71"/>
      <c r="Q21" s="1385"/>
      <c r="R21" s="1386"/>
      <c r="S21" s="1387"/>
      <c r="T21" s="1386"/>
      <c r="U21" s="1387"/>
      <c r="V21" s="1386"/>
      <c r="W21" s="1387"/>
      <c r="X21" s="1380"/>
      <c r="Y21" s="3871"/>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1"/>
      <c r="Q22" s="1385" t="str">
        <f>B22</f>
        <v>楼层</v>
      </c>
      <c r="R22" s="1386" t="s">
        <v>5</v>
      </c>
      <c r="S22" s="1387">
        <f>F22</f>
        <v>100</v>
      </c>
      <c r="T22" s="1386" t="s">
        <v>5</v>
      </c>
      <c r="U22" s="1387">
        <f>H22</f>
        <v>100</v>
      </c>
      <c r="V22" s="1386" t="s">
        <v>5</v>
      </c>
      <c r="W22" s="1387">
        <f>J22</f>
        <v>100</v>
      </c>
      <c r="X22" s="1380"/>
      <c r="Y22" s="3871"/>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1"/>
      <c r="Q23" s="1385">
        <f>B23</f>
        <v>111</v>
      </c>
      <c r="R23" s="1386" t="s">
        <v>5</v>
      </c>
      <c r="S23" s="1387">
        <f>F23</f>
        <v>100</v>
      </c>
      <c r="T23" s="1386" t="s">
        <v>5</v>
      </c>
      <c r="U23" s="1387">
        <f>H23</f>
        <v>100</v>
      </c>
      <c r="V23" s="1386" t="s">
        <v>5</v>
      </c>
      <c r="W23" s="1387">
        <f>J23</f>
        <v>100</v>
      </c>
      <c r="X23" s="1380"/>
      <c r="Y23" s="3871"/>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1"/>
      <c r="Q24" s="1385">
        <f t="shared" ref="Q24:Q36" si="8">B24</f>
        <v>111</v>
      </c>
      <c r="R24" s="1386" t="s">
        <v>5</v>
      </c>
      <c r="S24" s="1387">
        <f>F24</f>
        <v>100</v>
      </c>
      <c r="T24" s="1386" t="s">
        <v>5</v>
      </c>
      <c r="U24" s="1387">
        <f>H24</f>
        <v>100</v>
      </c>
      <c r="V24" s="1386" t="s">
        <v>5</v>
      </c>
      <c r="W24" s="1387">
        <f>J24</f>
        <v>100</v>
      </c>
      <c r="X24" s="1380"/>
      <c r="Y24" s="3871"/>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1"/>
      <c r="Q25" s="1050">
        <f t="shared" si="8"/>
        <v>111</v>
      </c>
      <c r="R25" s="1381" t="s">
        <v>5</v>
      </c>
      <c r="S25" s="1382">
        <f>F25</f>
        <v>100</v>
      </c>
      <c r="T25" s="1381" t="s">
        <v>5</v>
      </c>
      <c r="U25" s="1382">
        <f>H25</f>
        <v>100</v>
      </c>
      <c r="V25" s="1381" t="s">
        <v>5</v>
      </c>
      <c r="W25" s="1382">
        <f>J25</f>
        <v>100</v>
      </c>
      <c r="X25" s="1383"/>
      <c r="Y25" s="3871"/>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72"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3"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73"/>
      <c r="Q27" s="1414" t="str">
        <f t="shared" si="8"/>
        <v>项目停车位配比</v>
      </c>
      <c r="R27" s="1390" t="s">
        <v>5</v>
      </c>
      <c r="S27" s="1391">
        <f t="shared" si="9"/>
        <v>100</v>
      </c>
      <c r="T27" s="1390" t="s">
        <v>5</v>
      </c>
      <c r="U27" s="1391">
        <f t="shared" si="10"/>
        <v>100</v>
      </c>
      <c r="V27" s="1390" t="s">
        <v>5</v>
      </c>
      <c r="W27" s="1391">
        <f t="shared" si="11"/>
        <v>100</v>
      </c>
      <c r="X27" s="1392"/>
      <c r="Y27" s="3873"/>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73"/>
      <c r="Q28" s="1385" t="str">
        <f t="shared" si="8"/>
        <v>公共部分装修</v>
      </c>
      <c r="R28" s="1386" t="s">
        <v>5</v>
      </c>
      <c r="S28" s="1387">
        <f t="shared" si="9"/>
        <v>100</v>
      </c>
      <c r="T28" s="1386" t="s">
        <v>5</v>
      </c>
      <c r="U28" s="1387">
        <f t="shared" si="10"/>
        <v>100</v>
      </c>
      <c r="V28" s="1386" t="s">
        <v>5</v>
      </c>
      <c r="W28" s="1387">
        <f t="shared" si="11"/>
        <v>100</v>
      </c>
      <c r="X28" s="1380"/>
      <c r="Y28" s="3873"/>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73"/>
      <c r="Q29" s="1385" t="str">
        <f t="shared" si="8"/>
        <v>成新率</v>
      </c>
      <c r="R29" s="1386" t="s">
        <v>5</v>
      </c>
      <c r="S29" s="1387" t="e">
        <f t="shared" si="9"/>
        <v>#N/A</v>
      </c>
      <c r="T29" s="1386" t="s">
        <v>5</v>
      </c>
      <c r="U29" s="1387" t="e">
        <f t="shared" si="10"/>
        <v>#N/A</v>
      </c>
      <c r="V29" s="1386" t="s">
        <v>5</v>
      </c>
      <c r="W29" s="1387" t="e">
        <f t="shared" si="11"/>
        <v>#N/A</v>
      </c>
      <c r="X29" s="1380"/>
      <c r="Y29" s="3873"/>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73"/>
      <c r="Q30" s="1385" t="str">
        <f t="shared" si="8"/>
        <v>物业等级</v>
      </c>
      <c r="R30" s="1386" t="s">
        <v>5</v>
      </c>
      <c r="S30" s="1387">
        <f t="shared" si="9"/>
        <v>100</v>
      </c>
      <c r="T30" s="1386" t="s">
        <v>5</v>
      </c>
      <c r="U30" s="1387">
        <f t="shared" si="10"/>
        <v>100</v>
      </c>
      <c r="V30" s="1386" t="s">
        <v>5</v>
      </c>
      <c r="W30" s="1387">
        <f t="shared" si="11"/>
        <v>100</v>
      </c>
      <c r="X30" s="1380"/>
      <c r="Y30" s="3873"/>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73"/>
      <c r="Q31" s="1050" t="str">
        <f t="shared" si="8"/>
        <v>停车位面积</v>
      </c>
      <c r="R31" s="1381" t="s">
        <v>5</v>
      </c>
      <c r="S31" s="1382" t="e">
        <f t="shared" si="9"/>
        <v>#N/A</v>
      </c>
      <c r="T31" s="1381" t="s">
        <v>5</v>
      </c>
      <c r="U31" s="1382" t="e">
        <f t="shared" si="10"/>
        <v>#N/A</v>
      </c>
      <c r="V31" s="1381" t="s">
        <v>5</v>
      </c>
      <c r="W31" s="1382" t="e">
        <f t="shared" si="11"/>
        <v>#N/A</v>
      </c>
      <c r="X31" s="1383"/>
      <c r="Y31" s="3873"/>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73" t="s">
        <v>499</v>
      </c>
      <c r="Q32" s="1385" t="str">
        <f t="shared" si="8"/>
        <v>车位类型</v>
      </c>
      <c r="R32" s="1386" t="s">
        <v>5</v>
      </c>
      <c r="S32" s="1387">
        <f t="shared" si="9"/>
        <v>100</v>
      </c>
      <c r="T32" s="1386" t="s">
        <v>5</v>
      </c>
      <c r="U32" s="1387">
        <f t="shared" si="10"/>
        <v>100</v>
      </c>
      <c r="V32" s="1386" t="s">
        <v>5</v>
      </c>
      <c r="W32" s="1387">
        <f t="shared" si="11"/>
        <v>100</v>
      </c>
      <c r="X32" s="1380"/>
      <c r="Y32" s="3873"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73"/>
      <c r="Q33" s="1385" t="str">
        <f t="shared" si="8"/>
        <v>是否直接入户</v>
      </c>
      <c r="R33" s="1386" t="s">
        <v>5</v>
      </c>
      <c r="S33" s="1387">
        <f t="shared" si="9"/>
        <v>100</v>
      </c>
      <c r="T33" s="1386" t="s">
        <v>5</v>
      </c>
      <c r="U33" s="1387">
        <f t="shared" si="10"/>
        <v>100</v>
      </c>
      <c r="V33" s="1386" t="s">
        <v>5</v>
      </c>
      <c r="W33" s="1387">
        <f t="shared" si="11"/>
        <v>100</v>
      </c>
      <c r="X33" s="1380"/>
      <c r="Y33" s="3873"/>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73"/>
      <c r="Q34" s="1385">
        <f t="shared" si="8"/>
        <v>111</v>
      </c>
      <c r="R34" s="1386" t="s">
        <v>5</v>
      </c>
      <c r="S34" s="1387">
        <f t="shared" si="9"/>
        <v>100</v>
      </c>
      <c r="T34" s="1386" t="s">
        <v>5</v>
      </c>
      <c r="U34" s="1387">
        <f t="shared" si="10"/>
        <v>100</v>
      </c>
      <c r="V34" s="1386" t="s">
        <v>5</v>
      </c>
      <c r="W34" s="1387">
        <f t="shared" si="11"/>
        <v>100</v>
      </c>
      <c r="X34" s="1380"/>
      <c r="Y34" s="3873"/>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73"/>
      <c r="Q35" s="1414">
        <f t="shared" si="8"/>
        <v>111</v>
      </c>
      <c r="R35" s="1390" t="s">
        <v>5</v>
      </c>
      <c r="S35" s="1391">
        <f t="shared" si="9"/>
        <v>100</v>
      </c>
      <c r="T35" s="1390" t="s">
        <v>5</v>
      </c>
      <c r="U35" s="1391">
        <f t="shared" si="10"/>
        <v>100</v>
      </c>
      <c r="V35" s="1390" t="s">
        <v>5</v>
      </c>
      <c r="W35" s="1391">
        <f t="shared" si="11"/>
        <v>100</v>
      </c>
      <c r="X35" s="1392"/>
      <c r="Y35" s="3873"/>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73"/>
      <c r="Q36" s="1385">
        <f t="shared" si="8"/>
        <v>111</v>
      </c>
      <c r="R36" s="1386" t="s">
        <v>5</v>
      </c>
      <c r="S36" s="1387">
        <f t="shared" si="9"/>
        <v>100</v>
      </c>
      <c r="T36" s="1386" t="s">
        <v>5</v>
      </c>
      <c r="U36" s="1387">
        <f t="shared" si="10"/>
        <v>100</v>
      </c>
      <c r="V36" s="1386" t="s">
        <v>5</v>
      </c>
      <c r="W36" s="1387">
        <f t="shared" si="11"/>
        <v>100</v>
      </c>
      <c r="X36" s="1380"/>
      <c r="Y36" s="3873"/>
      <c r="Z36" s="1388">
        <f t="shared" si="12"/>
        <v>111</v>
      </c>
      <c r="AA36" s="1389">
        <f t="shared" si="3"/>
        <v>1</v>
      </c>
      <c r="AB36" s="1389">
        <f t="shared" si="4"/>
        <v>1</v>
      </c>
      <c r="AC36" s="1389">
        <f t="shared" si="5"/>
        <v>1</v>
      </c>
    </row>
    <row r="37" spans="1:29" ht="14.4">
      <c r="A37" s="1632" t="s">
        <v>1595</v>
      </c>
      <c r="B37" s="1633" t="s">
        <v>1596</v>
      </c>
      <c r="C37" s="2234" t="s">
        <v>0</v>
      </c>
      <c r="D37" s="2235"/>
      <c r="E37" s="2236"/>
      <c r="F37" s="2237"/>
      <c r="G37" s="2238"/>
      <c r="H37" s="2239"/>
      <c r="I37" s="2236"/>
      <c r="J37" s="2239"/>
      <c r="K37" s="1419"/>
      <c r="L37" s="1867"/>
      <c r="M37" s="1868"/>
      <c r="N37" s="1857"/>
      <c r="O37" s="1868"/>
      <c r="P37" s="3868" t="str">
        <f>A37</f>
        <v>成交单价</v>
      </c>
      <c r="Q37" s="3868"/>
      <c r="R37" s="3984">
        <f>E37</f>
        <v>0</v>
      </c>
      <c r="S37" s="3984"/>
      <c r="T37" s="3984">
        <f>G37</f>
        <v>0</v>
      </c>
      <c r="U37" s="3984"/>
      <c r="V37" s="3984">
        <f>I37</f>
        <v>0</v>
      </c>
      <c r="W37" s="3984"/>
      <c r="X37" s="1375"/>
      <c r="Y37" s="1394"/>
      <c r="Z37" s="1375"/>
      <c r="AA37" s="1375"/>
      <c r="AB37" s="1375"/>
      <c r="AC37" s="1375"/>
    </row>
    <row r="38" spans="1:29" ht="15" thickBot="1">
      <c r="A38" s="585" t="s">
        <v>2042</v>
      </c>
      <c r="B38" s="851"/>
      <c r="C38" s="2240" t="e">
        <f>R39</f>
        <v>#DIV/0!</v>
      </c>
      <c r="D38" s="2757" t="s">
        <v>2260</v>
      </c>
      <c r="E38" s="2241" t="e">
        <f>R38</f>
        <v>#DIV/0!</v>
      </c>
      <c r="F38" s="2758"/>
      <c r="G38" s="2240" t="e">
        <f>T38</f>
        <v>#DIV/0!</v>
      </c>
      <c r="H38" s="2758"/>
      <c r="I38" s="2241" t="e">
        <f>V38</f>
        <v>#DIV/0!</v>
      </c>
      <c r="J38" s="2758"/>
      <c r="K38" s="2766">
        <f>F38+H38+J38</f>
        <v>0</v>
      </c>
      <c r="L38" s="1867"/>
      <c r="M38" s="1868"/>
      <c r="N38" s="1868"/>
      <c r="O38" s="1868"/>
      <c r="P38" s="3868" t="str">
        <f>A38</f>
        <v>比较价格（元/平方米）</v>
      </c>
      <c r="Q38" s="3868"/>
      <c r="R38" s="3984" t="e">
        <f>IF(F1="售价",ROUND(PRODUCT(R37,AA7:AA36),0),ROUND(PRODUCT(R37,AA7:AA36),1))</f>
        <v>#DIV/0!</v>
      </c>
      <c r="S38" s="3984"/>
      <c r="T38" s="3984" t="e">
        <f>IF(F1="售价",ROUND(PRODUCT(T37,AB7:AB36),0),ROUND(PRODUCT(T37,AB7:AB36),1))</f>
        <v>#DIV/0!</v>
      </c>
      <c r="U38" s="3984"/>
      <c r="V38" s="3984" t="e">
        <f>IF(F1="售价",ROUND(PRODUCT(V37,AC7:AC36),0),ROUND(PRODUCT(V37,AC7:AC36),1))</f>
        <v>#DIV/0!</v>
      </c>
      <c r="W38" s="3984"/>
      <c r="X38" s="1375"/>
      <c r="Y38" s="1375"/>
      <c r="Z38" s="1375"/>
      <c r="AA38" s="1375"/>
      <c r="AB38" s="1375"/>
      <c r="AC38" s="1375"/>
    </row>
    <row r="39" spans="1:29" ht="15" thickBot="1">
      <c r="A39" s="589" t="s">
        <v>2197</v>
      </c>
      <c r="B39" s="590"/>
      <c r="C39" s="2242" t="e">
        <f>R39</f>
        <v>#DIV/0!</v>
      </c>
      <c r="D39" s="2242"/>
      <c r="E39" s="2242"/>
      <c r="F39" s="2242"/>
      <c r="G39" s="2242"/>
      <c r="H39" s="2242"/>
      <c r="I39" s="2242"/>
      <c r="J39" s="2242"/>
      <c r="K39" s="1420"/>
      <c r="L39" s="1867"/>
      <c r="M39" s="1868"/>
      <c r="N39" s="1868"/>
      <c r="O39" s="1868"/>
      <c r="P39" s="3874" t="str">
        <f>A39</f>
        <v>估价对象XX用房的比较价格（楼面单价，元/平方米）</v>
      </c>
      <c r="Q39" s="3875"/>
      <c r="R39" s="3983" t="e">
        <f>IF(F1="售价",ROUND(IF(D38="简单平均",AVERAGE(R38:W38),R38*F38+T38*H38+V38*J38),0),ROUND(IF(D38="简单平均",AVERAGE(R38:V38),R38*F38+T38*H38+V38*J38),1))</f>
        <v>#DIV/0!</v>
      </c>
      <c r="S39" s="3983"/>
      <c r="T39" s="3983"/>
      <c r="U39" s="3983"/>
      <c r="V39" s="3983"/>
      <c r="W39" s="3983"/>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2" t="str">
        <f>YEAR(C7)&amp;"-"&amp;MONTH(C7)</f>
        <v>2023-4</v>
      </c>
      <c r="D48" s="2284">
        <f>EDATE(C48,-1)</f>
        <v>44986</v>
      </c>
      <c r="E48" s="2284">
        <f t="shared" ref="E48:O48" si="13">EDATE(D48,-1)</f>
        <v>44958</v>
      </c>
      <c r="F48" s="2284">
        <f t="shared" si="13"/>
        <v>44927</v>
      </c>
      <c r="G48" s="2284">
        <f t="shared" si="13"/>
        <v>44896</v>
      </c>
      <c r="H48" s="2284">
        <f t="shared" si="13"/>
        <v>44866</v>
      </c>
      <c r="I48" s="2284">
        <f t="shared" si="13"/>
        <v>44835</v>
      </c>
      <c r="J48" s="2284">
        <f t="shared" si="13"/>
        <v>44805</v>
      </c>
      <c r="K48" s="2284">
        <f t="shared" si="13"/>
        <v>44774</v>
      </c>
      <c r="L48" s="2284">
        <f t="shared" si="13"/>
        <v>44743</v>
      </c>
      <c r="M48" s="2284">
        <f t="shared" si="13"/>
        <v>44713</v>
      </c>
      <c r="N48" s="2284">
        <f t="shared" si="13"/>
        <v>44682</v>
      </c>
      <c r="O48" s="2284">
        <f t="shared" si="13"/>
        <v>44652</v>
      </c>
      <c r="P48" s="1882"/>
      <c r="Q48" s="1883"/>
      <c r="R48" s="1883"/>
      <c r="S48" s="1883"/>
      <c r="T48" s="1883"/>
      <c r="U48" s="1883"/>
      <c r="V48" s="1883"/>
      <c r="W48" s="1883"/>
      <c r="X48" s="1883"/>
      <c r="Y48" s="1883"/>
      <c r="Z48" s="1883"/>
      <c r="AA48" s="1883"/>
      <c r="AB48" s="1883"/>
      <c r="AC48" s="1883"/>
    </row>
    <row r="49" spans="1:29" s="1118" customFormat="1">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737</v>
      </c>
      <c r="B4" s="483"/>
      <c r="C4" s="3876" t="s">
        <v>738</v>
      </c>
      <c r="D4" s="3877"/>
      <c r="E4" s="3902" t="s">
        <v>739</v>
      </c>
      <c r="F4" s="3903"/>
      <c r="G4" s="3876" t="s">
        <v>740</v>
      </c>
      <c r="H4" s="3877"/>
      <c r="I4" s="3876" t="s">
        <v>741</v>
      </c>
      <c r="J4" s="3877"/>
      <c r="K4" s="484" t="s">
        <v>742</v>
      </c>
      <c r="L4" s="1856"/>
      <c r="M4" s="1857"/>
      <c r="N4" s="1857"/>
      <c r="O4" s="1857"/>
      <c r="P4" s="3878" t="s">
        <v>743</v>
      </c>
      <c r="Q4" s="3879"/>
      <c r="R4" s="3862" t="s">
        <v>739</v>
      </c>
      <c r="S4" s="3863"/>
      <c r="T4" s="3862" t="s">
        <v>740</v>
      </c>
      <c r="U4" s="3863"/>
      <c r="V4" s="3884" t="s">
        <v>741</v>
      </c>
      <c r="W4" s="3884"/>
      <c r="X4" s="1380"/>
      <c r="Y4" s="3862" t="s">
        <v>743</v>
      </c>
      <c r="Z4" s="3863"/>
      <c r="AA4" s="3857" t="s">
        <v>739</v>
      </c>
      <c r="AB4" s="3858" t="s">
        <v>740</v>
      </c>
      <c r="AC4" s="3857" t="s">
        <v>741</v>
      </c>
    </row>
    <row r="5" spans="1:29">
      <c r="A5" s="485"/>
      <c r="B5" s="486"/>
      <c r="C5" s="3887" t="s">
        <v>2191</v>
      </c>
      <c r="D5" s="3888"/>
      <c r="E5" s="3904" t="s">
        <v>2192</v>
      </c>
      <c r="F5" s="3905"/>
      <c r="G5" s="3887" t="s">
        <v>2193</v>
      </c>
      <c r="H5" s="3888"/>
      <c r="I5" s="3887" t="s">
        <v>2194</v>
      </c>
      <c r="J5" s="3888"/>
      <c r="K5" s="484"/>
      <c r="L5" s="1856"/>
      <c r="M5" s="1857"/>
      <c r="N5" s="1857"/>
      <c r="O5" s="1857"/>
      <c r="P5" s="3880"/>
      <c r="Q5" s="3881"/>
      <c r="R5" s="3864"/>
      <c r="S5" s="3865"/>
      <c r="T5" s="3864"/>
      <c r="U5" s="3865"/>
      <c r="V5" s="3884"/>
      <c r="W5" s="3884"/>
      <c r="X5" s="1380"/>
      <c r="Y5" s="3864"/>
      <c r="Z5" s="3865"/>
      <c r="AA5" s="3858"/>
      <c r="AB5" s="3858"/>
      <c r="AC5" s="3858"/>
    </row>
    <row r="6" spans="1:29" ht="15" thickBot="1">
      <c r="A6" s="487"/>
      <c r="B6" s="488"/>
      <c r="C6" s="3885" t="s">
        <v>2195</v>
      </c>
      <c r="D6" s="3886"/>
      <c r="E6" s="3906" t="s">
        <v>2195</v>
      </c>
      <c r="F6" s="3907"/>
      <c r="G6" s="3885" t="s">
        <v>2195</v>
      </c>
      <c r="H6" s="3886"/>
      <c r="I6" s="3885" t="s">
        <v>2195</v>
      </c>
      <c r="J6" s="3886"/>
      <c r="K6" s="484" t="s">
        <v>477</v>
      </c>
      <c r="L6" s="1856"/>
      <c r="M6" s="1857"/>
      <c r="N6" s="1857"/>
      <c r="O6" s="1857"/>
      <c r="P6" s="3882"/>
      <c r="Q6" s="3883"/>
      <c r="R6" s="3864"/>
      <c r="S6" s="3865"/>
      <c r="T6" s="3866"/>
      <c r="U6" s="3867"/>
      <c r="V6" s="3884"/>
      <c r="W6" s="3884"/>
      <c r="X6" s="1380"/>
      <c r="Y6" s="3866"/>
      <c r="Z6" s="3867"/>
      <c r="AA6" s="3859"/>
      <c r="AB6" s="3859"/>
      <c r="AC6" s="3859"/>
    </row>
    <row r="7" spans="1:29" s="1118" customFormat="1" ht="15" thickBot="1">
      <c r="A7" s="2392"/>
      <c r="B7" s="2399" t="s">
        <v>478</v>
      </c>
      <c r="C7" s="489">
        <f>'数据-取费表'!B2</f>
        <v>45028</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60" t="s">
        <v>479</v>
      </c>
      <c r="Q7" s="3869"/>
      <c r="R7" s="1381" t="s">
        <v>5</v>
      </c>
      <c r="S7" s="1382">
        <f t="shared" ref="S7:S14" si="0">F7</f>
        <v>0</v>
      </c>
      <c r="T7" s="1381" t="s">
        <v>5</v>
      </c>
      <c r="U7" s="1382">
        <f t="shared" ref="U7:U14" si="1">H7</f>
        <v>0</v>
      </c>
      <c r="V7" s="1381" t="s">
        <v>5</v>
      </c>
      <c r="W7" s="1382">
        <f t="shared" ref="W7:W14" si="2">J7</f>
        <v>0</v>
      </c>
      <c r="X7" s="1383"/>
      <c r="Y7" s="3860" t="s">
        <v>479</v>
      </c>
      <c r="Z7" s="3861"/>
      <c r="AA7" s="1384" t="e">
        <f>D7/F7</f>
        <v>#DIV/0!</v>
      </c>
      <c r="AB7" s="1384" t="e">
        <f>D7/H7</f>
        <v>#DIV/0!</v>
      </c>
      <c r="AC7" s="1384" t="e">
        <f>D7/J7</f>
        <v>#DIV/0!</v>
      </c>
    </row>
    <row r="8" spans="1:29" s="1118" customFormat="1" ht="1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60" t="s">
        <v>482</v>
      </c>
      <c r="Q8" s="3861"/>
      <c r="R8" s="1381" t="s">
        <v>5</v>
      </c>
      <c r="S8" s="1382">
        <f t="shared" si="0"/>
        <v>0</v>
      </c>
      <c r="T8" s="1381" t="s">
        <v>5</v>
      </c>
      <c r="U8" s="1382">
        <f t="shared" si="1"/>
        <v>0</v>
      </c>
      <c r="V8" s="1381" t="s">
        <v>5</v>
      </c>
      <c r="W8" s="1382">
        <f t="shared" si="2"/>
        <v>0</v>
      </c>
      <c r="X8" s="1383"/>
      <c r="Y8" s="3860" t="s">
        <v>482</v>
      </c>
      <c r="Z8" s="3861"/>
      <c r="AA8" s="1384" t="e">
        <f t="shared" ref="AA8:AA34" si="3">D8/F8</f>
        <v>#DIV/0!</v>
      </c>
      <c r="AB8" s="1384" t="e">
        <f t="shared" ref="AB8:AB34" si="4">D8/H8</f>
        <v>#DIV/0!</v>
      </c>
      <c r="AC8" s="1384" t="e">
        <f t="shared" ref="AC8:AC34" si="5">D8/J8</f>
        <v>#DIV/0!</v>
      </c>
    </row>
    <row r="9" spans="1:29" s="1118" customFormat="1" ht="14.4">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68" t="s">
        <v>484</v>
      </c>
      <c r="Q9" s="1050" t="str">
        <f t="shared" ref="Q9:Q14" si="6">B9</f>
        <v>用途</v>
      </c>
      <c r="R9" s="1381" t="s">
        <v>5</v>
      </c>
      <c r="S9" s="1382">
        <f t="shared" si="0"/>
        <v>100</v>
      </c>
      <c r="T9" s="1381" t="s">
        <v>5</v>
      </c>
      <c r="U9" s="1382">
        <f t="shared" si="1"/>
        <v>100</v>
      </c>
      <c r="V9" s="1381" t="s">
        <v>5</v>
      </c>
      <c r="W9" s="1382">
        <f t="shared" si="2"/>
        <v>100</v>
      </c>
      <c r="X9" s="1383"/>
      <c r="Y9" s="3820" t="s">
        <v>485</v>
      </c>
      <c r="Z9" s="1049" t="str">
        <f t="shared" ref="Z9:Z14" si="7">Q9</f>
        <v>用途</v>
      </c>
      <c r="AA9" s="1384">
        <f t="shared" si="3"/>
        <v>1</v>
      </c>
      <c r="AB9" s="1384">
        <f t="shared" si="4"/>
        <v>1</v>
      </c>
      <c r="AC9" s="1384">
        <f t="shared" si="5"/>
        <v>1</v>
      </c>
    </row>
    <row r="10" spans="1:29" s="1199" customFormat="1" ht="28.8">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20"/>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68"/>
      <c r="Q11" s="1050">
        <f t="shared" si="6"/>
        <v>111</v>
      </c>
      <c r="R11" s="1381" t="s">
        <v>5</v>
      </c>
      <c r="S11" s="1382">
        <f t="shared" si="0"/>
        <v>100</v>
      </c>
      <c r="T11" s="1381" t="s">
        <v>5</v>
      </c>
      <c r="U11" s="1382">
        <f t="shared" si="1"/>
        <v>100</v>
      </c>
      <c r="V11" s="1381" t="s">
        <v>5</v>
      </c>
      <c r="W11" s="1382">
        <f t="shared" si="2"/>
        <v>100</v>
      </c>
      <c r="X11" s="1383"/>
      <c r="Y11" s="3820"/>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20"/>
      <c r="Z12" s="1049">
        <f t="shared" si="7"/>
        <v>111</v>
      </c>
      <c r="AA12" s="1384">
        <f>D12/F12</f>
        <v>1</v>
      </c>
      <c r="AB12" s="1384">
        <f>D12/H12</f>
        <v>1</v>
      </c>
      <c r="AC12" s="1384">
        <f>D12/J12</f>
        <v>1</v>
      </c>
    </row>
    <row r="13" spans="1:29" ht="15.6"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20"/>
      <c r="Z13" s="1049">
        <f t="shared" si="7"/>
        <v>111</v>
      </c>
      <c r="AA13" s="1384">
        <f t="shared" si="3"/>
        <v>1</v>
      </c>
      <c r="AB13" s="1384">
        <f t="shared" si="4"/>
        <v>1</v>
      </c>
      <c r="AC13" s="1384">
        <f t="shared" si="5"/>
        <v>1</v>
      </c>
    </row>
    <row r="14" spans="1:29" ht="96.6">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0" t="s">
        <v>489</v>
      </c>
      <c r="Q14" s="1385" t="str">
        <f t="shared" si="6"/>
        <v>交通便捷度</v>
      </c>
      <c r="R14" s="1386" t="s">
        <v>5</v>
      </c>
      <c r="S14" s="1387">
        <f t="shared" si="0"/>
        <v>100</v>
      </c>
      <c r="T14" s="1386" t="s">
        <v>5</v>
      </c>
      <c r="U14" s="1387">
        <f t="shared" si="1"/>
        <v>100</v>
      </c>
      <c r="V14" s="1386" t="s">
        <v>5</v>
      </c>
      <c r="W14" s="1387">
        <f t="shared" si="2"/>
        <v>100</v>
      </c>
      <c r="X14" s="1380"/>
      <c r="Y14" s="3870"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1"/>
      <c r="Q15" s="1385"/>
      <c r="R15" s="1386"/>
      <c r="S15" s="1387"/>
      <c r="T15" s="1386"/>
      <c r="U15" s="1387"/>
      <c r="V15" s="1386"/>
      <c r="W15" s="1387"/>
      <c r="X15" s="1380"/>
      <c r="Y15" s="3871"/>
      <c r="Z15" s="1388"/>
      <c r="AA15" s="1389">
        <v>1</v>
      </c>
      <c r="AB15" s="1389">
        <v>1</v>
      </c>
      <c r="AC15" s="1389">
        <v>1</v>
      </c>
    </row>
    <row r="16" spans="1:29" ht="41.4">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1"/>
      <c r="Q16" s="1385" t="str">
        <f>B16</f>
        <v>公共配套设施</v>
      </c>
      <c r="R16" s="1386" t="s">
        <v>5</v>
      </c>
      <c r="S16" s="1387">
        <f>F16</f>
        <v>100</v>
      </c>
      <c r="T16" s="1386" t="s">
        <v>5</v>
      </c>
      <c r="U16" s="1387">
        <f>H16</f>
        <v>100</v>
      </c>
      <c r="V16" s="1386" t="s">
        <v>5</v>
      </c>
      <c r="W16" s="1387">
        <f>J16</f>
        <v>100</v>
      </c>
      <c r="X16" s="1380"/>
      <c r="Y16" s="3871"/>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1"/>
      <c r="Q17" s="1385"/>
      <c r="R17" s="1386"/>
      <c r="S17" s="1387"/>
      <c r="T17" s="1386"/>
      <c r="U17" s="1387"/>
      <c r="V17" s="1386"/>
      <c r="W17" s="1387"/>
      <c r="X17" s="1380"/>
      <c r="Y17" s="3871"/>
      <c r="Z17" s="1388"/>
      <c r="AA17" s="1389">
        <v>1</v>
      </c>
      <c r="AB17" s="1389">
        <v>1</v>
      </c>
      <c r="AC17" s="1389">
        <v>1</v>
      </c>
    </row>
    <row r="18" spans="1:29" ht="41.4">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1"/>
      <c r="Q18" s="2193" t="str">
        <f>B18</f>
        <v>基础设施水平</v>
      </c>
      <c r="R18" s="1386" t="s">
        <v>5</v>
      </c>
      <c r="S18" s="1387">
        <f>F18</f>
        <v>100</v>
      </c>
      <c r="T18" s="1386" t="s">
        <v>5</v>
      </c>
      <c r="U18" s="1387">
        <f>H18</f>
        <v>100</v>
      </c>
      <c r="V18" s="1386" t="s">
        <v>5</v>
      </c>
      <c r="W18" s="1387">
        <f>J18</f>
        <v>100</v>
      </c>
      <c r="X18" s="2195"/>
      <c r="Y18" s="3871"/>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1"/>
      <c r="Q19" s="2193"/>
      <c r="R19" s="1386"/>
      <c r="S19" s="1387"/>
      <c r="T19" s="1386"/>
      <c r="U19" s="1387"/>
      <c r="V19" s="1386"/>
      <c r="W19" s="1387"/>
      <c r="X19" s="2195"/>
      <c r="Y19" s="3871"/>
      <c r="Z19" s="2194"/>
      <c r="AA19" s="1389">
        <v>1</v>
      </c>
      <c r="AB19" s="1389">
        <v>1</v>
      </c>
      <c r="AC19" s="1389">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1"/>
      <c r="Q20" s="1385" t="str">
        <f>B20</f>
        <v>自然及人文环境</v>
      </c>
      <c r="R20" s="1386" t="s">
        <v>5</v>
      </c>
      <c r="S20" s="1387">
        <f>F20</f>
        <v>100</v>
      </c>
      <c r="T20" s="1386" t="s">
        <v>5</v>
      </c>
      <c r="U20" s="1387">
        <f>H20</f>
        <v>100</v>
      </c>
      <c r="V20" s="1386" t="s">
        <v>5</v>
      </c>
      <c r="W20" s="1387">
        <f>J20</f>
        <v>100</v>
      </c>
      <c r="X20" s="1380"/>
      <c r="Y20" s="3871"/>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1"/>
      <c r="Q21" s="1385"/>
      <c r="R21" s="1386"/>
      <c r="S21" s="1387"/>
      <c r="T21" s="1386"/>
      <c r="U21" s="1387"/>
      <c r="V21" s="1386"/>
      <c r="W21" s="1387"/>
      <c r="X21" s="1380"/>
      <c r="Y21" s="3871"/>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1"/>
      <c r="Q22" s="1385" t="str">
        <f>B22</f>
        <v>楼层</v>
      </c>
      <c r="R22" s="1386" t="s">
        <v>5</v>
      </c>
      <c r="S22" s="1387">
        <f>F22</f>
        <v>100</v>
      </c>
      <c r="T22" s="1386" t="s">
        <v>5</v>
      </c>
      <c r="U22" s="1387">
        <f>H22</f>
        <v>100</v>
      </c>
      <c r="V22" s="1386" t="s">
        <v>5</v>
      </c>
      <c r="W22" s="1387">
        <f>J22</f>
        <v>100</v>
      </c>
      <c r="X22" s="1380"/>
      <c r="Y22" s="3871"/>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1"/>
      <c r="Q23" s="1385">
        <f>B23</f>
        <v>111</v>
      </c>
      <c r="R23" s="1386" t="s">
        <v>5</v>
      </c>
      <c r="S23" s="1387">
        <f>F23</f>
        <v>100</v>
      </c>
      <c r="T23" s="1386" t="s">
        <v>5</v>
      </c>
      <c r="U23" s="1387">
        <f>H23</f>
        <v>100</v>
      </c>
      <c r="V23" s="1386" t="s">
        <v>5</v>
      </c>
      <c r="W23" s="1387">
        <f>J23</f>
        <v>100</v>
      </c>
      <c r="X23" s="1380"/>
      <c r="Y23" s="3871"/>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1"/>
      <c r="Q24" s="1385">
        <f t="shared" ref="Q24:Q34" si="8">B24</f>
        <v>111</v>
      </c>
      <c r="R24" s="1386" t="s">
        <v>5</v>
      </c>
      <c r="S24" s="1387">
        <f>F24</f>
        <v>100</v>
      </c>
      <c r="T24" s="1386" t="s">
        <v>5</v>
      </c>
      <c r="U24" s="1387">
        <f>H24</f>
        <v>100</v>
      </c>
      <c r="V24" s="1386" t="s">
        <v>5</v>
      </c>
      <c r="W24" s="1387">
        <f>J24</f>
        <v>100</v>
      </c>
      <c r="X24" s="1380"/>
      <c r="Y24" s="3871"/>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1"/>
      <c r="Q25" s="1050">
        <f t="shared" si="8"/>
        <v>111</v>
      </c>
      <c r="R25" s="1381" t="s">
        <v>5</v>
      </c>
      <c r="S25" s="1382">
        <f>F25</f>
        <v>100</v>
      </c>
      <c r="T25" s="1381" t="s">
        <v>5</v>
      </c>
      <c r="U25" s="1382">
        <f>H25</f>
        <v>100</v>
      </c>
      <c r="V25" s="1381" t="s">
        <v>5</v>
      </c>
      <c r="W25" s="1382">
        <f>J25</f>
        <v>100</v>
      </c>
      <c r="X25" s="1383"/>
      <c r="Y25" s="3871"/>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2"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3"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73"/>
      <c r="Q27" s="1414" t="str">
        <f t="shared" si="8"/>
        <v>成新率</v>
      </c>
      <c r="R27" s="1390" t="s">
        <v>5</v>
      </c>
      <c r="S27" s="1391" t="e">
        <f t="shared" si="9"/>
        <v>#N/A</v>
      </c>
      <c r="T27" s="1390" t="s">
        <v>5</v>
      </c>
      <c r="U27" s="1391" t="e">
        <f t="shared" si="10"/>
        <v>#N/A</v>
      </c>
      <c r="V27" s="1390" t="s">
        <v>5</v>
      </c>
      <c r="W27" s="1391" t="e">
        <f t="shared" si="11"/>
        <v>#N/A</v>
      </c>
      <c r="X27" s="1392"/>
      <c r="Y27" s="3873"/>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73"/>
      <c r="Q28" s="1385" t="str">
        <f t="shared" si="8"/>
        <v>物业等级</v>
      </c>
      <c r="R28" s="1386" t="s">
        <v>5</v>
      </c>
      <c r="S28" s="1387">
        <f t="shared" si="9"/>
        <v>100</v>
      </c>
      <c r="T28" s="1386" t="s">
        <v>5</v>
      </c>
      <c r="U28" s="1387">
        <f t="shared" si="10"/>
        <v>100</v>
      </c>
      <c r="V28" s="1386" t="s">
        <v>5</v>
      </c>
      <c r="W28" s="1387">
        <f t="shared" si="11"/>
        <v>100</v>
      </c>
      <c r="X28" s="1380"/>
      <c r="Y28" s="3873"/>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73"/>
      <c r="Q29" s="1385" t="str">
        <f t="shared" si="8"/>
        <v>有无电梯</v>
      </c>
      <c r="R29" s="1386" t="s">
        <v>5</v>
      </c>
      <c r="S29" s="1387">
        <f t="shared" si="9"/>
        <v>100</v>
      </c>
      <c r="T29" s="1386" t="s">
        <v>5</v>
      </c>
      <c r="U29" s="1387">
        <f t="shared" si="10"/>
        <v>100</v>
      </c>
      <c r="V29" s="1386" t="s">
        <v>5</v>
      </c>
      <c r="W29" s="1387">
        <f t="shared" si="11"/>
        <v>100</v>
      </c>
      <c r="X29" s="1380"/>
      <c r="Y29" s="3873"/>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73"/>
      <c r="Q30" s="1385" t="str">
        <f t="shared" si="8"/>
        <v>建筑面积</v>
      </c>
      <c r="R30" s="1386" t="s">
        <v>5</v>
      </c>
      <c r="S30" s="1387" t="e">
        <f t="shared" si="9"/>
        <v>#N/A</v>
      </c>
      <c r="T30" s="1386" t="s">
        <v>5</v>
      </c>
      <c r="U30" s="1387" t="e">
        <f t="shared" si="10"/>
        <v>#N/A</v>
      </c>
      <c r="V30" s="1386" t="s">
        <v>5</v>
      </c>
      <c r="W30" s="1387" t="e">
        <f t="shared" si="11"/>
        <v>#N/A</v>
      </c>
      <c r="X30" s="1380"/>
      <c r="Y30" s="3873"/>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73"/>
      <c r="Q31" s="1050" t="str">
        <f t="shared" si="8"/>
        <v>是否封闭</v>
      </c>
      <c r="R31" s="1381" t="s">
        <v>5</v>
      </c>
      <c r="S31" s="1382">
        <f t="shared" si="9"/>
        <v>100</v>
      </c>
      <c r="T31" s="1381" t="s">
        <v>5</v>
      </c>
      <c r="U31" s="1382">
        <f t="shared" si="10"/>
        <v>100</v>
      </c>
      <c r="V31" s="1381" t="s">
        <v>5</v>
      </c>
      <c r="W31" s="1382">
        <f t="shared" si="11"/>
        <v>100</v>
      </c>
      <c r="X31" s="1383"/>
      <c r="Y31" s="3873"/>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73" t="s">
        <v>499</v>
      </c>
      <c r="Q32" s="1385">
        <f t="shared" si="8"/>
        <v>111</v>
      </c>
      <c r="R32" s="1386" t="s">
        <v>5</v>
      </c>
      <c r="S32" s="1387">
        <f t="shared" si="9"/>
        <v>100</v>
      </c>
      <c r="T32" s="1386" t="s">
        <v>5</v>
      </c>
      <c r="U32" s="1387">
        <f t="shared" si="10"/>
        <v>100</v>
      </c>
      <c r="V32" s="1386" t="s">
        <v>5</v>
      </c>
      <c r="W32" s="1387">
        <f t="shared" si="11"/>
        <v>100</v>
      </c>
      <c r="X32" s="1380"/>
      <c r="Y32" s="3873"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73"/>
      <c r="Q33" s="1385">
        <f t="shared" si="8"/>
        <v>111</v>
      </c>
      <c r="R33" s="1386" t="s">
        <v>5</v>
      </c>
      <c r="S33" s="1387">
        <f t="shared" si="9"/>
        <v>100</v>
      </c>
      <c r="T33" s="1386" t="s">
        <v>5</v>
      </c>
      <c r="U33" s="1387">
        <f t="shared" si="10"/>
        <v>100</v>
      </c>
      <c r="V33" s="1386" t="s">
        <v>5</v>
      </c>
      <c r="W33" s="1387">
        <f t="shared" si="11"/>
        <v>100</v>
      </c>
      <c r="X33" s="1380"/>
      <c r="Y33" s="3873"/>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73"/>
      <c r="Q34" s="1385">
        <f t="shared" si="8"/>
        <v>111</v>
      </c>
      <c r="R34" s="1386" t="s">
        <v>5</v>
      </c>
      <c r="S34" s="1387">
        <f t="shared" si="9"/>
        <v>100</v>
      </c>
      <c r="T34" s="1386" t="s">
        <v>5</v>
      </c>
      <c r="U34" s="1387">
        <f t="shared" si="10"/>
        <v>100</v>
      </c>
      <c r="V34" s="1386" t="s">
        <v>5</v>
      </c>
      <c r="W34" s="1387">
        <f t="shared" si="11"/>
        <v>100</v>
      </c>
      <c r="X34" s="1380"/>
      <c r="Y34" s="3873"/>
      <c r="Z34" s="1388">
        <f t="shared" si="12"/>
        <v>111</v>
      </c>
      <c r="AA34" s="1389">
        <f t="shared" si="3"/>
        <v>1</v>
      </c>
      <c r="AB34" s="1389">
        <f t="shared" si="4"/>
        <v>1</v>
      </c>
      <c r="AC34" s="1389">
        <f t="shared" si="5"/>
        <v>1</v>
      </c>
    </row>
    <row r="35" spans="1:29" ht="14.4">
      <c r="A35" s="577" t="s">
        <v>683</v>
      </c>
      <c r="B35" s="850"/>
      <c r="C35" s="2234" t="s">
        <v>0</v>
      </c>
      <c r="D35" s="2235"/>
      <c r="E35" s="2236"/>
      <c r="F35" s="2237"/>
      <c r="G35" s="2238"/>
      <c r="H35" s="2239"/>
      <c r="I35" s="2236"/>
      <c r="J35" s="2239"/>
      <c r="K35" s="1419"/>
      <c r="L35" s="1867"/>
      <c r="M35" s="1868"/>
      <c r="N35" s="1857"/>
      <c r="O35" s="1868"/>
      <c r="P35" s="3868" t="str">
        <f>A35</f>
        <v>成交单价（元/平方米）</v>
      </c>
      <c r="Q35" s="3868"/>
      <c r="R35" s="3984">
        <f>E35</f>
        <v>0</v>
      </c>
      <c r="S35" s="3984"/>
      <c r="T35" s="3984">
        <f>G35</f>
        <v>0</v>
      </c>
      <c r="U35" s="3984"/>
      <c r="V35" s="3984">
        <f>I35</f>
        <v>0</v>
      </c>
      <c r="W35" s="3984"/>
      <c r="X35" s="1375"/>
      <c r="Y35" s="1394"/>
      <c r="Z35" s="1375"/>
      <c r="AA35" s="1375"/>
      <c r="AB35" s="1375"/>
      <c r="AC35" s="1375"/>
    </row>
    <row r="36" spans="1:29" ht="15" thickBot="1">
      <c r="A36" s="585" t="s">
        <v>2042</v>
      </c>
      <c r="B36" s="851"/>
      <c r="C36" s="2240" t="e">
        <f>R37</f>
        <v>#DIV/0!</v>
      </c>
      <c r="D36" s="2757" t="s">
        <v>2261</v>
      </c>
      <c r="E36" s="2241" t="e">
        <f>R36</f>
        <v>#DIV/0!</v>
      </c>
      <c r="F36" s="2758"/>
      <c r="G36" s="2240" t="e">
        <f>T36</f>
        <v>#DIV/0!</v>
      </c>
      <c r="H36" s="2758"/>
      <c r="I36" s="2241" t="e">
        <f>V36</f>
        <v>#DIV/0!</v>
      </c>
      <c r="J36" s="2758"/>
      <c r="K36" s="2766">
        <f>F36+H36+J36</f>
        <v>0</v>
      </c>
      <c r="L36" s="1867"/>
      <c r="M36" s="1868"/>
      <c r="N36" s="1857"/>
      <c r="O36" s="1868"/>
      <c r="P36" s="3868" t="str">
        <f>A36</f>
        <v>比较价格（元/平方米）</v>
      </c>
      <c r="Q36" s="3868"/>
      <c r="R36" s="3984" t="e">
        <f>IF(F1="售价",ROUND(PRODUCT(R35,AA7:AA34),0),ROUND(PRODUCT(R35,AA7:AA34),1))</f>
        <v>#DIV/0!</v>
      </c>
      <c r="S36" s="3984"/>
      <c r="T36" s="3984" t="e">
        <f>IF(F1="售价",ROUND(PRODUCT(T35,AB7:AB34),0),ROUND(PRODUCT(T35,AB7:AB34),1))</f>
        <v>#DIV/0!</v>
      </c>
      <c r="U36" s="3984"/>
      <c r="V36" s="3984" t="e">
        <f>IF(F1="售价",ROUND(PRODUCT(V35,AC7:AC34),0),ROUND(PRODUCT(V35,AC7:AC34),1))</f>
        <v>#DIV/0!</v>
      </c>
      <c r="W36" s="3984"/>
      <c r="X36" s="1375"/>
      <c r="Y36" s="1375"/>
      <c r="Z36" s="1375"/>
      <c r="AA36" s="1375"/>
      <c r="AB36" s="1375"/>
      <c r="AC36" s="1375"/>
    </row>
    <row r="37" spans="1:29" ht="15" thickBot="1">
      <c r="A37" s="589" t="s">
        <v>2197</v>
      </c>
      <c r="B37" s="590"/>
      <c r="C37" s="2242" t="e">
        <f>R37</f>
        <v>#DIV/0!</v>
      </c>
      <c r="D37" s="2242"/>
      <c r="E37" s="2242"/>
      <c r="F37" s="2242"/>
      <c r="G37" s="2242"/>
      <c r="H37" s="2242"/>
      <c r="I37" s="2242"/>
      <c r="J37" s="2242"/>
      <c r="K37" s="1420"/>
      <c r="L37" s="1867"/>
      <c r="M37" s="1868"/>
      <c r="N37" s="1868"/>
      <c r="O37" s="1868"/>
      <c r="P37" s="3874" t="str">
        <f>A37</f>
        <v>估价对象XX用房的比较价格（楼面单价，元/平方米）</v>
      </c>
      <c r="Q37" s="3875"/>
      <c r="R37" s="3983" t="e">
        <f>IF(F1="售价",ROUND(IF(D36="简单平均",AVERAGE(R36:W36),R36*F36+T36*H36+V36*J36),0),ROUND(IF(D36="简单平均",AVERAGE(R36:V36),R36*F36+T36*H36+V36*J36),1))</f>
        <v>#DIV/0!</v>
      </c>
      <c r="S37" s="3983"/>
      <c r="T37" s="3983"/>
      <c r="U37" s="3983"/>
      <c r="V37" s="3983"/>
      <c r="W37" s="3983"/>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2" t="str">
        <f>YEAR(C7)&amp;"-"&amp;MONTH(C7)</f>
        <v>2023-4</v>
      </c>
      <c r="D46" s="2284">
        <f>EDATE(C46,-1)</f>
        <v>44986</v>
      </c>
      <c r="E46" s="2284">
        <f t="shared" ref="E46:O46" si="13">EDATE(D46,-1)</f>
        <v>44958</v>
      </c>
      <c r="F46" s="2284">
        <f t="shared" si="13"/>
        <v>44927</v>
      </c>
      <c r="G46" s="2284">
        <f t="shared" si="13"/>
        <v>44896</v>
      </c>
      <c r="H46" s="2284">
        <f t="shared" si="13"/>
        <v>44866</v>
      </c>
      <c r="I46" s="2284">
        <f t="shared" si="13"/>
        <v>44835</v>
      </c>
      <c r="J46" s="2284">
        <f t="shared" si="13"/>
        <v>44805</v>
      </c>
      <c r="K46" s="2284">
        <f t="shared" si="13"/>
        <v>44774</v>
      </c>
      <c r="L46" s="2284">
        <f t="shared" si="13"/>
        <v>44743</v>
      </c>
      <c r="M46" s="2284">
        <f t="shared" si="13"/>
        <v>44713</v>
      </c>
      <c r="N46" s="2284">
        <f t="shared" si="13"/>
        <v>44682</v>
      </c>
      <c r="O46" s="2284">
        <f t="shared" si="13"/>
        <v>44652</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93" t="s">
        <v>1661</v>
      </c>
      <c r="D1" s="3994"/>
      <c r="E1" s="3994"/>
      <c r="F1" s="3994"/>
      <c r="G1" s="3994"/>
      <c r="H1" s="3994"/>
      <c r="I1" s="3994"/>
      <c r="J1" s="3994"/>
      <c r="K1" s="3994"/>
      <c r="L1" s="3994"/>
      <c r="M1" s="3994"/>
      <c r="N1" s="3994"/>
      <c r="O1" s="3994"/>
      <c r="P1" s="3994"/>
      <c r="Q1" s="3994"/>
      <c r="R1" s="3994"/>
      <c r="S1" s="3995"/>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2190</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2189</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2188</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2201</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2187</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2186</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90" t="s">
        <v>14</v>
      </c>
      <c r="D22" s="3991"/>
      <c r="E22" s="3991"/>
      <c r="F22" s="3991"/>
      <c r="G22" s="3991"/>
      <c r="H22" s="3991"/>
      <c r="I22" s="3991"/>
      <c r="J22" s="3991"/>
      <c r="K22" s="3991"/>
      <c r="L22" s="3991"/>
      <c r="M22" s="3991"/>
      <c r="N22" s="3991"/>
      <c r="O22" s="3991"/>
      <c r="P22" s="3991"/>
      <c r="Q22" s="3992"/>
      <c r="R22" s="467" t="e">
        <f>ROUND(S22*10000/B22,0)</f>
        <v>#DIV/0!</v>
      </c>
      <c r="S22" s="51">
        <f>SUM(S24:S10000)</f>
        <v>0</v>
      </c>
    </row>
    <row r="23" spans="1:45" s="1421" customFormat="1" ht="24">
      <c r="A23" s="15" t="s">
        <v>770</v>
      </c>
      <c r="B23" s="2614" t="s">
        <v>2209</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4.4"/>
  <cols>
    <col min="1" max="1" width="4.88671875" style="2420" customWidth="1"/>
    <col min="2" max="2" width="13.21875" style="2426" customWidth="1"/>
    <col min="3" max="3" width="15.6640625" style="2426" customWidth="1"/>
    <col min="4" max="4" width="9.33203125" style="2426" bestFit="1" customWidth="1"/>
    <col min="5" max="5" width="13.44140625" style="2426" customWidth="1"/>
    <col min="6" max="6" width="9" style="2426"/>
    <col min="7" max="7" width="9.33203125" style="2426" bestFit="1" customWidth="1"/>
    <col min="8" max="9" width="9" style="2426"/>
    <col min="10" max="10" width="9.33203125" style="2426" bestFit="1" customWidth="1"/>
    <col min="11" max="11" width="4" style="2420" customWidth="1"/>
    <col min="12" max="12" width="5.109375" style="2426" customWidth="1"/>
    <col min="13" max="13" width="13.77734375" style="2426" customWidth="1"/>
    <col min="14" max="256" width="9" style="2426"/>
    <col min="257" max="257" width="4.88671875" style="2418" customWidth="1"/>
    <col min="258" max="258" width="13.21875" style="2418" customWidth="1"/>
    <col min="259" max="259" width="15.6640625" style="2418" customWidth="1"/>
    <col min="260" max="260" width="9.33203125" style="2418" bestFit="1" customWidth="1"/>
    <col min="261" max="261" width="13.44140625" style="2418" customWidth="1"/>
    <col min="262" max="262" width="9" style="2418"/>
    <col min="263" max="263" width="9.33203125" style="2418" bestFit="1" customWidth="1"/>
    <col min="264" max="265" width="9" style="2418"/>
    <col min="266" max="266" width="9.33203125" style="2418" bestFit="1" customWidth="1"/>
    <col min="267" max="267" width="4" style="2418" customWidth="1"/>
    <col min="268" max="268" width="5.109375" style="2418" customWidth="1"/>
    <col min="269" max="269" width="13.77734375" style="2418" customWidth="1"/>
    <col min="270" max="512" width="9" style="2418"/>
    <col min="513" max="513" width="4.88671875" style="2418" customWidth="1"/>
    <col min="514" max="514" width="13.21875" style="2418" customWidth="1"/>
    <col min="515" max="515" width="15.6640625" style="2418" customWidth="1"/>
    <col min="516" max="516" width="9.33203125" style="2418" bestFit="1" customWidth="1"/>
    <col min="517" max="517" width="13.44140625" style="2418" customWidth="1"/>
    <col min="518" max="518" width="9" style="2418"/>
    <col min="519" max="519" width="9.33203125" style="2418" bestFit="1" customWidth="1"/>
    <col min="520" max="521" width="9" style="2418"/>
    <col min="522" max="522" width="9.33203125" style="2418" bestFit="1" customWidth="1"/>
    <col min="523" max="523" width="4" style="2418" customWidth="1"/>
    <col min="524" max="524" width="5.109375" style="2418" customWidth="1"/>
    <col min="525" max="525" width="13.77734375" style="2418" customWidth="1"/>
    <col min="526" max="768" width="9" style="2418"/>
    <col min="769" max="769" width="4.88671875" style="2418" customWidth="1"/>
    <col min="770" max="770" width="13.21875" style="2418" customWidth="1"/>
    <col min="771" max="771" width="15.6640625" style="2418" customWidth="1"/>
    <col min="772" max="772" width="9.33203125" style="2418" bestFit="1" customWidth="1"/>
    <col min="773" max="773" width="13.44140625" style="2418" customWidth="1"/>
    <col min="774" max="774" width="9" style="2418"/>
    <col min="775" max="775" width="9.33203125" style="2418" bestFit="1" customWidth="1"/>
    <col min="776" max="777" width="9" style="2418"/>
    <col min="778" max="778" width="9.33203125" style="2418" bestFit="1" customWidth="1"/>
    <col min="779" max="779" width="4" style="2418" customWidth="1"/>
    <col min="780" max="780" width="5.109375" style="2418" customWidth="1"/>
    <col min="781" max="781" width="13.77734375" style="2418" customWidth="1"/>
    <col min="782" max="1024" width="9" style="2418"/>
    <col min="1025" max="1025" width="4.88671875" style="2418" customWidth="1"/>
    <col min="1026" max="1026" width="13.21875" style="2418" customWidth="1"/>
    <col min="1027" max="1027" width="15.6640625" style="2418" customWidth="1"/>
    <col min="1028" max="1028" width="9.33203125" style="2418" bestFit="1" customWidth="1"/>
    <col min="1029" max="1029" width="13.44140625" style="2418" customWidth="1"/>
    <col min="1030" max="1030" width="9" style="2418"/>
    <col min="1031" max="1031" width="9.33203125" style="2418" bestFit="1" customWidth="1"/>
    <col min="1032" max="1033" width="9" style="2418"/>
    <col min="1034" max="1034" width="9.33203125" style="2418" bestFit="1" customWidth="1"/>
    <col min="1035" max="1035" width="4" style="2418" customWidth="1"/>
    <col min="1036" max="1036" width="5.109375" style="2418" customWidth="1"/>
    <col min="1037" max="1037" width="13.77734375" style="2418" customWidth="1"/>
    <col min="1038" max="1280" width="9" style="2418"/>
    <col min="1281" max="1281" width="4.88671875" style="2418" customWidth="1"/>
    <col min="1282" max="1282" width="13.21875" style="2418" customWidth="1"/>
    <col min="1283" max="1283" width="15.6640625" style="2418" customWidth="1"/>
    <col min="1284" max="1284" width="9.33203125" style="2418" bestFit="1" customWidth="1"/>
    <col min="1285" max="1285" width="13.44140625" style="2418" customWidth="1"/>
    <col min="1286" max="1286" width="9" style="2418"/>
    <col min="1287" max="1287" width="9.33203125" style="2418" bestFit="1" customWidth="1"/>
    <col min="1288" max="1289" width="9" style="2418"/>
    <col min="1290" max="1290" width="9.33203125" style="2418" bestFit="1" customWidth="1"/>
    <col min="1291" max="1291" width="4" style="2418" customWidth="1"/>
    <col min="1292" max="1292" width="5.109375" style="2418" customWidth="1"/>
    <col min="1293" max="1293" width="13.77734375" style="2418" customWidth="1"/>
    <col min="1294" max="1536" width="9" style="2418"/>
    <col min="1537" max="1537" width="4.88671875" style="2418" customWidth="1"/>
    <col min="1538" max="1538" width="13.21875" style="2418" customWidth="1"/>
    <col min="1539" max="1539" width="15.6640625" style="2418" customWidth="1"/>
    <col min="1540" max="1540" width="9.33203125" style="2418" bestFit="1" customWidth="1"/>
    <col min="1541" max="1541" width="13.44140625" style="2418" customWidth="1"/>
    <col min="1542" max="1542" width="9" style="2418"/>
    <col min="1543" max="1543" width="9.33203125" style="2418" bestFit="1" customWidth="1"/>
    <col min="1544" max="1545" width="9" style="2418"/>
    <col min="1546" max="1546" width="9.33203125" style="2418" bestFit="1" customWidth="1"/>
    <col min="1547" max="1547" width="4" style="2418" customWidth="1"/>
    <col min="1548" max="1548" width="5.109375" style="2418" customWidth="1"/>
    <col min="1549" max="1549" width="13.77734375" style="2418" customWidth="1"/>
    <col min="1550" max="1792" width="9" style="2418"/>
    <col min="1793" max="1793" width="4.88671875" style="2418" customWidth="1"/>
    <col min="1794" max="1794" width="13.21875" style="2418" customWidth="1"/>
    <col min="1795" max="1795" width="15.6640625" style="2418" customWidth="1"/>
    <col min="1796" max="1796" width="9.33203125" style="2418" bestFit="1" customWidth="1"/>
    <col min="1797" max="1797" width="13.44140625" style="2418" customWidth="1"/>
    <col min="1798" max="1798" width="9" style="2418"/>
    <col min="1799" max="1799" width="9.33203125" style="2418" bestFit="1" customWidth="1"/>
    <col min="1800" max="1801" width="9" style="2418"/>
    <col min="1802" max="1802" width="9.33203125" style="2418" bestFit="1" customWidth="1"/>
    <col min="1803" max="1803" width="4" style="2418" customWidth="1"/>
    <col min="1804" max="1804" width="5.109375" style="2418" customWidth="1"/>
    <col min="1805" max="1805" width="13.77734375" style="2418" customWidth="1"/>
    <col min="1806" max="2048" width="9" style="2418"/>
    <col min="2049" max="2049" width="4.88671875" style="2418" customWidth="1"/>
    <col min="2050" max="2050" width="13.21875" style="2418" customWidth="1"/>
    <col min="2051" max="2051" width="15.6640625" style="2418" customWidth="1"/>
    <col min="2052" max="2052" width="9.33203125" style="2418" bestFit="1" customWidth="1"/>
    <col min="2053" max="2053" width="13.44140625" style="2418" customWidth="1"/>
    <col min="2054" max="2054" width="9" style="2418"/>
    <col min="2055" max="2055" width="9.33203125" style="2418" bestFit="1" customWidth="1"/>
    <col min="2056" max="2057" width="9" style="2418"/>
    <col min="2058" max="2058" width="9.33203125" style="2418" bestFit="1" customWidth="1"/>
    <col min="2059" max="2059" width="4" style="2418" customWidth="1"/>
    <col min="2060" max="2060" width="5.109375" style="2418" customWidth="1"/>
    <col min="2061" max="2061" width="13.77734375" style="2418" customWidth="1"/>
    <col min="2062" max="2304" width="9" style="2418"/>
    <col min="2305" max="2305" width="4.88671875" style="2418" customWidth="1"/>
    <col min="2306" max="2306" width="13.21875" style="2418" customWidth="1"/>
    <col min="2307" max="2307" width="15.6640625" style="2418" customWidth="1"/>
    <col min="2308" max="2308" width="9.33203125" style="2418" bestFit="1" customWidth="1"/>
    <col min="2309" max="2309" width="13.44140625" style="2418" customWidth="1"/>
    <col min="2310" max="2310" width="9" style="2418"/>
    <col min="2311" max="2311" width="9.33203125" style="2418" bestFit="1" customWidth="1"/>
    <col min="2312" max="2313" width="9" style="2418"/>
    <col min="2314" max="2314" width="9.33203125" style="2418" bestFit="1" customWidth="1"/>
    <col min="2315" max="2315" width="4" style="2418" customWidth="1"/>
    <col min="2316" max="2316" width="5.109375" style="2418" customWidth="1"/>
    <col min="2317" max="2317" width="13.77734375" style="2418" customWidth="1"/>
    <col min="2318" max="2560" width="9" style="2418"/>
    <col min="2561" max="2561" width="4.88671875" style="2418" customWidth="1"/>
    <col min="2562" max="2562" width="13.21875" style="2418" customWidth="1"/>
    <col min="2563" max="2563" width="15.6640625" style="2418" customWidth="1"/>
    <col min="2564" max="2564" width="9.33203125" style="2418" bestFit="1" customWidth="1"/>
    <col min="2565" max="2565" width="13.44140625" style="2418" customWidth="1"/>
    <col min="2566" max="2566" width="9" style="2418"/>
    <col min="2567" max="2567" width="9.33203125" style="2418" bestFit="1" customWidth="1"/>
    <col min="2568" max="2569" width="9" style="2418"/>
    <col min="2570" max="2570" width="9.33203125" style="2418" bestFit="1" customWidth="1"/>
    <col min="2571" max="2571" width="4" style="2418" customWidth="1"/>
    <col min="2572" max="2572" width="5.109375" style="2418" customWidth="1"/>
    <col min="2573" max="2573" width="13.77734375" style="2418" customWidth="1"/>
    <col min="2574" max="2816" width="9" style="2418"/>
    <col min="2817" max="2817" width="4.88671875" style="2418" customWidth="1"/>
    <col min="2818" max="2818" width="13.21875" style="2418" customWidth="1"/>
    <col min="2819" max="2819" width="15.6640625" style="2418" customWidth="1"/>
    <col min="2820" max="2820" width="9.33203125" style="2418" bestFit="1" customWidth="1"/>
    <col min="2821" max="2821" width="13.44140625" style="2418" customWidth="1"/>
    <col min="2822" max="2822" width="9" style="2418"/>
    <col min="2823" max="2823" width="9.33203125" style="2418" bestFit="1" customWidth="1"/>
    <col min="2824" max="2825" width="9" style="2418"/>
    <col min="2826" max="2826" width="9.33203125" style="2418" bestFit="1" customWidth="1"/>
    <col min="2827" max="2827" width="4" style="2418" customWidth="1"/>
    <col min="2828" max="2828" width="5.109375" style="2418" customWidth="1"/>
    <col min="2829" max="2829" width="13.77734375" style="2418" customWidth="1"/>
    <col min="2830" max="3072" width="9" style="2418"/>
    <col min="3073" max="3073" width="4.88671875" style="2418" customWidth="1"/>
    <col min="3074" max="3074" width="13.21875" style="2418" customWidth="1"/>
    <col min="3075" max="3075" width="15.6640625" style="2418" customWidth="1"/>
    <col min="3076" max="3076" width="9.33203125" style="2418" bestFit="1" customWidth="1"/>
    <col min="3077" max="3077" width="13.44140625" style="2418" customWidth="1"/>
    <col min="3078" max="3078" width="9" style="2418"/>
    <col min="3079" max="3079" width="9.33203125" style="2418" bestFit="1" customWidth="1"/>
    <col min="3080" max="3081" width="9" style="2418"/>
    <col min="3082" max="3082" width="9.33203125" style="2418" bestFit="1" customWidth="1"/>
    <col min="3083" max="3083" width="4" style="2418" customWidth="1"/>
    <col min="3084" max="3084" width="5.109375" style="2418" customWidth="1"/>
    <col min="3085" max="3085" width="13.77734375" style="2418" customWidth="1"/>
    <col min="3086" max="3328" width="9" style="2418"/>
    <col min="3329" max="3329" width="4.88671875" style="2418" customWidth="1"/>
    <col min="3330" max="3330" width="13.21875" style="2418" customWidth="1"/>
    <col min="3331" max="3331" width="15.6640625" style="2418" customWidth="1"/>
    <col min="3332" max="3332" width="9.33203125" style="2418" bestFit="1" customWidth="1"/>
    <col min="3333" max="3333" width="13.44140625" style="2418" customWidth="1"/>
    <col min="3334" max="3334" width="9" style="2418"/>
    <col min="3335" max="3335" width="9.33203125" style="2418" bestFit="1" customWidth="1"/>
    <col min="3336" max="3337" width="9" style="2418"/>
    <col min="3338" max="3338" width="9.33203125" style="2418" bestFit="1" customWidth="1"/>
    <col min="3339" max="3339" width="4" style="2418" customWidth="1"/>
    <col min="3340" max="3340" width="5.109375" style="2418" customWidth="1"/>
    <col min="3341" max="3341" width="13.77734375" style="2418" customWidth="1"/>
    <col min="3342" max="3584" width="9" style="2418"/>
    <col min="3585" max="3585" width="4.88671875" style="2418" customWidth="1"/>
    <col min="3586" max="3586" width="13.21875" style="2418" customWidth="1"/>
    <col min="3587" max="3587" width="15.6640625" style="2418" customWidth="1"/>
    <col min="3588" max="3588" width="9.33203125" style="2418" bestFit="1" customWidth="1"/>
    <col min="3589" max="3589" width="13.44140625" style="2418" customWidth="1"/>
    <col min="3590" max="3590" width="9" style="2418"/>
    <col min="3591" max="3591" width="9.33203125" style="2418" bestFit="1" customWidth="1"/>
    <col min="3592" max="3593" width="9" style="2418"/>
    <col min="3594" max="3594" width="9.33203125" style="2418" bestFit="1" customWidth="1"/>
    <col min="3595" max="3595" width="4" style="2418" customWidth="1"/>
    <col min="3596" max="3596" width="5.109375" style="2418" customWidth="1"/>
    <col min="3597" max="3597" width="13.77734375" style="2418" customWidth="1"/>
    <col min="3598" max="3840" width="9" style="2418"/>
    <col min="3841" max="3841" width="4.88671875" style="2418" customWidth="1"/>
    <col min="3842" max="3842" width="13.21875" style="2418" customWidth="1"/>
    <col min="3843" max="3843" width="15.6640625" style="2418" customWidth="1"/>
    <col min="3844" max="3844" width="9.33203125" style="2418" bestFit="1" customWidth="1"/>
    <col min="3845" max="3845" width="13.44140625" style="2418" customWidth="1"/>
    <col min="3846" max="3846" width="9" style="2418"/>
    <col min="3847" max="3847" width="9.33203125" style="2418" bestFit="1" customWidth="1"/>
    <col min="3848" max="3849" width="9" style="2418"/>
    <col min="3850" max="3850" width="9.33203125" style="2418" bestFit="1" customWidth="1"/>
    <col min="3851" max="3851" width="4" style="2418" customWidth="1"/>
    <col min="3852" max="3852" width="5.109375" style="2418" customWidth="1"/>
    <col min="3853" max="3853" width="13.77734375" style="2418" customWidth="1"/>
    <col min="3854" max="4096" width="9" style="2418"/>
    <col min="4097" max="4097" width="4.88671875" style="2418" customWidth="1"/>
    <col min="4098" max="4098" width="13.21875" style="2418" customWidth="1"/>
    <col min="4099" max="4099" width="15.6640625" style="2418" customWidth="1"/>
    <col min="4100" max="4100" width="9.33203125" style="2418" bestFit="1" customWidth="1"/>
    <col min="4101" max="4101" width="13.44140625" style="2418" customWidth="1"/>
    <col min="4102" max="4102" width="9" style="2418"/>
    <col min="4103" max="4103" width="9.33203125" style="2418" bestFit="1" customWidth="1"/>
    <col min="4104" max="4105" width="9" style="2418"/>
    <col min="4106" max="4106" width="9.33203125" style="2418" bestFit="1" customWidth="1"/>
    <col min="4107" max="4107" width="4" style="2418" customWidth="1"/>
    <col min="4108" max="4108" width="5.109375" style="2418" customWidth="1"/>
    <col min="4109" max="4109" width="13.77734375" style="2418" customWidth="1"/>
    <col min="4110" max="4352" width="9" style="2418"/>
    <col min="4353" max="4353" width="4.88671875" style="2418" customWidth="1"/>
    <col min="4354" max="4354" width="13.21875" style="2418" customWidth="1"/>
    <col min="4355" max="4355" width="15.6640625" style="2418" customWidth="1"/>
    <col min="4356" max="4356" width="9.33203125" style="2418" bestFit="1" customWidth="1"/>
    <col min="4357" max="4357" width="13.44140625" style="2418" customWidth="1"/>
    <col min="4358" max="4358" width="9" style="2418"/>
    <col min="4359" max="4359" width="9.33203125" style="2418" bestFit="1" customWidth="1"/>
    <col min="4360" max="4361" width="9" style="2418"/>
    <col min="4362" max="4362" width="9.33203125" style="2418" bestFit="1" customWidth="1"/>
    <col min="4363" max="4363" width="4" style="2418" customWidth="1"/>
    <col min="4364" max="4364" width="5.109375" style="2418" customWidth="1"/>
    <col min="4365" max="4365" width="13.77734375" style="2418" customWidth="1"/>
    <col min="4366" max="4608" width="9" style="2418"/>
    <col min="4609" max="4609" width="4.88671875" style="2418" customWidth="1"/>
    <col min="4610" max="4610" width="13.21875" style="2418" customWidth="1"/>
    <col min="4611" max="4611" width="15.6640625" style="2418" customWidth="1"/>
    <col min="4612" max="4612" width="9.33203125" style="2418" bestFit="1" customWidth="1"/>
    <col min="4613" max="4613" width="13.44140625" style="2418" customWidth="1"/>
    <col min="4614" max="4614" width="9" style="2418"/>
    <col min="4615" max="4615" width="9.33203125" style="2418" bestFit="1" customWidth="1"/>
    <col min="4616" max="4617" width="9" style="2418"/>
    <col min="4618" max="4618" width="9.33203125" style="2418" bestFit="1" customWidth="1"/>
    <col min="4619" max="4619" width="4" style="2418" customWidth="1"/>
    <col min="4620" max="4620" width="5.109375" style="2418" customWidth="1"/>
    <col min="4621" max="4621" width="13.77734375" style="2418" customWidth="1"/>
    <col min="4622" max="4864" width="9" style="2418"/>
    <col min="4865" max="4865" width="4.88671875" style="2418" customWidth="1"/>
    <col min="4866" max="4866" width="13.21875" style="2418" customWidth="1"/>
    <col min="4867" max="4867" width="15.6640625" style="2418" customWidth="1"/>
    <col min="4868" max="4868" width="9.33203125" style="2418" bestFit="1" customWidth="1"/>
    <col min="4869" max="4869" width="13.44140625" style="2418" customWidth="1"/>
    <col min="4870" max="4870" width="9" style="2418"/>
    <col min="4871" max="4871" width="9.33203125" style="2418" bestFit="1" customWidth="1"/>
    <col min="4872" max="4873" width="9" style="2418"/>
    <col min="4874" max="4874" width="9.33203125" style="2418" bestFit="1" customWidth="1"/>
    <col min="4875" max="4875" width="4" style="2418" customWidth="1"/>
    <col min="4876" max="4876" width="5.109375" style="2418" customWidth="1"/>
    <col min="4877" max="4877" width="13.77734375" style="2418" customWidth="1"/>
    <col min="4878" max="5120" width="9" style="2418"/>
    <col min="5121" max="5121" width="4.88671875" style="2418" customWidth="1"/>
    <col min="5122" max="5122" width="13.21875" style="2418" customWidth="1"/>
    <col min="5123" max="5123" width="15.6640625" style="2418" customWidth="1"/>
    <col min="5124" max="5124" width="9.33203125" style="2418" bestFit="1" customWidth="1"/>
    <col min="5125" max="5125" width="13.44140625" style="2418" customWidth="1"/>
    <col min="5126" max="5126" width="9" style="2418"/>
    <col min="5127" max="5127" width="9.33203125" style="2418" bestFit="1" customWidth="1"/>
    <col min="5128" max="5129" width="9" style="2418"/>
    <col min="5130" max="5130" width="9.33203125" style="2418" bestFit="1" customWidth="1"/>
    <col min="5131" max="5131" width="4" style="2418" customWidth="1"/>
    <col min="5132" max="5132" width="5.109375" style="2418" customWidth="1"/>
    <col min="5133" max="5133" width="13.77734375" style="2418" customWidth="1"/>
    <col min="5134" max="5376" width="9" style="2418"/>
    <col min="5377" max="5377" width="4.88671875" style="2418" customWidth="1"/>
    <col min="5378" max="5378" width="13.21875" style="2418" customWidth="1"/>
    <col min="5379" max="5379" width="15.6640625" style="2418" customWidth="1"/>
    <col min="5380" max="5380" width="9.33203125" style="2418" bestFit="1" customWidth="1"/>
    <col min="5381" max="5381" width="13.44140625" style="2418" customWidth="1"/>
    <col min="5382" max="5382" width="9" style="2418"/>
    <col min="5383" max="5383" width="9.33203125" style="2418" bestFit="1" customWidth="1"/>
    <col min="5384" max="5385" width="9" style="2418"/>
    <col min="5386" max="5386" width="9.33203125" style="2418" bestFit="1" customWidth="1"/>
    <col min="5387" max="5387" width="4" style="2418" customWidth="1"/>
    <col min="5388" max="5388" width="5.109375" style="2418" customWidth="1"/>
    <col min="5389" max="5389" width="13.77734375" style="2418" customWidth="1"/>
    <col min="5390" max="5632" width="9" style="2418"/>
    <col min="5633" max="5633" width="4.88671875" style="2418" customWidth="1"/>
    <col min="5634" max="5634" width="13.21875" style="2418" customWidth="1"/>
    <col min="5635" max="5635" width="15.6640625" style="2418" customWidth="1"/>
    <col min="5636" max="5636" width="9.33203125" style="2418" bestFit="1" customWidth="1"/>
    <col min="5637" max="5637" width="13.44140625" style="2418" customWidth="1"/>
    <col min="5638" max="5638" width="9" style="2418"/>
    <col min="5639" max="5639" width="9.33203125" style="2418" bestFit="1" customWidth="1"/>
    <col min="5640" max="5641" width="9" style="2418"/>
    <col min="5642" max="5642" width="9.33203125" style="2418" bestFit="1" customWidth="1"/>
    <col min="5643" max="5643" width="4" style="2418" customWidth="1"/>
    <col min="5644" max="5644" width="5.109375" style="2418" customWidth="1"/>
    <col min="5645" max="5645" width="13.77734375" style="2418" customWidth="1"/>
    <col min="5646" max="5888" width="9" style="2418"/>
    <col min="5889" max="5889" width="4.88671875" style="2418" customWidth="1"/>
    <col min="5890" max="5890" width="13.21875" style="2418" customWidth="1"/>
    <col min="5891" max="5891" width="15.6640625" style="2418" customWidth="1"/>
    <col min="5892" max="5892" width="9.33203125" style="2418" bestFit="1" customWidth="1"/>
    <col min="5893" max="5893" width="13.44140625" style="2418" customWidth="1"/>
    <col min="5894" max="5894" width="9" style="2418"/>
    <col min="5895" max="5895" width="9.33203125" style="2418" bestFit="1" customWidth="1"/>
    <col min="5896" max="5897" width="9" style="2418"/>
    <col min="5898" max="5898" width="9.33203125" style="2418" bestFit="1" customWidth="1"/>
    <col min="5899" max="5899" width="4" style="2418" customWidth="1"/>
    <col min="5900" max="5900" width="5.109375" style="2418" customWidth="1"/>
    <col min="5901" max="5901" width="13.77734375" style="2418" customWidth="1"/>
    <col min="5902" max="6144" width="9" style="2418"/>
    <col min="6145" max="6145" width="4.88671875" style="2418" customWidth="1"/>
    <col min="6146" max="6146" width="13.21875" style="2418" customWidth="1"/>
    <col min="6147" max="6147" width="15.6640625" style="2418" customWidth="1"/>
    <col min="6148" max="6148" width="9.33203125" style="2418" bestFit="1" customWidth="1"/>
    <col min="6149" max="6149" width="13.44140625" style="2418" customWidth="1"/>
    <col min="6150" max="6150" width="9" style="2418"/>
    <col min="6151" max="6151" width="9.33203125" style="2418" bestFit="1" customWidth="1"/>
    <col min="6152" max="6153" width="9" style="2418"/>
    <col min="6154" max="6154" width="9.33203125" style="2418" bestFit="1" customWidth="1"/>
    <col min="6155" max="6155" width="4" style="2418" customWidth="1"/>
    <col min="6156" max="6156" width="5.109375" style="2418" customWidth="1"/>
    <col min="6157" max="6157" width="13.77734375" style="2418" customWidth="1"/>
    <col min="6158" max="6400" width="9" style="2418"/>
    <col min="6401" max="6401" width="4.88671875" style="2418" customWidth="1"/>
    <col min="6402" max="6402" width="13.21875" style="2418" customWidth="1"/>
    <col min="6403" max="6403" width="15.6640625" style="2418" customWidth="1"/>
    <col min="6404" max="6404" width="9.33203125" style="2418" bestFit="1" customWidth="1"/>
    <col min="6405" max="6405" width="13.44140625" style="2418" customWidth="1"/>
    <col min="6406" max="6406" width="9" style="2418"/>
    <col min="6407" max="6407" width="9.33203125" style="2418" bestFit="1" customWidth="1"/>
    <col min="6408" max="6409" width="9" style="2418"/>
    <col min="6410" max="6410" width="9.33203125" style="2418" bestFit="1" customWidth="1"/>
    <col min="6411" max="6411" width="4" style="2418" customWidth="1"/>
    <col min="6412" max="6412" width="5.109375" style="2418" customWidth="1"/>
    <col min="6413" max="6413" width="13.77734375" style="2418" customWidth="1"/>
    <col min="6414" max="6656" width="9" style="2418"/>
    <col min="6657" max="6657" width="4.88671875" style="2418" customWidth="1"/>
    <col min="6658" max="6658" width="13.21875" style="2418" customWidth="1"/>
    <col min="6659" max="6659" width="15.6640625" style="2418" customWidth="1"/>
    <col min="6660" max="6660" width="9.33203125" style="2418" bestFit="1" customWidth="1"/>
    <col min="6661" max="6661" width="13.44140625" style="2418" customWidth="1"/>
    <col min="6662" max="6662" width="9" style="2418"/>
    <col min="6663" max="6663" width="9.33203125" style="2418" bestFit="1" customWidth="1"/>
    <col min="6664" max="6665" width="9" style="2418"/>
    <col min="6666" max="6666" width="9.33203125" style="2418" bestFit="1" customWidth="1"/>
    <col min="6667" max="6667" width="4" style="2418" customWidth="1"/>
    <col min="6668" max="6668" width="5.109375" style="2418" customWidth="1"/>
    <col min="6669" max="6669" width="13.77734375" style="2418" customWidth="1"/>
    <col min="6670" max="6912" width="9" style="2418"/>
    <col min="6913" max="6913" width="4.88671875" style="2418" customWidth="1"/>
    <col min="6914" max="6914" width="13.21875" style="2418" customWidth="1"/>
    <col min="6915" max="6915" width="15.6640625" style="2418" customWidth="1"/>
    <col min="6916" max="6916" width="9.33203125" style="2418" bestFit="1" customWidth="1"/>
    <col min="6917" max="6917" width="13.44140625" style="2418" customWidth="1"/>
    <col min="6918" max="6918" width="9" style="2418"/>
    <col min="6919" max="6919" width="9.33203125" style="2418" bestFit="1" customWidth="1"/>
    <col min="6920" max="6921" width="9" style="2418"/>
    <col min="6922" max="6922" width="9.33203125" style="2418" bestFit="1" customWidth="1"/>
    <col min="6923" max="6923" width="4" style="2418" customWidth="1"/>
    <col min="6924" max="6924" width="5.109375" style="2418" customWidth="1"/>
    <col min="6925" max="6925" width="13.77734375" style="2418" customWidth="1"/>
    <col min="6926" max="7168" width="9" style="2418"/>
    <col min="7169" max="7169" width="4.88671875" style="2418" customWidth="1"/>
    <col min="7170" max="7170" width="13.21875" style="2418" customWidth="1"/>
    <col min="7171" max="7171" width="15.6640625" style="2418" customWidth="1"/>
    <col min="7172" max="7172" width="9.33203125" style="2418" bestFit="1" customWidth="1"/>
    <col min="7173" max="7173" width="13.44140625" style="2418" customWidth="1"/>
    <col min="7174" max="7174" width="9" style="2418"/>
    <col min="7175" max="7175" width="9.33203125" style="2418" bestFit="1" customWidth="1"/>
    <col min="7176" max="7177" width="9" style="2418"/>
    <col min="7178" max="7178" width="9.33203125" style="2418" bestFit="1" customWidth="1"/>
    <col min="7179" max="7179" width="4" style="2418" customWidth="1"/>
    <col min="7180" max="7180" width="5.109375" style="2418" customWidth="1"/>
    <col min="7181" max="7181" width="13.77734375" style="2418" customWidth="1"/>
    <col min="7182" max="7424" width="9" style="2418"/>
    <col min="7425" max="7425" width="4.88671875" style="2418" customWidth="1"/>
    <col min="7426" max="7426" width="13.21875" style="2418" customWidth="1"/>
    <col min="7427" max="7427" width="15.6640625" style="2418" customWidth="1"/>
    <col min="7428" max="7428" width="9.33203125" style="2418" bestFit="1" customWidth="1"/>
    <col min="7429" max="7429" width="13.44140625" style="2418" customWidth="1"/>
    <col min="7430" max="7430" width="9" style="2418"/>
    <col min="7431" max="7431" width="9.33203125" style="2418" bestFit="1" customWidth="1"/>
    <col min="7432" max="7433" width="9" style="2418"/>
    <col min="7434" max="7434" width="9.33203125" style="2418" bestFit="1" customWidth="1"/>
    <col min="7435" max="7435" width="4" style="2418" customWidth="1"/>
    <col min="7436" max="7436" width="5.109375" style="2418" customWidth="1"/>
    <col min="7437" max="7437" width="13.77734375" style="2418" customWidth="1"/>
    <col min="7438" max="7680" width="9" style="2418"/>
    <col min="7681" max="7681" width="4.88671875" style="2418" customWidth="1"/>
    <col min="7682" max="7682" width="13.21875" style="2418" customWidth="1"/>
    <col min="7683" max="7683" width="15.6640625" style="2418" customWidth="1"/>
    <col min="7684" max="7684" width="9.33203125" style="2418" bestFit="1" customWidth="1"/>
    <col min="7685" max="7685" width="13.44140625" style="2418" customWidth="1"/>
    <col min="7686" max="7686" width="9" style="2418"/>
    <col min="7687" max="7687" width="9.33203125" style="2418" bestFit="1" customWidth="1"/>
    <col min="7688" max="7689" width="9" style="2418"/>
    <col min="7690" max="7690" width="9.33203125" style="2418" bestFit="1" customWidth="1"/>
    <col min="7691" max="7691" width="4" style="2418" customWidth="1"/>
    <col min="7692" max="7692" width="5.109375" style="2418" customWidth="1"/>
    <col min="7693" max="7693" width="13.77734375" style="2418" customWidth="1"/>
    <col min="7694" max="7936" width="9" style="2418"/>
    <col min="7937" max="7937" width="4.88671875" style="2418" customWidth="1"/>
    <col min="7938" max="7938" width="13.21875" style="2418" customWidth="1"/>
    <col min="7939" max="7939" width="15.6640625" style="2418" customWidth="1"/>
    <col min="7940" max="7940" width="9.33203125" style="2418" bestFit="1" customWidth="1"/>
    <col min="7941" max="7941" width="13.44140625" style="2418" customWidth="1"/>
    <col min="7942" max="7942" width="9" style="2418"/>
    <col min="7943" max="7943" width="9.33203125" style="2418" bestFit="1" customWidth="1"/>
    <col min="7944" max="7945" width="9" style="2418"/>
    <col min="7946" max="7946" width="9.33203125" style="2418" bestFit="1" customWidth="1"/>
    <col min="7947" max="7947" width="4" style="2418" customWidth="1"/>
    <col min="7948" max="7948" width="5.109375" style="2418" customWidth="1"/>
    <col min="7949" max="7949" width="13.77734375" style="2418" customWidth="1"/>
    <col min="7950" max="8192" width="9" style="2418"/>
    <col min="8193" max="8193" width="4.88671875" style="2418" customWidth="1"/>
    <col min="8194" max="8194" width="13.21875" style="2418" customWidth="1"/>
    <col min="8195" max="8195" width="15.6640625" style="2418" customWidth="1"/>
    <col min="8196" max="8196" width="9.33203125" style="2418" bestFit="1" customWidth="1"/>
    <col min="8197" max="8197" width="13.44140625" style="2418" customWidth="1"/>
    <col min="8198" max="8198" width="9" style="2418"/>
    <col min="8199" max="8199" width="9.33203125" style="2418" bestFit="1" customWidth="1"/>
    <col min="8200" max="8201" width="9" style="2418"/>
    <col min="8202" max="8202" width="9.33203125" style="2418" bestFit="1" customWidth="1"/>
    <col min="8203" max="8203" width="4" style="2418" customWidth="1"/>
    <col min="8204" max="8204" width="5.109375" style="2418" customWidth="1"/>
    <col min="8205" max="8205" width="13.77734375" style="2418" customWidth="1"/>
    <col min="8206" max="8448" width="9" style="2418"/>
    <col min="8449" max="8449" width="4.88671875" style="2418" customWidth="1"/>
    <col min="8450" max="8450" width="13.21875" style="2418" customWidth="1"/>
    <col min="8451" max="8451" width="15.6640625" style="2418" customWidth="1"/>
    <col min="8452" max="8452" width="9.33203125" style="2418" bestFit="1" customWidth="1"/>
    <col min="8453" max="8453" width="13.44140625" style="2418" customWidth="1"/>
    <col min="8454" max="8454" width="9" style="2418"/>
    <col min="8455" max="8455" width="9.33203125" style="2418" bestFit="1" customWidth="1"/>
    <col min="8456" max="8457" width="9" style="2418"/>
    <col min="8458" max="8458" width="9.33203125" style="2418" bestFit="1" customWidth="1"/>
    <col min="8459" max="8459" width="4" style="2418" customWidth="1"/>
    <col min="8460" max="8460" width="5.109375" style="2418" customWidth="1"/>
    <col min="8461" max="8461" width="13.77734375" style="2418" customWidth="1"/>
    <col min="8462" max="8704" width="9" style="2418"/>
    <col min="8705" max="8705" width="4.88671875" style="2418" customWidth="1"/>
    <col min="8706" max="8706" width="13.21875" style="2418" customWidth="1"/>
    <col min="8707" max="8707" width="15.6640625" style="2418" customWidth="1"/>
    <col min="8708" max="8708" width="9.33203125" style="2418" bestFit="1" customWidth="1"/>
    <col min="8709" max="8709" width="13.44140625" style="2418" customWidth="1"/>
    <col min="8710" max="8710" width="9" style="2418"/>
    <col min="8711" max="8711" width="9.33203125" style="2418" bestFit="1" customWidth="1"/>
    <col min="8712" max="8713" width="9" style="2418"/>
    <col min="8714" max="8714" width="9.33203125" style="2418" bestFit="1" customWidth="1"/>
    <col min="8715" max="8715" width="4" style="2418" customWidth="1"/>
    <col min="8716" max="8716" width="5.109375" style="2418" customWidth="1"/>
    <col min="8717" max="8717" width="13.77734375" style="2418" customWidth="1"/>
    <col min="8718" max="8960" width="9" style="2418"/>
    <col min="8961" max="8961" width="4.88671875" style="2418" customWidth="1"/>
    <col min="8962" max="8962" width="13.21875" style="2418" customWidth="1"/>
    <col min="8963" max="8963" width="15.6640625" style="2418" customWidth="1"/>
    <col min="8964" max="8964" width="9.33203125" style="2418" bestFit="1" customWidth="1"/>
    <col min="8965" max="8965" width="13.44140625" style="2418" customWidth="1"/>
    <col min="8966" max="8966" width="9" style="2418"/>
    <col min="8967" max="8967" width="9.33203125" style="2418" bestFit="1" customWidth="1"/>
    <col min="8968" max="8969" width="9" style="2418"/>
    <col min="8970" max="8970" width="9.33203125" style="2418" bestFit="1" customWidth="1"/>
    <col min="8971" max="8971" width="4" style="2418" customWidth="1"/>
    <col min="8972" max="8972" width="5.109375" style="2418" customWidth="1"/>
    <col min="8973" max="8973" width="13.77734375" style="2418" customWidth="1"/>
    <col min="8974" max="9216" width="9" style="2418"/>
    <col min="9217" max="9217" width="4.88671875" style="2418" customWidth="1"/>
    <col min="9218" max="9218" width="13.21875" style="2418" customWidth="1"/>
    <col min="9219" max="9219" width="15.6640625" style="2418" customWidth="1"/>
    <col min="9220" max="9220" width="9.33203125" style="2418" bestFit="1" customWidth="1"/>
    <col min="9221" max="9221" width="13.44140625" style="2418" customWidth="1"/>
    <col min="9222" max="9222" width="9" style="2418"/>
    <col min="9223" max="9223" width="9.33203125" style="2418" bestFit="1" customWidth="1"/>
    <col min="9224" max="9225" width="9" style="2418"/>
    <col min="9226" max="9226" width="9.33203125" style="2418" bestFit="1" customWidth="1"/>
    <col min="9227" max="9227" width="4" style="2418" customWidth="1"/>
    <col min="9228" max="9228" width="5.109375" style="2418" customWidth="1"/>
    <col min="9229" max="9229" width="13.77734375" style="2418" customWidth="1"/>
    <col min="9230" max="9472" width="9" style="2418"/>
    <col min="9473" max="9473" width="4.88671875" style="2418" customWidth="1"/>
    <col min="9474" max="9474" width="13.21875" style="2418" customWidth="1"/>
    <col min="9475" max="9475" width="15.6640625" style="2418" customWidth="1"/>
    <col min="9476" max="9476" width="9.33203125" style="2418" bestFit="1" customWidth="1"/>
    <col min="9477" max="9477" width="13.44140625" style="2418" customWidth="1"/>
    <col min="9478" max="9478" width="9" style="2418"/>
    <col min="9479" max="9479" width="9.33203125" style="2418" bestFit="1" customWidth="1"/>
    <col min="9480" max="9481" width="9" style="2418"/>
    <col min="9482" max="9482" width="9.33203125" style="2418" bestFit="1" customWidth="1"/>
    <col min="9483" max="9483" width="4" style="2418" customWidth="1"/>
    <col min="9484" max="9484" width="5.109375" style="2418" customWidth="1"/>
    <col min="9485" max="9485" width="13.77734375" style="2418" customWidth="1"/>
    <col min="9486" max="9728" width="9" style="2418"/>
    <col min="9729" max="9729" width="4.88671875" style="2418" customWidth="1"/>
    <col min="9730" max="9730" width="13.21875" style="2418" customWidth="1"/>
    <col min="9731" max="9731" width="15.6640625" style="2418" customWidth="1"/>
    <col min="9732" max="9732" width="9.33203125" style="2418" bestFit="1" customWidth="1"/>
    <col min="9733" max="9733" width="13.44140625" style="2418" customWidth="1"/>
    <col min="9734" max="9734" width="9" style="2418"/>
    <col min="9735" max="9735" width="9.33203125" style="2418" bestFit="1" customWidth="1"/>
    <col min="9736" max="9737" width="9" style="2418"/>
    <col min="9738" max="9738" width="9.33203125" style="2418" bestFit="1" customWidth="1"/>
    <col min="9739" max="9739" width="4" style="2418" customWidth="1"/>
    <col min="9740" max="9740" width="5.109375" style="2418" customWidth="1"/>
    <col min="9741" max="9741" width="13.77734375" style="2418" customWidth="1"/>
    <col min="9742" max="9984" width="9" style="2418"/>
    <col min="9985" max="9985" width="4.88671875" style="2418" customWidth="1"/>
    <col min="9986" max="9986" width="13.21875" style="2418" customWidth="1"/>
    <col min="9987" max="9987" width="15.6640625" style="2418" customWidth="1"/>
    <col min="9988" max="9988" width="9.33203125" style="2418" bestFit="1" customWidth="1"/>
    <col min="9989" max="9989" width="13.44140625" style="2418" customWidth="1"/>
    <col min="9990" max="9990" width="9" style="2418"/>
    <col min="9991" max="9991" width="9.33203125" style="2418" bestFit="1" customWidth="1"/>
    <col min="9992" max="9993" width="9" style="2418"/>
    <col min="9994" max="9994" width="9.33203125" style="2418" bestFit="1" customWidth="1"/>
    <col min="9995" max="9995" width="4" style="2418" customWidth="1"/>
    <col min="9996" max="9996" width="5.109375" style="2418" customWidth="1"/>
    <col min="9997" max="9997" width="13.77734375" style="2418" customWidth="1"/>
    <col min="9998" max="10240" width="9" style="2418"/>
    <col min="10241" max="10241" width="4.88671875" style="2418" customWidth="1"/>
    <col min="10242" max="10242" width="13.21875" style="2418" customWidth="1"/>
    <col min="10243" max="10243" width="15.6640625" style="2418" customWidth="1"/>
    <col min="10244" max="10244" width="9.33203125" style="2418" bestFit="1" customWidth="1"/>
    <col min="10245" max="10245" width="13.44140625" style="2418" customWidth="1"/>
    <col min="10246" max="10246" width="9" style="2418"/>
    <col min="10247" max="10247" width="9.33203125" style="2418" bestFit="1" customWidth="1"/>
    <col min="10248" max="10249" width="9" style="2418"/>
    <col min="10250" max="10250" width="9.33203125" style="2418" bestFit="1" customWidth="1"/>
    <col min="10251" max="10251" width="4" style="2418" customWidth="1"/>
    <col min="10252" max="10252" width="5.109375" style="2418" customWidth="1"/>
    <col min="10253" max="10253" width="13.77734375" style="2418" customWidth="1"/>
    <col min="10254" max="10496" width="9" style="2418"/>
    <col min="10497" max="10497" width="4.88671875" style="2418" customWidth="1"/>
    <col min="10498" max="10498" width="13.21875" style="2418" customWidth="1"/>
    <col min="10499" max="10499" width="15.6640625" style="2418" customWidth="1"/>
    <col min="10500" max="10500" width="9.33203125" style="2418" bestFit="1" customWidth="1"/>
    <col min="10501" max="10501" width="13.44140625" style="2418" customWidth="1"/>
    <col min="10502" max="10502" width="9" style="2418"/>
    <col min="10503" max="10503" width="9.33203125" style="2418" bestFit="1" customWidth="1"/>
    <col min="10504" max="10505" width="9" style="2418"/>
    <col min="10506" max="10506" width="9.33203125" style="2418" bestFit="1" customWidth="1"/>
    <col min="10507" max="10507" width="4" style="2418" customWidth="1"/>
    <col min="10508" max="10508" width="5.109375" style="2418" customWidth="1"/>
    <col min="10509" max="10509" width="13.77734375" style="2418" customWidth="1"/>
    <col min="10510" max="10752" width="9" style="2418"/>
    <col min="10753" max="10753" width="4.88671875" style="2418" customWidth="1"/>
    <col min="10754" max="10754" width="13.21875" style="2418" customWidth="1"/>
    <col min="10755" max="10755" width="15.6640625" style="2418" customWidth="1"/>
    <col min="10756" max="10756" width="9.33203125" style="2418" bestFit="1" customWidth="1"/>
    <col min="10757" max="10757" width="13.44140625" style="2418" customWidth="1"/>
    <col min="10758" max="10758" width="9" style="2418"/>
    <col min="10759" max="10759" width="9.33203125" style="2418" bestFit="1" customWidth="1"/>
    <col min="10760" max="10761" width="9" style="2418"/>
    <col min="10762" max="10762" width="9.33203125" style="2418" bestFit="1" customWidth="1"/>
    <col min="10763" max="10763" width="4" style="2418" customWidth="1"/>
    <col min="10764" max="10764" width="5.109375" style="2418" customWidth="1"/>
    <col min="10765" max="10765" width="13.77734375" style="2418" customWidth="1"/>
    <col min="10766" max="11008" width="9" style="2418"/>
    <col min="11009" max="11009" width="4.88671875" style="2418" customWidth="1"/>
    <col min="11010" max="11010" width="13.21875" style="2418" customWidth="1"/>
    <col min="11011" max="11011" width="15.6640625" style="2418" customWidth="1"/>
    <col min="11012" max="11012" width="9.33203125" style="2418" bestFit="1" customWidth="1"/>
    <col min="11013" max="11013" width="13.44140625" style="2418" customWidth="1"/>
    <col min="11014" max="11014" width="9" style="2418"/>
    <col min="11015" max="11015" width="9.33203125" style="2418" bestFit="1" customWidth="1"/>
    <col min="11016" max="11017" width="9" style="2418"/>
    <col min="11018" max="11018" width="9.33203125" style="2418" bestFit="1" customWidth="1"/>
    <col min="11019" max="11019" width="4" style="2418" customWidth="1"/>
    <col min="11020" max="11020" width="5.109375" style="2418" customWidth="1"/>
    <col min="11021" max="11021" width="13.77734375" style="2418" customWidth="1"/>
    <col min="11022" max="11264" width="9" style="2418"/>
    <col min="11265" max="11265" width="4.88671875" style="2418" customWidth="1"/>
    <col min="11266" max="11266" width="13.21875" style="2418" customWidth="1"/>
    <col min="11267" max="11267" width="15.6640625" style="2418" customWidth="1"/>
    <col min="11268" max="11268" width="9.33203125" style="2418" bestFit="1" customWidth="1"/>
    <col min="11269" max="11269" width="13.44140625" style="2418" customWidth="1"/>
    <col min="11270" max="11270" width="9" style="2418"/>
    <col min="11271" max="11271" width="9.33203125" style="2418" bestFit="1" customWidth="1"/>
    <col min="11272" max="11273" width="9" style="2418"/>
    <col min="11274" max="11274" width="9.33203125" style="2418" bestFit="1" customWidth="1"/>
    <col min="11275" max="11275" width="4" style="2418" customWidth="1"/>
    <col min="11276" max="11276" width="5.109375" style="2418" customWidth="1"/>
    <col min="11277" max="11277" width="13.77734375" style="2418" customWidth="1"/>
    <col min="11278" max="11520" width="9" style="2418"/>
    <col min="11521" max="11521" width="4.88671875" style="2418" customWidth="1"/>
    <col min="11522" max="11522" width="13.21875" style="2418" customWidth="1"/>
    <col min="11523" max="11523" width="15.6640625" style="2418" customWidth="1"/>
    <col min="11524" max="11524" width="9.33203125" style="2418" bestFit="1" customWidth="1"/>
    <col min="11525" max="11525" width="13.44140625" style="2418" customWidth="1"/>
    <col min="11526" max="11526" width="9" style="2418"/>
    <col min="11527" max="11527" width="9.33203125" style="2418" bestFit="1" customWidth="1"/>
    <col min="11528" max="11529" width="9" style="2418"/>
    <col min="11530" max="11530" width="9.33203125" style="2418" bestFit="1" customWidth="1"/>
    <col min="11531" max="11531" width="4" style="2418" customWidth="1"/>
    <col min="11532" max="11532" width="5.109375" style="2418" customWidth="1"/>
    <col min="11533" max="11533" width="13.77734375" style="2418" customWidth="1"/>
    <col min="11534" max="11776" width="9" style="2418"/>
    <col min="11777" max="11777" width="4.88671875" style="2418" customWidth="1"/>
    <col min="11778" max="11778" width="13.21875" style="2418" customWidth="1"/>
    <col min="11779" max="11779" width="15.6640625" style="2418" customWidth="1"/>
    <col min="11780" max="11780" width="9.33203125" style="2418" bestFit="1" customWidth="1"/>
    <col min="11781" max="11781" width="13.44140625" style="2418" customWidth="1"/>
    <col min="11782" max="11782" width="9" style="2418"/>
    <col min="11783" max="11783" width="9.33203125" style="2418" bestFit="1" customWidth="1"/>
    <col min="11784" max="11785" width="9" style="2418"/>
    <col min="11786" max="11786" width="9.33203125" style="2418" bestFit="1" customWidth="1"/>
    <col min="11787" max="11787" width="4" style="2418" customWidth="1"/>
    <col min="11788" max="11788" width="5.109375" style="2418" customWidth="1"/>
    <col min="11789" max="11789" width="13.77734375" style="2418" customWidth="1"/>
    <col min="11790" max="12032" width="9" style="2418"/>
    <col min="12033" max="12033" width="4.88671875" style="2418" customWidth="1"/>
    <col min="12034" max="12034" width="13.21875" style="2418" customWidth="1"/>
    <col min="12035" max="12035" width="15.6640625" style="2418" customWidth="1"/>
    <col min="12036" max="12036" width="9.33203125" style="2418" bestFit="1" customWidth="1"/>
    <col min="12037" max="12037" width="13.44140625" style="2418" customWidth="1"/>
    <col min="12038" max="12038" width="9" style="2418"/>
    <col min="12039" max="12039" width="9.33203125" style="2418" bestFit="1" customWidth="1"/>
    <col min="12040" max="12041" width="9" style="2418"/>
    <col min="12042" max="12042" width="9.33203125" style="2418" bestFit="1" customWidth="1"/>
    <col min="12043" max="12043" width="4" style="2418" customWidth="1"/>
    <col min="12044" max="12044" width="5.109375" style="2418" customWidth="1"/>
    <col min="12045" max="12045" width="13.77734375" style="2418" customWidth="1"/>
    <col min="12046" max="12288" width="9" style="2418"/>
    <col min="12289" max="12289" width="4.88671875" style="2418" customWidth="1"/>
    <col min="12290" max="12290" width="13.21875" style="2418" customWidth="1"/>
    <col min="12291" max="12291" width="15.6640625" style="2418" customWidth="1"/>
    <col min="12292" max="12292" width="9.33203125" style="2418" bestFit="1" customWidth="1"/>
    <col min="12293" max="12293" width="13.44140625" style="2418" customWidth="1"/>
    <col min="12294" max="12294" width="9" style="2418"/>
    <col min="12295" max="12295" width="9.33203125" style="2418" bestFit="1" customWidth="1"/>
    <col min="12296" max="12297" width="9" style="2418"/>
    <col min="12298" max="12298" width="9.33203125" style="2418" bestFit="1" customWidth="1"/>
    <col min="12299" max="12299" width="4" style="2418" customWidth="1"/>
    <col min="12300" max="12300" width="5.109375" style="2418" customWidth="1"/>
    <col min="12301" max="12301" width="13.77734375" style="2418" customWidth="1"/>
    <col min="12302" max="12544" width="9" style="2418"/>
    <col min="12545" max="12545" width="4.88671875" style="2418" customWidth="1"/>
    <col min="12546" max="12546" width="13.21875" style="2418" customWidth="1"/>
    <col min="12547" max="12547" width="15.6640625" style="2418" customWidth="1"/>
    <col min="12548" max="12548" width="9.33203125" style="2418" bestFit="1" customWidth="1"/>
    <col min="12549" max="12549" width="13.44140625" style="2418" customWidth="1"/>
    <col min="12550" max="12550" width="9" style="2418"/>
    <col min="12551" max="12551" width="9.33203125" style="2418" bestFit="1" customWidth="1"/>
    <col min="12552" max="12553" width="9" style="2418"/>
    <col min="12554" max="12554" width="9.33203125" style="2418" bestFit="1" customWidth="1"/>
    <col min="12555" max="12555" width="4" style="2418" customWidth="1"/>
    <col min="12556" max="12556" width="5.109375" style="2418" customWidth="1"/>
    <col min="12557" max="12557" width="13.77734375" style="2418" customWidth="1"/>
    <col min="12558" max="12800" width="9" style="2418"/>
    <col min="12801" max="12801" width="4.88671875" style="2418" customWidth="1"/>
    <col min="12802" max="12802" width="13.21875" style="2418" customWidth="1"/>
    <col min="12803" max="12803" width="15.6640625" style="2418" customWidth="1"/>
    <col min="12804" max="12804" width="9.33203125" style="2418" bestFit="1" customWidth="1"/>
    <col min="12805" max="12805" width="13.44140625" style="2418" customWidth="1"/>
    <col min="12806" max="12806" width="9" style="2418"/>
    <col min="12807" max="12807" width="9.33203125" style="2418" bestFit="1" customWidth="1"/>
    <col min="12808" max="12809" width="9" style="2418"/>
    <col min="12810" max="12810" width="9.33203125" style="2418" bestFit="1" customWidth="1"/>
    <col min="12811" max="12811" width="4" style="2418" customWidth="1"/>
    <col min="12812" max="12812" width="5.109375" style="2418" customWidth="1"/>
    <col min="12813" max="12813" width="13.77734375" style="2418" customWidth="1"/>
    <col min="12814" max="13056" width="9" style="2418"/>
    <col min="13057" max="13057" width="4.88671875" style="2418" customWidth="1"/>
    <col min="13058" max="13058" width="13.21875" style="2418" customWidth="1"/>
    <col min="13059" max="13059" width="15.6640625" style="2418" customWidth="1"/>
    <col min="13060" max="13060" width="9.33203125" style="2418" bestFit="1" customWidth="1"/>
    <col min="13061" max="13061" width="13.44140625" style="2418" customWidth="1"/>
    <col min="13062" max="13062" width="9" style="2418"/>
    <col min="13063" max="13063" width="9.33203125" style="2418" bestFit="1" customWidth="1"/>
    <col min="13064" max="13065" width="9" style="2418"/>
    <col min="13066" max="13066" width="9.33203125" style="2418" bestFit="1" customWidth="1"/>
    <col min="13067" max="13067" width="4" style="2418" customWidth="1"/>
    <col min="13068" max="13068" width="5.109375" style="2418" customWidth="1"/>
    <col min="13069" max="13069" width="13.77734375" style="2418" customWidth="1"/>
    <col min="13070" max="13312" width="9" style="2418"/>
    <col min="13313" max="13313" width="4.88671875" style="2418" customWidth="1"/>
    <col min="13314" max="13314" width="13.21875" style="2418" customWidth="1"/>
    <col min="13315" max="13315" width="15.6640625" style="2418" customWidth="1"/>
    <col min="13316" max="13316" width="9.33203125" style="2418" bestFit="1" customWidth="1"/>
    <col min="13317" max="13317" width="13.44140625" style="2418" customWidth="1"/>
    <col min="13318" max="13318" width="9" style="2418"/>
    <col min="13319" max="13319" width="9.33203125" style="2418" bestFit="1" customWidth="1"/>
    <col min="13320" max="13321" width="9" style="2418"/>
    <col min="13322" max="13322" width="9.33203125" style="2418" bestFit="1" customWidth="1"/>
    <col min="13323" max="13323" width="4" style="2418" customWidth="1"/>
    <col min="13324" max="13324" width="5.109375" style="2418" customWidth="1"/>
    <col min="13325" max="13325" width="13.77734375" style="2418" customWidth="1"/>
    <col min="13326" max="13568" width="9" style="2418"/>
    <col min="13569" max="13569" width="4.88671875" style="2418" customWidth="1"/>
    <col min="13570" max="13570" width="13.21875" style="2418" customWidth="1"/>
    <col min="13571" max="13571" width="15.6640625" style="2418" customWidth="1"/>
    <col min="13572" max="13572" width="9.33203125" style="2418" bestFit="1" customWidth="1"/>
    <col min="13573" max="13573" width="13.44140625" style="2418" customWidth="1"/>
    <col min="13574" max="13574" width="9" style="2418"/>
    <col min="13575" max="13575" width="9.33203125" style="2418" bestFit="1" customWidth="1"/>
    <col min="13576" max="13577" width="9" style="2418"/>
    <col min="13578" max="13578" width="9.33203125" style="2418" bestFit="1" customWidth="1"/>
    <col min="13579" max="13579" width="4" style="2418" customWidth="1"/>
    <col min="13580" max="13580" width="5.109375" style="2418" customWidth="1"/>
    <col min="13581" max="13581" width="13.77734375" style="2418" customWidth="1"/>
    <col min="13582" max="13824" width="9" style="2418"/>
    <col min="13825" max="13825" width="4.88671875" style="2418" customWidth="1"/>
    <col min="13826" max="13826" width="13.21875" style="2418" customWidth="1"/>
    <col min="13827" max="13827" width="15.6640625" style="2418" customWidth="1"/>
    <col min="13828" max="13828" width="9.33203125" style="2418" bestFit="1" customWidth="1"/>
    <col min="13829" max="13829" width="13.44140625" style="2418" customWidth="1"/>
    <col min="13830" max="13830" width="9" style="2418"/>
    <col min="13831" max="13831" width="9.33203125" style="2418" bestFit="1" customWidth="1"/>
    <col min="13832" max="13833" width="9" style="2418"/>
    <col min="13834" max="13834" width="9.33203125" style="2418" bestFit="1" customWidth="1"/>
    <col min="13835" max="13835" width="4" style="2418" customWidth="1"/>
    <col min="13836" max="13836" width="5.109375" style="2418" customWidth="1"/>
    <col min="13837" max="13837" width="13.77734375" style="2418" customWidth="1"/>
    <col min="13838" max="14080" width="9" style="2418"/>
    <col min="14081" max="14081" width="4.88671875" style="2418" customWidth="1"/>
    <col min="14082" max="14082" width="13.21875" style="2418" customWidth="1"/>
    <col min="14083" max="14083" width="15.6640625" style="2418" customWidth="1"/>
    <col min="14084" max="14084" width="9.33203125" style="2418" bestFit="1" customWidth="1"/>
    <col min="14085" max="14085" width="13.44140625" style="2418" customWidth="1"/>
    <col min="14086" max="14086" width="9" style="2418"/>
    <col min="14087" max="14087" width="9.33203125" style="2418" bestFit="1" customWidth="1"/>
    <col min="14088" max="14089" width="9" style="2418"/>
    <col min="14090" max="14090" width="9.33203125" style="2418" bestFit="1" customWidth="1"/>
    <col min="14091" max="14091" width="4" style="2418" customWidth="1"/>
    <col min="14092" max="14092" width="5.109375" style="2418" customWidth="1"/>
    <col min="14093" max="14093" width="13.77734375" style="2418" customWidth="1"/>
    <col min="14094" max="14336" width="9" style="2418"/>
    <col min="14337" max="14337" width="4.88671875" style="2418" customWidth="1"/>
    <col min="14338" max="14338" width="13.21875" style="2418" customWidth="1"/>
    <col min="14339" max="14339" width="15.6640625" style="2418" customWidth="1"/>
    <col min="14340" max="14340" width="9.33203125" style="2418" bestFit="1" customWidth="1"/>
    <col min="14341" max="14341" width="13.44140625" style="2418" customWidth="1"/>
    <col min="14342" max="14342" width="9" style="2418"/>
    <col min="14343" max="14343" width="9.33203125" style="2418" bestFit="1" customWidth="1"/>
    <col min="14344" max="14345" width="9" style="2418"/>
    <col min="14346" max="14346" width="9.33203125" style="2418" bestFit="1" customWidth="1"/>
    <col min="14347" max="14347" width="4" style="2418" customWidth="1"/>
    <col min="14348" max="14348" width="5.109375" style="2418" customWidth="1"/>
    <col min="14349" max="14349" width="13.77734375" style="2418" customWidth="1"/>
    <col min="14350" max="14592" width="9" style="2418"/>
    <col min="14593" max="14593" width="4.88671875" style="2418" customWidth="1"/>
    <col min="14594" max="14594" width="13.21875" style="2418" customWidth="1"/>
    <col min="14595" max="14595" width="15.6640625" style="2418" customWidth="1"/>
    <col min="14596" max="14596" width="9.33203125" style="2418" bestFit="1" customWidth="1"/>
    <col min="14597" max="14597" width="13.44140625" style="2418" customWidth="1"/>
    <col min="14598" max="14598" width="9" style="2418"/>
    <col min="14599" max="14599" width="9.33203125" style="2418" bestFit="1" customWidth="1"/>
    <col min="14600" max="14601" width="9" style="2418"/>
    <col min="14602" max="14602" width="9.33203125" style="2418" bestFit="1" customWidth="1"/>
    <col min="14603" max="14603" width="4" style="2418" customWidth="1"/>
    <col min="14604" max="14604" width="5.109375" style="2418" customWidth="1"/>
    <col min="14605" max="14605" width="13.77734375" style="2418" customWidth="1"/>
    <col min="14606" max="14848" width="9" style="2418"/>
    <col min="14849" max="14849" width="4.88671875" style="2418" customWidth="1"/>
    <col min="14850" max="14850" width="13.21875" style="2418" customWidth="1"/>
    <col min="14851" max="14851" width="15.6640625" style="2418" customWidth="1"/>
    <col min="14852" max="14852" width="9.33203125" style="2418" bestFit="1" customWidth="1"/>
    <col min="14853" max="14853" width="13.44140625" style="2418" customWidth="1"/>
    <col min="14854" max="14854" width="9" style="2418"/>
    <col min="14855" max="14855" width="9.33203125" style="2418" bestFit="1" customWidth="1"/>
    <col min="14856" max="14857" width="9" style="2418"/>
    <col min="14858" max="14858" width="9.33203125" style="2418" bestFit="1" customWidth="1"/>
    <col min="14859" max="14859" width="4" style="2418" customWidth="1"/>
    <col min="14860" max="14860" width="5.109375" style="2418" customWidth="1"/>
    <col min="14861" max="14861" width="13.77734375" style="2418" customWidth="1"/>
    <col min="14862" max="15104" width="9" style="2418"/>
    <col min="15105" max="15105" width="4.88671875" style="2418" customWidth="1"/>
    <col min="15106" max="15106" width="13.21875" style="2418" customWidth="1"/>
    <col min="15107" max="15107" width="15.6640625" style="2418" customWidth="1"/>
    <col min="15108" max="15108" width="9.33203125" style="2418" bestFit="1" customWidth="1"/>
    <col min="15109" max="15109" width="13.44140625" style="2418" customWidth="1"/>
    <col min="15110" max="15110" width="9" style="2418"/>
    <col min="15111" max="15111" width="9.33203125" style="2418" bestFit="1" customWidth="1"/>
    <col min="15112" max="15113" width="9" style="2418"/>
    <col min="15114" max="15114" width="9.33203125" style="2418" bestFit="1" customWidth="1"/>
    <col min="15115" max="15115" width="4" style="2418" customWidth="1"/>
    <col min="15116" max="15116" width="5.109375" style="2418" customWidth="1"/>
    <col min="15117" max="15117" width="13.77734375" style="2418" customWidth="1"/>
    <col min="15118" max="15360" width="9" style="2418"/>
    <col min="15361" max="15361" width="4.88671875" style="2418" customWidth="1"/>
    <col min="15362" max="15362" width="13.21875" style="2418" customWidth="1"/>
    <col min="15363" max="15363" width="15.6640625" style="2418" customWidth="1"/>
    <col min="15364" max="15364" width="9.33203125" style="2418" bestFit="1" customWidth="1"/>
    <col min="15365" max="15365" width="13.44140625" style="2418" customWidth="1"/>
    <col min="15366" max="15366" width="9" style="2418"/>
    <col min="15367" max="15367" width="9.33203125" style="2418" bestFit="1" customWidth="1"/>
    <col min="15368" max="15369" width="9" style="2418"/>
    <col min="15370" max="15370" width="9.33203125" style="2418" bestFit="1" customWidth="1"/>
    <col min="15371" max="15371" width="4" style="2418" customWidth="1"/>
    <col min="15372" max="15372" width="5.109375" style="2418" customWidth="1"/>
    <col min="15373" max="15373" width="13.77734375" style="2418" customWidth="1"/>
    <col min="15374" max="15616" width="9" style="2418"/>
    <col min="15617" max="15617" width="4.88671875" style="2418" customWidth="1"/>
    <col min="15618" max="15618" width="13.21875" style="2418" customWidth="1"/>
    <col min="15619" max="15619" width="15.6640625" style="2418" customWidth="1"/>
    <col min="15620" max="15620" width="9.33203125" style="2418" bestFit="1" customWidth="1"/>
    <col min="15621" max="15621" width="13.44140625" style="2418" customWidth="1"/>
    <col min="15622" max="15622" width="9" style="2418"/>
    <col min="15623" max="15623" width="9.33203125" style="2418" bestFit="1" customWidth="1"/>
    <col min="15624" max="15625" width="9" style="2418"/>
    <col min="15626" max="15626" width="9.33203125" style="2418" bestFit="1" customWidth="1"/>
    <col min="15627" max="15627" width="4" style="2418" customWidth="1"/>
    <col min="15628" max="15628" width="5.109375" style="2418" customWidth="1"/>
    <col min="15629" max="15629" width="13.77734375" style="2418" customWidth="1"/>
    <col min="15630" max="15872" width="9" style="2418"/>
    <col min="15873" max="15873" width="4.88671875" style="2418" customWidth="1"/>
    <col min="15874" max="15874" width="13.21875" style="2418" customWidth="1"/>
    <col min="15875" max="15875" width="15.6640625" style="2418" customWidth="1"/>
    <col min="15876" max="15876" width="9.33203125" style="2418" bestFit="1" customWidth="1"/>
    <col min="15877" max="15877" width="13.44140625" style="2418" customWidth="1"/>
    <col min="15878" max="15878" width="9" style="2418"/>
    <col min="15879" max="15879" width="9.33203125" style="2418" bestFit="1" customWidth="1"/>
    <col min="15880" max="15881" width="9" style="2418"/>
    <col min="15882" max="15882" width="9.33203125" style="2418" bestFit="1" customWidth="1"/>
    <col min="15883" max="15883" width="4" style="2418" customWidth="1"/>
    <col min="15884" max="15884" width="5.109375" style="2418" customWidth="1"/>
    <col min="15885" max="15885" width="13.77734375" style="2418" customWidth="1"/>
    <col min="15886" max="16128" width="9" style="2418"/>
    <col min="16129" max="16129" width="4.88671875" style="2418" customWidth="1"/>
    <col min="16130" max="16130" width="13.21875" style="2418" customWidth="1"/>
    <col min="16131" max="16131" width="15.6640625" style="2418" customWidth="1"/>
    <col min="16132" max="16132" width="9.33203125" style="2418" bestFit="1" customWidth="1"/>
    <col min="16133" max="16133" width="13.44140625" style="2418" customWidth="1"/>
    <col min="16134" max="16134" width="9" style="2418"/>
    <col min="16135" max="16135" width="9.33203125" style="2418" bestFit="1" customWidth="1"/>
    <col min="16136" max="16137" width="9" style="2418"/>
    <col min="16138" max="16138" width="9.33203125" style="2418" bestFit="1" customWidth="1"/>
    <col min="16139" max="16139" width="4" style="2418" customWidth="1"/>
    <col min="16140" max="16140" width="5.109375" style="2418" customWidth="1"/>
    <col min="16141" max="16141" width="13.77734375" style="2418" customWidth="1"/>
    <col min="16142" max="16384" width="9" style="2418"/>
  </cols>
  <sheetData>
    <row r="1" spans="1:257" s="2477" customFormat="1" ht="15" thickBot="1">
      <c r="A1" s="2476"/>
      <c r="B1" s="2478" t="s">
        <v>2065</v>
      </c>
      <c r="C1" s="2482">
        <f>项目基本情况!D3</f>
        <v>45028</v>
      </c>
      <c r="H1" s="2417">
        <f>IF(C1&gt;C13,0,MATCH(C1,C$13:C$109,-1))+IF(SUMIF(C13:C109,C1,D13:D109)=0,13,12)</f>
        <v>13</v>
      </c>
      <c r="I1" s="2417">
        <f ca="1">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6" thickTop="1" thickBot="1">
      <c r="A2" s="2419"/>
      <c r="B2" s="2479" t="s">
        <v>2096</v>
      </c>
      <c r="C2" s="2483">
        <f>'数据-取费表'!B22</f>
        <v>3</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399999999999999">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2">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31.2">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5.6">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5.6">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5.6">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5.6">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6.8">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5.6">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5.6">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5.6">
      <c r="A21" s="2462"/>
      <c r="B21" s="2463" t="s">
        <v>2289</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5.6">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86" t="s">
        <v>1556</v>
      </c>
      <c r="B1" s="3686"/>
      <c r="C1" s="3686"/>
      <c r="D1" s="3686"/>
      <c r="E1" s="3686"/>
      <c r="F1" s="3686"/>
      <c r="G1" s="3686"/>
      <c r="H1" s="3686"/>
      <c r="I1" s="3686"/>
      <c r="J1" s="3686"/>
      <c r="K1" s="3686"/>
      <c r="L1" s="3686"/>
      <c r="M1" s="3686"/>
      <c r="N1" s="3686"/>
      <c r="O1" s="3686"/>
      <c r="P1" s="3686"/>
      <c r="Q1" s="3686"/>
      <c r="R1" s="3686"/>
    </row>
    <row r="2" spans="1:18">
      <c r="A2" s="1595" t="s">
        <v>1558</v>
      </c>
      <c r="B2" s="1595"/>
      <c r="C2" s="1595"/>
      <c r="D2" s="1595"/>
      <c r="E2" s="1595"/>
      <c r="F2" s="1595"/>
      <c r="G2" s="1595"/>
      <c r="H2" s="1595"/>
      <c r="I2" s="1596"/>
      <c r="J2" s="1596"/>
      <c r="K2" s="1597" t="str">
        <f>"估价期日："&amp;TEXT(项目基本情况!D3,"yyyy年m月d日;;")</f>
        <v>估价期日：2023年4月12日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87" t="s">
        <v>1547</v>
      </c>
      <c r="B3" s="3687" t="s">
        <v>2013</v>
      </c>
      <c r="C3" s="3688" t="s">
        <v>1548</v>
      </c>
      <c r="D3" s="3687" t="s">
        <v>2017</v>
      </c>
      <c r="E3" s="3690" t="s">
        <v>1549</v>
      </c>
      <c r="F3" s="3690"/>
      <c r="G3" s="3690"/>
      <c r="H3" s="3690" t="s">
        <v>1550</v>
      </c>
      <c r="I3" s="3690"/>
      <c r="J3" s="3690"/>
      <c r="K3" s="3688" t="s">
        <v>1551</v>
      </c>
      <c r="L3" s="3688" t="s">
        <v>1552</v>
      </c>
      <c r="M3" s="3687" t="s">
        <v>2014</v>
      </c>
      <c r="N3" s="3689" t="str">
        <f>"（分摊）"&amp;项目基本情况!A17&amp;"国有建设用地使用权面积/㎡"</f>
        <v>（分摊）出让国有建设用地使用权面积/㎡</v>
      </c>
      <c r="O3" s="3687" t="s">
        <v>1581</v>
      </c>
      <c r="P3" s="3688" t="s">
        <v>1561</v>
      </c>
      <c r="Q3" s="3688" t="s">
        <v>1582</v>
      </c>
      <c r="R3" s="3688" t="s">
        <v>1553</v>
      </c>
    </row>
    <row r="4" spans="1:18" ht="36.75" customHeight="1">
      <c r="A4" s="3687"/>
      <c r="B4" s="3687"/>
      <c r="C4" s="3688"/>
      <c r="D4" s="3687"/>
      <c r="E4" s="2254" t="s">
        <v>1560</v>
      </c>
      <c r="F4" s="2254" t="s">
        <v>2026</v>
      </c>
      <c r="G4" s="2254" t="s">
        <v>1554</v>
      </c>
      <c r="H4" s="2254" t="s">
        <v>1555</v>
      </c>
      <c r="I4" s="2254" t="s">
        <v>2027</v>
      </c>
      <c r="J4" s="2254" t="s">
        <v>1554</v>
      </c>
      <c r="K4" s="3688"/>
      <c r="L4" s="3688"/>
      <c r="M4" s="3687"/>
      <c r="N4" s="3689"/>
      <c r="O4" s="3687"/>
      <c r="P4" s="3688"/>
      <c r="Q4" s="3688"/>
      <c r="R4" s="3688"/>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9791.14</v>
      </c>
      <c r="O5" s="1598">
        <f>项目基本情况!C21</f>
        <v>127591.06</v>
      </c>
      <c r="P5" s="1598">
        <f ca="1">结果表!E42</f>
        <v>146099</v>
      </c>
      <c r="Q5" s="1598">
        <f ca="1">结果表!D42</f>
        <v>11211</v>
      </c>
      <c r="R5" s="1599">
        <f ca="1">结果表!C42</f>
        <v>143048</v>
      </c>
    </row>
    <row r="6" spans="1:18">
      <c r="A6" s="3683" t="str">
        <f>IF(项目基本情况!B9="市场价格","——","抵押价格")</f>
        <v>抵押价格</v>
      </c>
      <c r="B6" s="3684"/>
      <c r="C6" s="3684"/>
      <c r="D6" s="3684"/>
      <c r="E6" s="3684"/>
      <c r="F6" s="3684"/>
      <c r="G6" s="3684"/>
      <c r="H6" s="3684"/>
      <c r="I6" s="3684"/>
      <c r="J6" s="3684"/>
      <c r="K6" s="3684"/>
      <c r="L6" s="3684"/>
      <c r="M6" s="3684"/>
      <c r="N6" s="3684"/>
      <c r="O6" s="3684"/>
      <c r="P6" s="3684"/>
      <c r="Q6" s="3685"/>
      <c r="R6" s="1600">
        <f ca="1">结果表!O39</f>
        <v>143048</v>
      </c>
    </row>
    <row r="7" spans="1:18">
      <c r="A7" s="3683" t="str">
        <f>IF(项目基本情况!B9="市场价格","——",IF(项目基本情况!E8="已注销及未注销","抵押担保权已注销时的抵押价格","——"))</f>
        <v>——</v>
      </c>
      <c r="B7" s="3684"/>
      <c r="C7" s="3684"/>
      <c r="D7" s="3684"/>
      <c r="E7" s="3684"/>
      <c r="F7" s="3684"/>
      <c r="G7" s="3684"/>
      <c r="H7" s="3684"/>
      <c r="I7" s="3684"/>
      <c r="J7" s="3684"/>
      <c r="K7" s="3684"/>
      <c r="L7" s="3684"/>
      <c r="M7" s="3684"/>
      <c r="N7" s="3684"/>
      <c r="O7" s="3684"/>
      <c r="P7" s="3684"/>
      <c r="Q7" s="3685"/>
      <c r="R7" s="1600" t="str">
        <f>结果表!O40</f>
        <v>——</v>
      </c>
    </row>
    <row r="8" spans="1:18">
      <c r="A8" s="3683">
        <f>IF(项目基本情况!B9="市场价格","——",项目基本情况!E9)</f>
        <v>0</v>
      </c>
      <c r="B8" s="3684"/>
      <c r="C8" s="3684"/>
      <c r="D8" s="3684"/>
      <c r="E8" s="3684"/>
      <c r="F8" s="3684"/>
      <c r="G8" s="3684"/>
      <c r="H8" s="3684"/>
      <c r="I8" s="3684"/>
      <c r="J8" s="3684"/>
      <c r="K8" s="3684"/>
      <c r="L8" s="3684"/>
      <c r="M8" s="3684"/>
      <c r="N8" s="3684"/>
      <c r="O8" s="3684"/>
      <c r="P8" s="3684"/>
      <c r="Q8" s="3685"/>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3691" t="s">
        <v>1583</v>
      </c>
      <c r="B1" s="3691"/>
      <c r="C1" s="3691"/>
      <c r="D1" s="3691"/>
    </row>
    <row r="2" spans="1:4" ht="47.25" customHeight="1">
      <c r="A2" s="3695" t="str">
        <f>"1.权利限制："&amp;项目基本情况!L24&amp;"未设定租赁等其他他项权利。"</f>
        <v>1.权利限制：根据估价对象《不动产权证书》原件、《国有土地使用权》复印件，截至估价期日，估价对象抵押权未见登记。未设定租赁等其他他项权利。</v>
      </c>
      <c r="B2" s="3695"/>
      <c r="C2" s="3695"/>
      <c r="D2" s="3695"/>
    </row>
    <row r="3" spans="1:4" ht="48" customHeight="1">
      <c r="A3" s="36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1"/>
      <c r="C3" s="3691"/>
      <c r="D3" s="3691"/>
    </row>
    <row r="4" spans="1:4" ht="36.75" customHeight="1">
      <c r="A4" s="3691" t="str">
        <f>"3.估价规划限制条件：详见"&amp;项目基本情况!E21&amp;"。"</f>
        <v>3.估价规划限制条件：详见《建设工程规划许可证》[]、《出让合同》[]。</v>
      </c>
      <c r="B4" s="3691"/>
      <c r="C4" s="3691"/>
      <c r="D4" s="3691"/>
    </row>
    <row r="5" spans="1:4">
      <c r="A5" s="3694" t="s">
        <v>1584</v>
      </c>
      <c r="B5" s="3694"/>
      <c r="C5" s="3694"/>
      <c r="D5" s="3694"/>
    </row>
    <row r="6" spans="1:4">
      <c r="A6" s="3691" t="s">
        <v>1562</v>
      </c>
      <c r="B6" s="3691"/>
      <c r="C6" s="3691"/>
      <c r="D6" s="3691"/>
    </row>
    <row r="7" spans="1:4" ht="33" customHeight="1">
      <c r="A7" s="3691" t="s">
        <v>1857</v>
      </c>
      <c r="B7" s="3691"/>
      <c r="C7" s="3691"/>
      <c r="D7" s="3691"/>
    </row>
    <row r="8" spans="1:4" ht="32.25" customHeight="1">
      <c r="A8" s="36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91"/>
      <c r="C8" s="3691"/>
      <c r="D8" s="3691"/>
    </row>
    <row r="9" spans="1:4" ht="33.75" customHeight="1">
      <c r="A9" s="36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91"/>
      <c r="C9" s="3691"/>
      <c r="D9" s="3691"/>
    </row>
    <row r="10" spans="1:4">
      <c r="A10" s="3691" t="str">
        <f>IF(项目基本情况!B8="抵押","4.估价师所知悉的法定优先受偿款情况为：","——")</f>
        <v>4.估价师所知悉的法定优先受偿款情况为：</v>
      </c>
      <c r="B10" s="3691"/>
      <c r="C10" s="3691"/>
      <c r="D10" s="3691"/>
    </row>
    <row r="11" spans="1:4" ht="37.5" customHeight="1">
      <c r="A11" s="369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93"/>
      <c r="C11" s="3693"/>
      <c r="D11" s="3693"/>
    </row>
    <row r="12" spans="1:4" ht="168" customHeight="1">
      <c r="A12" s="3694" t="s">
        <v>1586</v>
      </c>
      <c r="B12" s="3694"/>
      <c r="C12" s="3694"/>
      <c r="D12" s="3694"/>
    </row>
    <row r="13" spans="1:4">
      <c r="A13" s="3692" t="s">
        <v>2028</v>
      </c>
      <c r="B13" s="3692"/>
      <c r="C13" s="3692"/>
      <c r="D13" s="3692"/>
    </row>
    <row r="14" spans="1:4">
      <c r="A14" s="3693" t="str">
        <f>IF(项目基本情况!B8="抵押","综上，"&amp;结果表!K47,"——")</f>
        <v>综上，本次评估不存在估价师知悉的法定优先受偿款</v>
      </c>
      <c r="B14" s="3693"/>
      <c r="C14" s="3693"/>
      <c r="D14" s="3693"/>
    </row>
    <row r="15" spans="1:4" ht="58.5" customHeight="1">
      <c r="A15" s="36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1"/>
      <c r="C15" s="3691"/>
      <c r="D15" s="3691"/>
    </row>
    <row r="16" spans="1:4" ht="70.5" customHeight="1">
      <c r="A16" s="36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1"/>
      <c r="C16" s="3691"/>
      <c r="D16" s="3691"/>
    </row>
    <row r="17" spans="1:4">
      <c r="A17" s="3691" t="s">
        <v>1984</v>
      </c>
      <c r="B17" s="3691"/>
      <c r="C17" s="3691"/>
      <c r="D17" s="3691"/>
    </row>
    <row r="18" spans="1:4">
      <c r="A18" s="3691" t="s">
        <v>1976</v>
      </c>
      <c r="B18" s="3691"/>
      <c r="C18" s="3691"/>
      <c r="D18" s="3691"/>
    </row>
    <row r="19" spans="1:4">
      <c r="A19" s="2348" t="s">
        <v>1977</v>
      </c>
      <c r="B19" s="2348" t="s">
        <v>1978</v>
      </c>
      <c r="C19" s="2348" t="s">
        <v>1979</v>
      </c>
      <c r="D19" s="2348" t="s">
        <v>1980</v>
      </c>
    </row>
    <row r="20" spans="1:4">
      <c r="A20" s="2348" t="str">
        <f>项目基本情况!B4</f>
        <v>郑燚</v>
      </c>
      <c r="B20" s="2348">
        <f ca="1">项目基本情况!C4</f>
        <v>2014110011</v>
      </c>
      <c r="C20" s="2350"/>
      <c r="D20" s="1588" t="s">
        <v>1985</v>
      </c>
    </row>
    <row r="21" spans="1:4">
      <c r="A21" s="2348" t="str">
        <f>项目基本情况!D4</f>
        <v>崔锴</v>
      </c>
      <c r="B21" s="2348">
        <f ca="1">项目基本情况!E4</f>
        <v>2010110070</v>
      </c>
      <c r="C21" s="2350"/>
      <c r="D21" s="1588" t="s">
        <v>1986</v>
      </c>
    </row>
    <row r="23" spans="1:4">
      <c r="A23" s="3691" t="s">
        <v>1981</v>
      </c>
      <c r="B23" s="3691"/>
      <c r="C23" s="3691"/>
      <c r="D23" s="3691"/>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4">
      <c r="A15" s="3703" t="s">
        <v>27</v>
      </c>
      <c r="B15" s="3704" t="s">
        <v>784</v>
      </c>
      <c r="C15" s="3700"/>
    </row>
    <row r="16" spans="1:7" ht="14.4">
      <c r="A16" s="3703"/>
      <c r="B16" s="3701" t="s">
        <v>28</v>
      </c>
      <c r="C16" s="1070" t="s">
        <v>27</v>
      </c>
    </row>
    <row r="17" spans="1:3" ht="14.4">
      <c r="A17" s="3703"/>
      <c r="B17" s="3701"/>
      <c r="C17" s="1070" t="s">
        <v>29</v>
      </c>
    </row>
    <row r="18" spans="1:3" ht="14.4">
      <c r="A18" s="3703"/>
      <c r="B18" s="3701"/>
      <c r="C18" s="1070" t="s">
        <v>30</v>
      </c>
    </row>
    <row r="19" spans="1:3" ht="14.4">
      <c r="A19" s="3703"/>
      <c r="B19" s="3699" t="s">
        <v>31</v>
      </c>
      <c r="C19" s="3700"/>
    </row>
    <row r="20" spans="1:3" ht="14.4">
      <c r="A20" s="1071" t="s">
        <v>32</v>
      </c>
      <c r="B20" s="1072"/>
      <c r="C20" s="1073"/>
    </row>
    <row r="21" spans="1:3" ht="14.4">
      <c r="A21" s="3702" t="s">
        <v>33</v>
      </c>
      <c r="B21" s="3699" t="s">
        <v>34</v>
      </c>
      <c r="C21" s="3700"/>
    </row>
    <row r="22" spans="1:3" ht="14.4">
      <c r="A22" s="3702"/>
      <c r="B22" s="3699" t="s">
        <v>35</v>
      </c>
      <c r="C22" s="3700"/>
    </row>
    <row r="23" spans="1:3" ht="14.4">
      <c r="A23" s="3702"/>
      <c r="B23" s="3699" t="s">
        <v>36</v>
      </c>
      <c r="C23" s="3700"/>
    </row>
    <row r="24" spans="1:3" ht="14.4">
      <c r="A24" s="3702"/>
      <c r="B24" s="3705" t="s">
        <v>37</v>
      </c>
      <c r="C24" s="1074" t="s">
        <v>775</v>
      </c>
    </row>
    <row r="25" spans="1:3" ht="14.4">
      <c r="A25" s="3702"/>
      <c r="B25" s="3706"/>
      <c r="C25" s="1074" t="s">
        <v>776</v>
      </c>
    </row>
    <row r="26" spans="1:3" ht="14.4">
      <c r="A26" s="3702"/>
      <c r="B26" s="3706"/>
      <c r="C26" s="1074" t="s">
        <v>777</v>
      </c>
    </row>
    <row r="27" spans="1:3" ht="14.4">
      <c r="A27" s="3702"/>
      <c r="B27" s="3706"/>
      <c r="C27" s="1074" t="s">
        <v>778</v>
      </c>
    </row>
    <row r="28" spans="1:3" ht="14.4">
      <c r="A28" s="3702"/>
      <c r="B28" s="3706"/>
      <c r="C28" s="1074" t="s">
        <v>779</v>
      </c>
    </row>
    <row r="29" spans="1:3" ht="14.4">
      <c r="A29" s="3702"/>
      <c r="B29" s="3706"/>
      <c r="C29" s="1074" t="s">
        <v>780</v>
      </c>
    </row>
    <row r="30" spans="1:3" ht="14.4">
      <c r="A30" s="3702"/>
      <c r="B30" s="3706"/>
      <c r="C30" s="1074" t="s">
        <v>781</v>
      </c>
    </row>
    <row r="31" spans="1:3" ht="14.4">
      <c r="A31" s="3702"/>
      <c r="B31" s="3706"/>
      <c r="C31" s="1074" t="s">
        <v>782</v>
      </c>
    </row>
    <row r="32" spans="1:3" ht="14.4">
      <c r="A32" s="3702"/>
      <c r="B32" s="3706"/>
      <c r="C32" s="1074" t="s">
        <v>1181</v>
      </c>
    </row>
    <row r="33" spans="1:3" ht="14.4">
      <c r="A33" s="3702"/>
      <c r="B33" s="3696" t="s">
        <v>1187</v>
      </c>
      <c r="C33" s="1074" t="s">
        <v>1182</v>
      </c>
    </row>
    <row r="34" spans="1:3" ht="14.4">
      <c r="A34" s="3702"/>
      <c r="B34" s="3697"/>
      <c r="C34" s="1079" t="s">
        <v>1183</v>
      </c>
    </row>
    <row r="35" spans="1:3" ht="14.4">
      <c r="A35" s="3702"/>
      <c r="B35" s="3697"/>
      <c r="C35" s="1080" t="s">
        <v>1184</v>
      </c>
    </row>
    <row r="36" spans="1:3" ht="14.4">
      <c r="A36" s="3702"/>
      <c r="B36" s="3697"/>
      <c r="C36" s="1080" t="s">
        <v>1185</v>
      </c>
    </row>
    <row r="37" spans="1:3" ht="14.4">
      <c r="A37" s="3702"/>
      <c r="B37" s="3698"/>
      <c r="C37" s="1081" t="s">
        <v>1186</v>
      </c>
    </row>
    <row r="38" spans="1:3">
      <c r="A38" s="1075" t="s">
        <v>783</v>
      </c>
    </row>
    <row r="41" spans="1:3">
      <c r="A41" s="1075" t="s">
        <v>42</v>
      </c>
    </row>
    <row r="42" spans="1:3" ht="14.4">
      <c r="A42" s="1076" t="s">
        <v>791</v>
      </c>
    </row>
    <row r="43" spans="1:3" ht="14.4">
      <c r="A43" s="1077" t="s">
        <v>43</v>
      </c>
    </row>
    <row r="44" spans="1:3" ht="14.4">
      <c r="A44" s="1076" t="s">
        <v>790</v>
      </c>
    </row>
    <row r="45" spans="1:3" ht="14.4">
      <c r="A45" s="1078" t="s">
        <v>792</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5" customWidth="1"/>
    <col min="2" max="2" width="22.77734375" style="2585" bestFit="1" customWidth="1"/>
    <col min="3" max="3" width="25.77734375" style="2585" bestFit="1" customWidth="1"/>
    <col min="4" max="4" width="22.6640625" style="2585"/>
    <col min="5" max="5" width="22.77734375" style="2585" bestFit="1" customWidth="1"/>
    <col min="6" max="6" width="25.6640625" style="2585" customWidth="1"/>
    <col min="7" max="16384" width="22.6640625" style="2585"/>
  </cols>
  <sheetData>
    <row r="1" spans="1:7" ht="20.25" customHeight="1">
      <c r="A1" s="2768"/>
      <c r="B1" s="2768"/>
      <c r="C1" s="2768"/>
      <c r="D1" s="2768"/>
      <c r="E1" s="2768"/>
      <c r="F1" s="2768"/>
      <c r="G1" s="2768"/>
    </row>
    <row r="2" spans="1:7" ht="20.25" customHeight="1">
      <c r="A2" s="2769" t="s">
        <v>1431</v>
      </c>
      <c r="B2" s="2770">
        <f ca="1">TODAY()</f>
        <v>45039</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2238</v>
      </c>
      <c r="B12" s="2773">
        <f ca="1">IF(C12&lt;B2,"已过期",1120040230)</f>
        <v>1120040230</v>
      </c>
      <c r="C12" s="2776">
        <v>45937</v>
      </c>
      <c r="D12" s="2784" t="s">
        <v>2239</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2249</v>
      </c>
      <c r="B15" s="2773" t="str">
        <f ca="1">IF(C15&lt;B2,"已过期",1119980106)</f>
        <v>已过期</v>
      </c>
      <c r="C15" s="2776">
        <v>44969</v>
      </c>
      <c r="D15" s="2784"/>
      <c r="E15" s="2773"/>
      <c r="F15" s="2773"/>
      <c r="G15" s="2768"/>
    </row>
    <row r="16" spans="1:7" ht="20.25" customHeight="1">
      <c r="A16" s="2772" t="s">
        <v>2449</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710" t="s">
        <v>1448</v>
      </c>
      <c r="B18" s="3711"/>
      <c r="C18" s="3711"/>
      <c r="D18" s="3711"/>
      <c r="E18" s="3711"/>
      <c r="F18" s="3711"/>
      <c r="G18" s="2777"/>
    </row>
    <row r="19" spans="1:7" ht="20.25" customHeight="1">
      <c r="A19" s="3707" t="s">
        <v>1449</v>
      </c>
      <c r="B19" s="3707"/>
      <c r="C19" s="3708"/>
      <c r="D19" s="3709" t="s">
        <v>1450</v>
      </c>
      <c r="E19" s="3707"/>
      <c r="F19" s="3707"/>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2450</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38" priority="151">
      <formula>AND($C5-TODAY()&lt;30,TODAY()&lt;$C5)</formula>
    </cfRule>
  </conditionalFormatting>
  <conditionalFormatting sqref="C21">
    <cfRule type="expression" dxfId="237" priority="150">
      <formula>AND($C21-TODAY()&lt;30,TODAY()&lt;$C21)</formula>
    </cfRule>
  </conditionalFormatting>
  <conditionalFormatting sqref="C21 F4 C5 C13">
    <cfRule type="cellIs" dxfId="236" priority="152" stopIfTrue="1" operator="lessThan">
      <formula>$B$2</formula>
    </cfRule>
  </conditionalFormatting>
  <conditionalFormatting sqref="F5 F7 F9">
    <cfRule type="cellIs" dxfId="235" priority="146" stopIfTrue="1" operator="lessThan">
      <formula>$B$2</formula>
    </cfRule>
  </conditionalFormatting>
  <conditionalFormatting sqref="C17:D17">
    <cfRule type="expression" dxfId="234" priority="144">
      <formula>AND($C17-TODAY()&lt;30,TODAY()&lt;$C17)</formula>
    </cfRule>
  </conditionalFormatting>
  <conditionalFormatting sqref="F6 F8 F10 C17:D17">
    <cfRule type="cellIs" dxfId="233" priority="145" stopIfTrue="1" operator="lessThan">
      <formula>$B$2</formula>
    </cfRule>
  </conditionalFormatting>
  <conditionalFormatting sqref="F14">
    <cfRule type="cellIs" dxfId="232" priority="116" stopIfTrue="1" operator="lessThan">
      <formula>$B$2</formula>
    </cfRule>
  </conditionalFormatting>
  <conditionalFormatting sqref="F13">
    <cfRule type="cellIs" dxfId="231" priority="115" stopIfTrue="1" operator="lessThan">
      <formula>$B$2</formula>
    </cfRule>
  </conditionalFormatting>
  <conditionalFormatting sqref="B4:B11 E4:E11 E13:E16 B13:B16">
    <cfRule type="cellIs" dxfId="230" priority="113" stopIfTrue="1" operator="equal">
      <formula>"已过期"</formula>
    </cfRule>
  </conditionalFormatting>
  <conditionalFormatting sqref="C6">
    <cfRule type="expression" dxfId="229" priority="84">
      <formula>AND($C6-TODAY()&lt;30,TODAY()&lt;$C6)</formula>
    </cfRule>
  </conditionalFormatting>
  <conditionalFormatting sqref="C6">
    <cfRule type="cellIs" dxfId="228" priority="85" stopIfTrue="1" operator="lessThan">
      <formula>$B$2</formula>
    </cfRule>
  </conditionalFormatting>
  <conditionalFormatting sqref="C11 C15:C16">
    <cfRule type="expression" dxfId="227" priority="82">
      <formula>AND($C11-TODAY()&lt;30,TODAY()&lt;$C11)</formula>
    </cfRule>
  </conditionalFormatting>
  <conditionalFormatting sqref="C11 C15:C16">
    <cfRule type="cellIs" dxfId="226" priority="83" stopIfTrue="1" operator="lessThan">
      <formula>$B$2</formula>
    </cfRule>
  </conditionalFormatting>
  <conditionalFormatting sqref="F11">
    <cfRule type="cellIs" dxfId="225" priority="81" stopIfTrue="1" operator="lessThan">
      <formula>$B$2</formula>
    </cfRule>
  </conditionalFormatting>
  <conditionalFormatting sqref="C14">
    <cfRule type="expression" dxfId="224" priority="62">
      <formula>AND($C14-TODAY()&lt;30,TODAY()&lt;$C14)</formula>
    </cfRule>
  </conditionalFormatting>
  <conditionalFormatting sqref="C14">
    <cfRule type="cellIs" dxfId="223" priority="63" stopIfTrue="1" operator="lessThan">
      <formula>$B$2</formula>
    </cfRule>
  </conditionalFormatting>
  <conditionalFormatting sqref="C12">
    <cfRule type="cellIs" dxfId="222" priority="56" stopIfTrue="1" operator="lessThan">
      <formula>$B$2</formula>
    </cfRule>
  </conditionalFormatting>
  <conditionalFormatting sqref="C12">
    <cfRule type="expression" dxfId="221" priority="53">
      <formula>AND($C12-TODAY()&lt;30,TODAY()&lt;$C12)</formula>
    </cfRule>
  </conditionalFormatting>
  <conditionalFormatting sqref="C12">
    <cfRule type="cellIs" dxfId="220" priority="54" stopIfTrue="1" operator="lessThan">
      <formula>$B$2</formula>
    </cfRule>
  </conditionalFormatting>
  <conditionalFormatting sqref="B12">
    <cfRule type="cellIs" dxfId="219" priority="50" stopIfTrue="1" operator="equal">
      <formula>"已过期"</formula>
    </cfRule>
  </conditionalFormatting>
  <conditionalFormatting sqref="E12">
    <cfRule type="cellIs" dxfId="218" priority="40" stopIfTrue="1" operator="equal">
      <formula>"已过期"</formula>
    </cfRule>
  </conditionalFormatting>
  <conditionalFormatting sqref="F12">
    <cfRule type="cellIs" dxfId="217" priority="39" stopIfTrue="1" operator="lessThan">
      <formula>$B$2</formula>
    </cfRule>
  </conditionalFormatting>
  <conditionalFormatting sqref="C9:C10">
    <cfRule type="expression" dxfId="216" priority="35">
      <formula>AND($C9-TODAY()&lt;30,TODAY()&lt;$C9)</formula>
    </cfRule>
  </conditionalFormatting>
  <conditionalFormatting sqref="C9:C10">
    <cfRule type="cellIs" dxfId="215" priority="36" stopIfTrue="1" operator="lessThan">
      <formula>$B$2</formula>
    </cfRule>
  </conditionalFormatting>
  <conditionalFormatting sqref="F22">
    <cfRule type="cellIs" dxfId="214" priority="15" stopIfTrue="1" operator="lessThan">
      <formula>$B$2</formula>
    </cfRule>
  </conditionalFormatting>
  <conditionalFormatting sqref="F22">
    <cfRule type="expression" dxfId="213" priority="16">
      <formula>AND($E22-TODAY()&lt;30,TODAY()&lt;$E22)</formula>
    </cfRule>
  </conditionalFormatting>
  <conditionalFormatting sqref="C7:C8">
    <cfRule type="expression" dxfId="212" priority="7">
      <formula>AND($C7-TODAY()&lt;30,TODAY()&lt;$C7)</formula>
    </cfRule>
  </conditionalFormatting>
  <conditionalFormatting sqref="C7:C8">
    <cfRule type="cellIs" dxfId="211" priority="8" stopIfTrue="1" operator="lessThan">
      <formula>$B$2</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4">
    <cfRule type="expression" dxfId="208" priority="3">
      <formula>AND($C4-TODAY()&lt;30,TODAY()&lt;$C4)</formula>
    </cfRule>
  </conditionalFormatting>
  <conditionalFormatting sqref="C4">
    <cfRule type="cellIs" dxfId="207" priority="4" stopIfTrue="1" operator="lessThan">
      <formula>$B$2</formula>
    </cfRule>
  </conditionalFormatting>
  <conditionalFormatting sqref="F21">
    <cfRule type="cellIs" dxfId="206" priority="1" stopIfTrue="1" operator="lessThan">
      <formula>$B$2</formula>
    </cfRule>
  </conditionalFormatting>
  <conditionalFormatting sqref="F21">
    <cfRule type="expression" dxfId="20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5" sqref="F25"/>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1" customWidth="1"/>
    <col min="25" max="25" width="7.21875" style="1061" customWidth="1"/>
    <col min="26" max="16384" width="9" style="1061"/>
  </cols>
  <sheetData>
    <row r="1" spans="1:23" s="1082" customFormat="1" ht="43.2">
      <c r="A1" s="929" t="s">
        <v>794</v>
      </c>
      <c r="B1" s="3" t="s">
        <v>99</v>
      </c>
      <c r="C1" s="1367" t="s">
        <v>1237</v>
      </c>
      <c r="D1" s="2197" t="s">
        <v>2762</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ht="14.4">
      <c r="A2" s="6" t="s">
        <v>47</v>
      </c>
      <c r="B2" s="6" t="s">
        <v>116</v>
      </c>
      <c r="C2" s="1368" t="s">
        <v>1238</v>
      </c>
      <c r="D2" s="7" t="s">
        <v>48</v>
      </c>
      <c r="E2" s="7" t="s">
        <v>95</v>
      </c>
      <c r="F2" s="7" t="s">
        <v>96</v>
      </c>
      <c r="G2" s="4">
        <v>20</v>
      </c>
      <c r="H2" s="7" t="s">
        <v>97</v>
      </c>
      <c r="I2" s="7" t="s">
        <v>2748</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ht="14.4">
      <c r="A3" s="6" t="s">
        <v>52</v>
      </c>
      <c r="B3" s="8" t="s">
        <v>117</v>
      </c>
      <c r="C3" s="1369" t="s">
        <v>1239</v>
      </c>
      <c r="D3" s="7" t="s">
        <v>53</v>
      </c>
      <c r="E3" s="7" t="s">
        <v>3</v>
      </c>
      <c r="F3" s="7" t="s">
        <v>54</v>
      </c>
      <c r="G3" s="7">
        <v>40</v>
      </c>
      <c r="H3" s="7" t="s">
        <v>55</v>
      </c>
      <c r="I3" s="7" t="s">
        <v>2749</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ht="14.4">
      <c r="A4" s="6" t="s">
        <v>60</v>
      </c>
      <c r="B4" s="6" t="s">
        <v>118</v>
      </c>
      <c r="C4" s="1368" t="s">
        <v>1240</v>
      </c>
      <c r="D4" s="7" t="s">
        <v>1512</v>
      </c>
      <c r="E4" s="7" t="s">
        <v>61</v>
      </c>
      <c r="F4" s="7" t="s">
        <v>62</v>
      </c>
      <c r="G4" s="7">
        <v>50</v>
      </c>
      <c r="H4" s="7" t="s">
        <v>63</v>
      </c>
      <c r="I4" s="7" t="s">
        <v>2750</v>
      </c>
      <c r="K4" s="7" t="s">
        <v>64</v>
      </c>
      <c r="L4" s="7" t="s">
        <v>64</v>
      </c>
      <c r="M4" s="7" t="s">
        <v>64</v>
      </c>
      <c r="N4" s="7" t="s">
        <v>64</v>
      </c>
      <c r="O4" s="7" t="s">
        <v>64</v>
      </c>
      <c r="P4" s="967" t="s">
        <v>700</v>
      </c>
      <c r="Q4" s="7" t="s">
        <v>64</v>
      </c>
      <c r="R4" s="967" t="s">
        <v>1825</v>
      </c>
      <c r="S4" s="7" t="s">
        <v>64</v>
      </c>
      <c r="T4" s="7" t="s">
        <v>65</v>
      </c>
      <c r="U4" s="7" t="s">
        <v>64</v>
      </c>
      <c r="W4" s="7" t="s">
        <v>814</v>
      </c>
    </row>
    <row r="5" spans="1:23" ht="14.4">
      <c r="A5" s="6" t="s">
        <v>66</v>
      </c>
      <c r="B5" s="6" t="s">
        <v>119</v>
      </c>
      <c r="C5" s="1368" t="s">
        <v>1241</v>
      </c>
      <c r="F5" s="7" t="s">
        <v>67</v>
      </c>
      <c r="G5" s="7">
        <v>70</v>
      </c>
      <c r="H5" s="7" t="s">
        <v>44</v>
      </c>
      <c r="I5" s="7" t="s">
        <v>2751</v>
      </c>
      <c r="K5" s="7" t="s">
        <v>68</v>
      </c>
      <c r="L5" s="7" t="s">
        <v>68</v>
      </c>
      <c r="M5" s="7" t="s">
        <v>68</v>
      </c>
      <c r="N5" s="7" t="s">
        <v>68</v>
      </c>
      <c r="O5" s="7" t="s">
        <v>68</v>
      </c>
      <c r="P5" s="967" t="s">
        <v>495</v>
      </c>
      <c r="Q5" s="7" t="s">
        <v>68</v>
      </c>
      <c r="R5" s="967" t="s">
        <v>1826</v>
      </c>
      <c r="S5" s="7" t="s">
        <v>68</v>
      </c>
      <c r="T5" s="7" t="s">
        <v>69</v>
      </c>
      <c r="U5" s="7" t="s">
        <v>68</v>
      </c>
      <c r="W5" s="7" t="s">
        <v>815</v>
      </c>
    </row>
    <row r="6" spans="1:23" ht="14.4">
      <c r="A6" s="6" t="s">
        <v>70</v>
      </c>
      <c r="B6" s="1048" t="s">
        <v>1176</v>
      </c>
      <c r="C6" s="1370" t="s">
        <v>1242</v>
      </c>
      <c r="F6" s="7" t="s">
        <v>45</v>
      </c>
      <c r="H6" s="7" t="s">
        <v>46</v>
      </c>
      <c r="I6" s="7" t="s">
        <v>2752</v>
      </c>
      <c r="K6" s="7" t="s">
        <v>71</v>
      </c>
      <c r="L6" s="7" t="s">
        <v>71</v>
      </c>
      <c r="M6" s="7" t="s">
        <v>71</v>
      </c>
      <c r="N6" s="7" t="s">
        <v>71</v>
      </c>
      <c r="O6" s="7" t="s">
        <v>71</v>
      </c>
      <c r="P6" s="967" t="s">
        <v>818</v>
      </c>
      <c r="Q6" s="7" t="s">
        <v>71</v>
      </c>
      <c r="R6" s="967" t="s">
        <v>1827</v>
      </c>
      <c r="S6" s="7" t="s">
        <v>71</v>
      </c>
      <c r="T6" s="7"/>
      <c r="U6" s="7" t="s">
        <v>71</v>
      </c>
      <c r="W6" s="7" t="s">
        <v>816</v>
      </c>
    </row>
    <row r="7" spans="1:23" ht="14.4">
      <c r="A7" s="6" t="s">
        <v>72</v>
      </c>
      <c r="B7" s="6" t="s">
        <v>73</v>
      </c>
      <c r="C7" s="1368" t="s">
        <v>1243</v>
      </c>
      <c r="F7" s="7" t="s">
        <v>120</v>
      </c>
      <c r="H7" s="7" t="s">
        <v>74</v>
      </c>
      <c r="I7" s="7" t="s">
        <v>2753</v>
      </c>
    </row>
    <row r="8" spans="1:23" ht="14.4">
      <c r="A8" s="6" t="s">
        <v>75</v>
      </c>
      <c r="B8" s="6" t="s">
        <v>76</v>
      </c>
      <c r="C8" s="1368" t="s">
        <v>1244</v>
      </c>
      <c r="F8" s="7" t="s">
        <v>121</v>
      </c>
      <c r="H8" s="3337" t="s">
        <v>2747</v>
      </c>
      <c r="I8" s="7" t="s">
        <v>2754</v>
      </c>
    </row>
    <row r="9" spans="1:23" ht="14.4">
      <c r="A9" s="6" t="s">
        <v>77</v>
      </c>
      <c r="B9" s="6" t="s">
        <v>122</v>
      </c>
      <c r="C9" s="1368" t="s">
        <v>1245</v>
      </c>
      <c r="F9" s="7" t="s">
        <v>78</v>
      </c>
      <c r="H9" s="7"/>
      <c r="I9" s="7" t="s">
        <v>2755</v>
      </c>
    </row>
    <row r="10" spans="1:23" ht="14.4">
      <c r="A10" s="6" t="s">
        <v>79</v>
      </c>
      <c r="B10" s="6" t="s">
        <v>123</v>
      </c>
      <c r="C10" s="1368" t="s">
        <v>1246</v>
      </c>
      <c r="F10" s="3337" t="s">
        <v>2746</v>
      </c>
      <c r="I10" s="7" t="s">
        <v>2756</v>
      </c>
    </row>
    <row r="11" spans="1:23" ht="14.4">
      <c r="A11" s="6" t="s">
        <v>80</v>
      </c>
      <c r="B11" s="6" t="s">
        <v>124</v>
      </c>
      <c r="C11" s="1368" t="s">
        <v>1247</v>
      </c>
      <c r="I11" s="7" t="s">
        <v>2757</v>
      </c>
    </row>
    <row r="12" spans="1:23" ht="14.4">
      <c r="A12" s="6" t="s">
        <v>81</v>
      </c>
      <c r="B12" s="6" t="s">
        <v>125</v>
      </c>
      <c r="C12" s="1368" t="s">
        <v>1248</v>
      </c>
      <c r="I12" s="7" t="s">
        <v>2758</v>
      </c>
    </row>
    <row r="13" spans="1:23" ht="14.4">
      <c r="A13" s="6" t="s">
        <v>82</v>
      </c>
      <c r="B13" s="6" t="s">
        <v>126</v>
      </c>
      <c r="C13" s="1368" t="s">
        <v>1249</v>
      </c>
      <c r="I13" s="7" t="s">
        <v>2759</v>
      </c>
    </row>
    <row r="14" spans="1:23" ht="14.4">
      <c r="A14" s="6" t="s">
        <v>83</v>
      </c>
      <c r="B14" s="6" t="s">
        <v>127</v>
      </c>
      <c r="C14" s="1371" t="s">
        <v>1421</v>
      </c>
      <c r="I14" s="7" t="s">
        <v>2760</v>
      </c>
    </row>
    <row r="15" spans="1:23" ht="14.4">
      <c r="A15" s="6" t="s">
        <v>84</v>
      </c>
      <c r="B15" s="6" t="s">
        <v>1214</v>
      </c>
      <c r="C15" s="1371"/>
      <c r="I15" s="7" t="s">
        <v>2761</v>
      </c>
    </row>
    <row r="16" spans="1:23" ht="14.4">
      <c r="A16" s="6" t="s">
        <v>85</v>
      </c>
      <c r="B16" s="6" t="s">
        <v>1215</v>
      </c>
      <c r="C16" s="1371"/>
    </row>
    <row r="17" spans="1:3" ht="14.4">
      <c r="A17" s="6" t="s">
        <v>86</v>
      </c>
      <c r="B17" s="6" t="s">
        <v>1216</v>
      </c>
      <c r="C17" s="1371"/>
    </row>
    <row r="18" spans="1:3" ht="14.4">
      <c r="A18" s="6" t="s">
        <v>87</v>
      </c>
      <c r="B18" s="2547" t="s">
        <v>2215</v>
      </c>
      <c r="C18" s="1371"/>
    </row>
    <row r="19" spans="1:3" ht="14.4">
      <c r="A19" s="6" t="s">
        <v>88</v>
      </c>
      <c r="B19" s="2547" t="s">
        <v>2222</v>
      </c>
      <c r="C19" s="1371"/>
    </row>
    <row r="20" spans="1:3" ht="14.4">
      <c r="A20" s="6" t="s">
        <v>89</v>
      </c>
      <c r="B20" s="2547" t="s">
        <v>2262</v>
      </c>
      <c r="C20" s="1371"/>
    </row>
    <row r="21" spans="1:3" ht="14.4">
      <c r="A21" s="6" t="s">
        <v>90</v>
      </c>
      <c r="B21" s="6" t="s">
        <v>2441</v>
      </c>
      <c r="C21" s="1371"/>
    </row>
    <row r="22" spans="1:3" ht="14.4">
      <c r="A22" s="6" t="s">
        <v>91</v>
      </c>
      <c r="B22" s="6" t="s">
        <v>3329</v>
      </c>
      <c r="C22" s="1371"/>
    </row>
    <row r="23" spans="1:3" ht="14.4">
      <c r="A23" s="6" t="s">
        <v>92</v>
      </c>
      <c r="B23" s="6" t="s">
        <v>3330</v>
      </c>
      <c r="C23" s="1371"/>
    </row>
    <row r="24" spans="1:3">
      <c r="A24" s="6" t="s">
        <v>9</v>
      </c>
      <c r="B24" s="6" t="s">
        <v>1177</v>
      </c>
      <c r="C24" s="1371"/>
    </row>
    <row r="25" spans="1:3" ht="14.4">
      <c r="A25" s="6" t="s">
        <v>93</v>
      </c>
      <c r="B25" s="6" t="s">
        <v>1177</v>
      </c>
      <c r="C25" s="1371"/>
    </row>
    <row r="26" spans="1:3" ht="14.4">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12"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4月12日，在规划利用条件下、设定土地开发程度为红线外“七通”、宗地内场地，设定用途为，剩余土地使用年限为的出让国有建设用地使用权价格。</v>
      </c>
      <c r="D53" s="1558"/>
      <c r="E53" s="1558"/>
    </row>
    <row r="54" spans="1:5">
      <c r="A54" s="3712"/>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12"/>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12"/>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12"/>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154</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不动产收益法-商业</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2023-04-23T07:00:36Z</dcterms:modified>
</cp:coreProperties>
</file>