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通州4\"/>
    </mc:Choice>
  </mc:AlternateContent>
  <bookViews>
    <workbookView xWindow="75" yWindow="30" windowWidth="13845" windowHeight="12405" tabRatio="875" firstSheet="30" activeTab="3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商业）"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基准地价（办公）" sheetId="73" r:id="rId31"/>
    <sheet name="基准地价（办公商务公寓）" sheetId="75" r:id="rId32"/>
    <sheet name="70%" sheetId="72" r:id="rId33"/>
    <sheet name="Sheet1" sheetId="74" r:id="rId34"/>
    <sheet name="收益还原法" sheetId="44" state="hidden" r:id="rId35"/>
    <sheet name="不动产收益法" sheetId="15" state="hidden" r:id="rId36"/>
    <sheet name="不动产收益法-酒店模型" sheetId="68"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 r:id="rId50"/>
    <externalReference r:id="rId51"/>
  </externalReferences>
  <definedNames>
    <definedName name="_xlnm._FilterDatabase" localSheetId="20"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30">'基准地价（办公）'!$A$1:$J$44,'基准地价（办公）'!$A$47:$N$103,'基准地价（办公）'!$R$1:$V$16</definedName>
    <definedName name="_xlnm.Print_Area" localSheetId="31">'基准地价（办公商务公寓）'!$A$1:$J$44,'基准地价（办公商务公寓）'!$A$47:$N$103,'基准地价（办公商务公寓）'!$R$1:$V$16</definedName>
    <definedName name="_xlnm.Print_Area" localSheetId="29">'基准地价（汇总）'!$A$1:$F$14</definedName>
    <definedName name="_xlnm.Print_Area" localSheetId="21">'基准地价（商业）'!$A$1:$J$44,'基准地价（商业）'!$A$47:$N$103,'基准地价（商业）'!$R$1:$V$16</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0">'基准地价（办公）'!$N$19:$AB$19</definedName>
    <definedName name="季度" localSheetId="31">'基准地价（办公商务公寓）'!$N$19:$AB$19</definedName>
    <definedName name="季度">'基准地价（商业）'!$N$19:$AB$19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D5" i="74" l="1"/>
  <c r="C5" i="74"/>
  <c r="E4" i="74"/>
  <c r="D4" i="74"/>
  <c r="C4" i="74"/>
  <c r="E3" i="74"/>
  <c r="D3" i="74"/>
  <c r="C3" i="74"/>
  <c r="D2" i="74" l="1"/>
  <c r="C2" i="74"/>
  <c r="F117" i="75"/>
  <c r="I113" i="75"/>
  <c r="E113" i="75"/>
  <c r="N112" i="75"/>
  <c r="N113" i="75" s="1"/>
  <c r="M112" i="75"/>
  <c r="M113" i="75" s="1"/>
  <c r="L112" i="75"/>
  <c r="L113" i="75" s="1"/>
  <c r="K112" i="75"/>
  <c r="K113" i="75" s="1"/>
  <c r="J112" i="75"/>
  <c r="J113" i="75" s="1"/>
  <c r="I112" i="75"/>
  <c r="H112" i="75"/>
  <c r="H113" i="75" s="1"/>
  <c r="G112" i="75"/>
  <c r="G113" i="75" s="1"/>
  <c r="F112" i="75"/>
  <c r="F113" i="75" s="1"/>
  <c r="E112" i="75"/>
  <c r="D112" i="75"/>
  <c r="D113" i="75" s="1"/>
  <c r="C112" i="75"/>
  <c r="C113" i="75" s="1"/>
  <c r="M101" i="75"/>
  <c r="N101" i="75" s="1"/>
  <c r="K101" i="75"/>
  <c r="J101" i="75" s="1"/>
  <c r="D101" i="75"/>
  <c r="B101" i="75"/>
  <c r="M100" i="75"/>
  <c r="N100" i="75" s="1"/>
  <c r="K100" i="75"/>
  <c r="J100" i="75" s="1"/>
  <c r="D100" i="75"/>
  <c r="B100" i="75"/>
  <c r="N99" i="75"/>
  <c r="M99" i="75"/>
  <c r="K99" i="75"/>
  <c r="J99" i="75"/>
  <c r="D99" i="75"/>
  <c r="B99" i="75"/>
  <c r="N98" i="75"/>
  <c r="M98" i="75"/>
  <c r="K98" i="75"/>
  <c r="J98" i="75"/>
  <c r="H98" i="75"/>
  <c r="D98" i="75"/>
  <c r="M97" i="75"/>
  <c r="N97" i="75" s="1"/>
  <c r="K97" i="75"/>
  <c r="J97" i="75" s="1"/>
  <c r="D97" i="75"/>
  <c r="B97" i="75"/>
  <c r="N96" i="75"/>
  <c r="M96" i="75"/>
  <c r="K96" i="75"/>
  <c r="J96" i="75"/>
  <c r="H96" i="75"/>
  <c r="D96" i="75"/>
  <c r="M95" i="75"/>
  <c r="N95" i="75" s="1"/>
  <c r="K95" i="75"/>
  <c r="J95" i="75" s="1"/>
  <c r="H95" i="75"/>
  <c r="D95" i="75"/>
  <c r="B95" i="75"/>
  <c r="M94" i="75"/>
  <c r="N94" i="75" s="1"/>
  <c r="K94" i="75"/>
  <c r="J94" i="75" s="1"/>
  <c r="D94" i="75"/>
  <c r="B94" i="75"/>
  <c r="N93" i="75"/>
  <c r="M93" i="75"/>
  <c r="K93" i="75"/>
  <c r="J93" i="75"/>
  <c r="H93" i="75"/>
  <c r="F93" i="75"/>
  <c r="H101" i="75" s="1"/>
  <c r="D93" i="75"/>
  <c r="E93" i="75" s="1"/>
  <c r="B91" i="75" s="1"/>
  <c r="M90" i="75"/>
  <c r="N90" i="75" s="1"/>
  <c r="K90" i="75"/>
  <c r="J90" i="75" s="1"/>
  <c r="D90" i="75"/>
  <c r="B90" i="75"/>
  <c r="N89" i="75"/>
  <c r="M89" i="75"/>
  <c r="K89" i="75"/>
  <c r="J89" i="75"/>
  <c r="D89" i="75"/>
  <c r="M88" i="75"/>
  <c r="N88" i="75" s="1"/>
  <c r="K88" i="75"/>
  <c r="J88" i="75" s="1"/>
  <c r="D88" i="75"/>
  <c r="B88" i="75"/>
  <c r="M87" i="75"/>
  <c r="N87" i="75" s="1"/>
  <c r="K87" i="75"/>
  <c r="J87" i="75" s="1"/>
  <c r="D87" i="75"/>
  <c r="B87" i="75"/>
  <c r="N86" i="75"/>
  <c r="M86" i="75"/>
  <c r="K86" i="75"/>
  <c r="J86" i="75"/>
  <c r="D86" i="75"/>
  <c r="B86" i="75"/>
  <c r="N85" i="75"/>
  <c r="M85" i="75"/>
  <c r="K85" i="75"/>
  <c r="J85" i="75"/>
  <c r="H85" i="75"/>
  <c r="D85" i="75"/>
  <c r="B85" i="75"/>
  <c r="M84" i="75"/>
  <c r="N84" i="75" s="1"/>
  <c r="K84" i="75"/>
  <c r="J84" i="75" s="1"/>
  <c r="D84" i="75"/>
  <c r="E83" i="75" s="1"/>
  <c r="B81" i="75" s="1"/>
  <c r="B84" i="75"/>
  <c r="M83" i="75"/>
  <c r="N83" i="75" s="1"/>
  <c r="K83" i="75"/>
  <c r="J83" i="75" s="1"/>
  <c r="F83" i="75"/>
  <c r="H88" i="75" s="1"/>
  <c r="D83" i="75"/>
  <c r="B83" i="75"/>
  <c r="N80" i="75"/>
  <c r="M80" i="75"/>
  <c r="K80" i="75"/>
  <c r="J80" i="75"/>
  <c r="H80" i="75"/>
  <c r="D80" i="75"/>
  <c r="M79" i="75"/>
  <c r="N79" i="75" s="1"/>
  <c r="K79" i="75"/>
  <c r="J79" i="75" s="1"/>
  <c r="D79" i="75"/>
  <c r="B79" i="75"/>
  <c r="N78" i="75"/>
  <c r="M78" i="75"/>
  <c r="K78" i="75"/>
  <c r="J78" i="75"/>
  <c r="D78" i="75"/>
  <c r="M77" i="75"/>
  <c r="N77" i="75" s="1"/>
  <c r="K77" i="75"/>
  <c r="J77" i="75" s="1"/>
  <c r="D77" i="75"/>
  <c r="B77" i="75"/>
  <c r="M76" i="75"/>
  <c r="N76" i="75" s="1"/>
  <c r="K76" i="75"/>
  <c r="J76" i="75" s="1"/>
  <c r="D76" i="75"/>
  <c r="B76" i="75"/>
  <c r="N75" i="75"/>
  <c r="M75" i="75"/>
  <c r="K75" i="75"/>
  <c r="J75" i="75"/>
  <c r="D75" i="75"/>
  <c r="B75" i="75"/>
  <c r="N74" i="75"/>
  <c r="M74" i="75"/>
  <c r="K74" i="75"/>
  <c r="J74" i="75"/>
  <c r="H74" i="75"/>
  <c r="D74" i="75"/>
  <c r="B74" i="75"/>
  <c r="M73" i="75"/>
  <c r="N73" i="75" s="1"/>
  <c r="K73" i="75"/>
  <c r="J73" i="75" s="1"/>
  <c r="D73" i="75"/>
  <c r="E72" i="75" s="1"/>
  <c r="B70" i="75" s="1"/>
  <c r="B73" i="75"/>
  <c r="M72" i="75"/>
  <c r="N72" i="75" s="1"/>
  <c r="K72" i="75"/>
  <c r="J72" i="75" s="1"/>
  <c r="F72" i="75"/>
  <c r="H77" i="75" s="1"/>
  <c r="D72" i="75"/>
  <c r="B72" i="75"/>
  <c r="N69" i="75"/>
  <c r="M69" i="75"/>
  <c r="K69" i="75"/>
  <c r="J69" i="75"/>
  <c r="D69" i="75"/>
  <c r="B69" i="75"/>
  <c r="M68" i="75"/>
  <c r="N68" i="75" s="1"/>
  <c r="K68" i="75"/>
  <c r="J68" i="75" s="1"/>
  <c r="D68" i="75"/>
  <c r="B68" i="75"/>
  <c r="M67" i="75"/>
  <c r="N67" i="75" s="1"/>
  <c r="K67" i="75"/>
  <c r="J67" i="75" s="1"/>
  <c r="D67" i="75"/>
  <c r="B67" i="75"/>
  <c r="N66" i="75"/>
  <c r="M66" i="75"/>
  <c r="K66" i="75"/>
  <c r="J66" i="75"/>
  <c r="D66" i="75"/>
  <c r="M65" i="75"/>
  <c r="N65" i="75" s="1"/>
  <c r="K65" i="75"/>
  <c r="J65" i="75" s="1"/>
  <c r="D65" i="75"/>
  <c r="B65" i="75"/>
  <c r="M64" i="75"/>
  <c r="N64" i="75" s="1"/>
  <c r="K64" i="75"/>
  <c r="J64" i="75" s="1"/>
  <c r="D64" i="75"/>
  <c r="N63" i="75"/>
  <c r="M63" i="75"/>
  <c r="K63" i="75"/>
  <c r="J63" i="75"/>
  <c r="D63" i="75"/>
  <c r="B63" i="75"/>
  <c r="M62" i="75"/>
  <c r="N62" i="75" s="1"/>
  <c r="K62" i="75"/>
  <c r="J62" i="75" s="1"/>
  <c r="D62" i="75"/>
  <c r="B62" i="75"/>
  <c r="M61" i="75"/>
  <c r="N61" i="75" s="1"/>
  <c r="K61" i="75"/>
  <c r="J61" i="75"/>
  <c r="D61" i="75"/>
  <c r="E61" i="75" s="1"/>
  <c r="B59" i="75" s="1"/>
  <c r="C28" i="75" s="1"/>
  <c r="B61" i="75"/>
  <c r="N58" i="75"/>
  <c r="M58" i="75"/>
  <c r="K58" i="75"/>
  <c r="J58" i="75"/>
  <c r="H58" i="75"/>
  <c r="D58" i="75"/>
  <c r="B58" i="75"/>
  <c r="M57" i="75"/>
  <c r="N57" i="75" s="1"/>
  <c r="K57" i="75"/>
  <c r="J57" i="75" s="1"/>
  <c r="D57" i="75" s="1"/>
  <c r="E50" i="75" s="1"/>
  <c r="B48" i="75" s="1"/>
  <c r="B57" i="75"/>
  <c r="M56" i="75"/>
  <c r="N56" i="75" s="1"/>
  <c r="K56" i="75"/>
  <c r="D56" i="75" s="1"/>
  <c r="B56" i="75"/>
  <c r="N55" i="75"/>
  <c r="M55" i="75"/>
  <c r="K55" i="75"/>
  <c r="D55" i="75" s="1"/>
  <c r="J55" i="75"/>
  <c r="M54" i="75"/>
  <c r="N54" i="75" s="1"/>
  <c r="K54" i="75"/>
  <c r="J54" i="75" s="1"/>
  <c r="D54" i="75"/>
  <c r="B54" i="75"/>
  <c r="M53" i="75"/>
  <c r="N53" i="75" s="1"/>
  <c r="K53" i="75"/>
  <c r="D53" i="75" s="1"/>
  <c r="J53" i="75"/>
  <c r="M52" i="75"/>
  <c r="N52" i="75" s="1"/>
  <c r="K52" i="75"/>
  <c r="J52" i="75"/>
  <c r="D52" i="75"/>
  <c r="B52" i="75"/>
  <c r="N51" i="75"/>
  <c r="M51" i="75"/>
  <c r="K51" i="75"/>
  <c r="J51" i="75" s="1"/>
  <c r="H51" i="75"/>
  <c r="D51" i="75"/>
  <c r="B51" i="75"/>
  <c r="M50" i="75"/>
  <c r="N50" i="75" s="1"/>
  <c r="K50" i="75"/>
  <c r="J50" i="75"/>
  <c r="F50" i="75"/>
  <c r="D50" i="75"/>
  <c r="B50" i="75"/>
  <c r="E44" i="75"/>
  <c r="C44" i="75" s="1"/>
  <c r="H42" i="75"/>
  <c r="H41" i="75"/>
  <c r="H40" i="75"/>
  <c r="H39" i="75"/>
  <c r="H38" i="75"/>
  <c r="H37" i="75"/>
  <c r="P27" i="75"/>
  <c r="M24" i="75"/>
  <c r="J24" i="75"/>
  <c r="I18" i="75" s="1"/>
  <c r="I24" i="75"/>
  <c r="C24" i="75" s="1"/>
  <c r="G24" i="75"/>
  <c r="E24" i="75"/>
  <c r="O23" i="75"/>
  <c r="M23" i="75"/>
  <c r="I23" i="75"/>
  <c r="G23" i="75"/>
  <c r="P29" i="75" s="1"/>
  <c r="C23" i="75"/>
  <c r="C22" i="75"/>
  <c r="G17" i="75"/>
  <c r="G18" i="75"/>
  <c r="C13" i="75"/>
  <c r="N12" i="75"/>
  <c r="N11" i="75"/>
  <c r="E11" i="75"/>
  <c r="C11" i="75"/>
  <c r="E9" i="75" s="1"/>
  <c r="AH10" i="75"/>
  <c r="AG10" i="75"/>
  <c r="AD10" i="75"/>
  <c r="AC10" i="75"/>
  <c r="Z10" i="75"/>
  <c r="Y10" i="75"/>
  <c r="N10" i="75"/>
  <c r="E10" i="75"/>
  <c r="C10" i="75"/>
  <c r="AJ9" i="75"/>
  <c r="AJ10" i="75" s="1"/>
  <c r="AI9" i="75"/>
  <c r="AI10" i="75" s="1"/>
  <c r="AH9" i="75"/>
  <c r="AG9" i="75"/>
  <c r="AF9" i="75"/>
  <c r="AF10" i="75" s="1"/>
  <c r="AE9" i="75"/>
  <c r="AE10" i="75" s="1"/>
  <c r="AD9" i="75"/>
  <c r="AC9" i="75"/>
  <c r="AB9" i="75"/>
  <c r="AB10" i="75" s="1"/>
  <c r="AA9" i="75"/>
  <c r="AA10" i="75" s="1"/>
  <c r="Z9" i="75"/>
  <c r="M9" i="75"/>
  <c r="C9" i="75"/>
  <c r="M8" i="75"/>
  <c r="E8" i="75"/>
  <c r="N7" i="75"/>
  <c r="C7" i="75"/>
  <c r="N6" i="75"/>
  <c r="N5" i="75"/>
  <c r="S4" i="75"/>
  <c r="M4" i="75"/>
  <c r="N3" i="75"/>
  <c r="G3" i="75"/>
  <c r="H26" i="75" s="1"/>
  <c r="M2" i="75"/>
  <c r="I2" i="75"/>
  <c r="M10" i="75" s="1"/>
  <c r="G2" i="75"/>
  <c r="F37" i="75" s="1"/>
  <c r="N1" i="75"/>
  <c r="M1" i="75"/>
  <c r="D1" i="75"/>
  <c r="E17" i="75" l="1"/>
  <c r="D21" i="75"/>
  <c r="J21" i="75"/>
  <c r="O21" i="75"/>
  <c r="Q32" i="75"/>
  <c r="M32" i="75"/>
  <c r="G26" i="75"/>
  <c r="F41" i="75"/>
  <c r="F42" i="75"/>
  <c r="N2" i="75"/>
  <c r="S3" i="75"/>
  <c r="M5" i="75"/>
  <c r="S6" i="75"/>
  <c r="M7" i="75"/>
  <c r="X7" i="75"/>
  <c r="N8" i="75"/>
  <c r="M11" i="75"/>
  <c r="M12" i="75"/>
  <c r="C17" i="75"/>
  <c r="E21" i="75"/>
  <c r="K21" i="75"/>
  <c r="P25" i="75"/>
  <c r="N32" i="75"/>
  <c r="H57" i="75"/>
  <c r="H54" i="75"/>
  <c r="H56" i="75"/>
  <c r="H53" i="75"/>
  <c r="H50" i="75"/>
  <c r="H52" i="75"/>
  <c r="H55" i="75"/>
  <c r="H117" i="75"/>
  <c r="F61" i="75"/>
  <c r="L21" i="75"/>
  <c r="H21" i="75"/>
  <c r="C21" i="75"/>
  <c r="S2" i="75"/>
  <c r="B117" i="75"/>
  <c r="F26" i="75"/>
  <c r="C6" i="75"/>
  <c r="Z7" i="75"/>
  <c r="J26" i="75"/>
  <c r="O32" i="75"/>
  <c r="F38" i="75"/>
  <c r="M21" i="75"/>
  <c r="M3" i="75"/>
  <c r="N4" i="75"/>
  <c r="S5" i="75"/>
  <c r="M6" i="75"/>
  <c r="N9" i="75"/>
  <c r="I21" i="75"/>
  <c r="N21" i="75"/>
  <c r="P28" i="75"/>
  <c r="P26" i="75"/>
  <c r="E26" i="75"/>
  <c r="C27" i="75"/>
  <c r="P32" i="75"/>
  <c r="F39" i="75"/>
  <c r="F40" i="75"/>
  <c r="J56" i="75"/>
  <c r="H72" i="75"/>
  <c r="H76" i="75"/>
  <c r="H79" i="75"/>
  <c r="H83" i="75"/>
  <c r="H87" i="75"/>
  <c r="H90" i="75"/>
  <c r="H94" i="75"/>
  <c r="H97" i="75"/>
  <c r="H100" i="75"/>
  <c r="H75" i="75"/>
  <c r="H78" i="75"/>
  <c r="H86" i="75"/>
  <c r="H89" i="75"/>
  <c r="H99" i="75"/>
  <c r="H73" i="75"/>
  <c r="H84" i="75"/>
  <c r="H68" i="75" l="1"/>
  <c r="H65" i="75"/>
  <c r="H62" i="75"/>
  <c r="H66" i="75"/>
  <c r="H67" i="75"/>
  <c r="H64" i="75"/>
  <c r="H61" i="75"/>
  <c r="H63" i="75"/>
  <c r="H69" i="75"/>
  <c r="I123" i="75"/>
  <c r="J123" i="75" s="1"/>
  <c r="K123" i="75" s="1"/>
  <c r="L123" i="75" s="1"/>
  <c r="M123" i="75" s="1"/>
  <c r="I122" i="75"/>
  <c r="J122" i="75" s="1"/>
  <c r="K122" i="75" s="1"/>
  <c r="L122" i="75" s="1"/>
  <c r="M122" i="75" s="1"/>
  <c r="I121" i="75"/>
  <c r="J121" i="75" s="1"/>
  <c r="K121" i="75" s="1"/>
  <c r="L121" i="75" s="1"/>
  <c r="M121" i="75" s="1"/>
  <c r="I120" i="75"/>
  <c r="J120" i="75" s="1"/>
  <c r="K120" i="75" s="1"/>
  <c r="L120" i="75" s="1"/>
  <c r="M120" i="75" s="1"/>
  <c r="I119" i="75"/>
  <c r="J119" i="75" s="1"/>
  <c r="K119" i="75" s="1"/>
  <c r="L119" i="75" s="1"/>
  <c r="M119" i="75" s="1"/>
  <c r="G122" i="75"/>
  <c r="H122" i="75" s="1"/>
  <c r="D117" i="75"/>
  <c r="B123" i="75"/>
  <c r="C123" i="75" s="1"/>
  <c r="B122" i="75"/>
  <c r="C122" i="75" s="1"/>
  <c r="B121" i="75"/>
  <c r="C121" i="75" s="1"/>
  <c r="B120" i="75"/>
  <c r="C120" i="75" s="1"/>
  <c r="B119" i="75"/>
  <c r="C119" i="75" s="1"/>
  <c r="D121" i="75"/>
  <c r="E121" i="75" s="1"/>
  <c r="F121" i="75" s="1"/>
  <c r="G121" i="75" s="1"/>
  <c r="H121" i="75" s="1"/>
  <c r="D122" i="75"/>
  <c r="E122" i="75" s="1"/>
  <c r="F122" i="75" s="1"/>
  <c r="D123" i="75"/>
  <c r="E123" i="75" s="1"/>
  <c r="F123" i="75" s="1"/>
  <c r="G123" i="75" s="1"/>
  <c r="H123" i="75" s="1"/>
  <c r="D119" i="75"/>
  <c r="E119" i="75" s="1"/>
  <c r="F119" i="75" s="1"/>
  <c r="G119" i="75" s="1"/>
  <c r="H119" i="75" s="1"/>
  <c r="D120" i="75"/>
  <c r="E120" i="75" s="1"/>
  <c r="F120" i="75" s="1"/>
  <c r="G120" i="75" s="1"/>
  <c r="H120" i="75" s="1"/>
  <c r="D26" i="75"/>
  <c r="C25" i="75" s="1"/>
  <c r="G21" i="75"/>
  <c r="C20" i="75" s="1"/>
  <c r="C5" i="75" s="1"/>
  <c r="T12" i="75" l="1"/>
  <c r="V12" i="75" s="1"/>
  <c r="T11" i="75"/>
  <c r="V11" i="75" s="1"/>
  <c r="T7" i="75"/>
  <c r="V7" i="75" s="1"/>
  <c r="T2" i="75"/>
  <c r="V2" i="75" s="1"/>
  <c r="T15" i="75"/>
  <c r="V15" i="75" s="1"/>
  <c r="T13" i="75"/>
  <c r="V13" i="75" s="1"/>
  <c r="T8" i="75"/>
  <c r="V8" i="75" s="1"/>
  <c r="T6" i="75"/>
  <c r="V6" i="75" s="1"/>
  <c r="T3" i="75"/>
  <c r="V3" i="75" s="1"/>
  <c r="T9" i="75"/>
  <c r="V9" i="75" s="1"/>
  <c r="T10" i="75"/>
  <c r="V10" i="75" s="1"/>
  <c r="T4" i="75"/>
  <c r="V4" i="75" s="1"/>
  <c r="C33" i="75"/>
  <c r="E2" i="74" s="1"/>
  <c r="T16" i="75"/>
  <c r="V16" i="75" s="1"/>
  <c r="T14" i="75"/>
  <c r="V14" i="75" s="1"/>
  <c r="T5" i="75"/>
  <c r="V5" i="75" s="1"/>
  <c r="D5" i="75"/>
  <c r="C42" i="75" l="1"/>
  <c r="C41" i="75"/>
  <c r="C40" i="75"/>
  <c r="C39" i="75"/>
  <c r="C38" i="75"/>
  <c r="C37" i="75"/>
  <c r="C34" i="75"/>
  <c r="E34" i="75" s="1"/>
  <c r="E33" i="75"/>
  <c r="E40" i="75" l="1"/>
  <c r="G40" i="75"/>
  <c r="I40" i="75" s="1"/>
  <c r="G39" i="75"/>
  <c r="I39" i="75" s="1"/>
  <c r="E39" i="75"/>
  <c r="E37" i="75"/>
  <c r="G37" i="75"/>
  <c r="I37" i="75" s="1"/>
  <c r="G41" i="75"/>
  <c r="I41" i="75" s="1"/>
  <c r="E41" i="75"/>
  <c r="E38" i="75"/>
  <c r="G38" i="75"/>
  <c r="I38" i="75" s="1"/>
  <c r="E42" i="75"/>
  <c r="G42" i="75"/>
  <c r="I42" i="75" s="1"/>
  <c r="C31" i="75" l="1"/>
  <c r="C30" i="75"/>
  <c r="B2" i="75" s="1"/>
  <c r="B4" i="75" s="1"/>
  <c r="B3" i="75" l="1"/>
  <c r="D4" i="75"/>
  <c r="F5" i="74" l="1"/>
  <c r="F4" i="74"/>
  <c r="F3" i="74" l="1"/>
  <c r="F2" i="74" l="1"/>
  <c r="P57" i="72" l="1"/>
  <c r="P41" i="72"/>
  <c r="N57" i="72"/>
  <c r="L57" i="72"/>
  <c r="N41" i="72"/>
  <c r="L41" i="72"/>
  <c r="F117" i="73"/>
  <c r="N112" i="73"/>
  <c r="N113" i="73" s="1"/>
  <c r="M112" i="73"/>
  <c r="M113" i="73" s="1"/>
  <c r="L112" i="73"/>
  <c r="L113" i="73" s="1"/>
  <c r="K112" i="73"/>
  <c r="K113" i="73" s="1"/>
  <c r="J112" i="73"/>
  <c r="J113" i="73" s="1"/>
  <c r="I112" i="73"/>
  <c r="I113" i="73" s="1"/>
  <c r="H112" i="73"/>
  <c r="H113" i="73" s="1"/>
  <c r="G112" i="73"/>
  <c r="G113" i="73" s="1"/>
  <c r="F112" i="73"/>
  <c r="F113" i="73" s="1"/>
  <c r="E112" i="73"/>
  <c r="E113" i="73" s="1"/>
  <c r="D112" i="73"/>
  <c r="D113" i="73" s="1"/>
  <c r="C112" i="73"/>
  <c r="C113" i="73" s="1"/>
  <c r="M101" i="73"/>
  <c r="N101" i="73" s="1"/>
  <c r="K101" i="73"/>
  <c r="J101" i="73"/>
  <c r="D101" i="73"/>
  <c r="B101" i="73"/>
  <c r="N100" i="73"/>
  <c r="M100" i="73"/>
  <c r="K100" i="73"/>
  <c r="J100" i="73"/>
  <c r="D100" i="73"/>
  <c r="B100" i="73"/>
  <c r="M99" i="73"/>
  <c r="N99" i="73" s="1"/>
  <c r="K99" i="73"/>
  <c r="J99" i="73"/>
  <c r="D99" i="73"/>
  <c r="B99" i="73"/>
  <c r="M98" i="73"/>
  <c r="N98" i="73" s="1"/>
  <c r="K98" i="73"/>
  <c r="J98" i="73" s="1"/>
  <c r="D98" i="73"/>
  <c r="N97" i="73"/>
  <c r="M97" i="73"/>
  <c r="K97" i="73"/>
  <c r="J97" i="73"/>
  <c r="D97" i="73"/>
  <c r="B97" i="73"/>
  <c r="M96" i="73"/>
  <c r="N96" i="73" s="1"/>
  <c r="K96" i="73"/>
  <c r="J96" i="73" s="1"/>
  <c r="D96" i="73"/>
  <c r="N95" i="73"/>
  <c r="M95" i="73"/>
  <c r="K95" i="73"/>
  <c r="J95" i="73"/>
  <c r="D95" i="73"/>
  <c r="B95" i="73"/>
  <c r="N94" i="73"/>
  <c r="M94" i="73"/>
  <c r="K94" i="73"/>
  <c r="J94" i="73"/>
  <c r="D94" i="73"/>
  <c r="B94" i="73"/>
  <c r="M93" i="73"/>
  <c r="N93" i="73" s="1"/>
  <c r="K93" i="73"/>
  <c r="J93" i="73" s="1"/>
  <c r="F93" i="73"/>
  <c r="D93" i="73"/>
  <c r="N90" i="73"/>
  <c r="M90" i="73"/>
  <c r="K90" i="73"/>
  <c r="J90" i="73"/>
  <c r="D90" i="73"/>
  <c r="B90" i="73"/>
  <c r="M89" i="73"/>
  <c r="N89" i="73" s="1"/>
  <c r="K89" i="73"/>
  <c r="J89" i="73" s="1"/>
  <c r="D89" i="73"/>
  <c r="N88" i="73"/>
  <c r="M88" i="73"/>
  <c r="K88" i="73"/>
  <c r="J88" i="73"/>
  <c r="D88" i="73"/>
  <c r="B88" i="73"/>
  <c r="N87" i="73"/>
  <c r="M87" i="73"/>
  <c r="K87" i="73"/>
  <c r="J87" i="73"/>
  <c r="D87" i="73"/>
  <c r="B87" i="73"/>
  <c r="M86" i="73"/>
  <c r="N86" i="73" s="1"/>
  <c r="K86" i="73"/>
  <c r="J86" i="73" s="1"/>
  <c r="D86" i="73"/>
  <c r="B86" i="73"/>
  <c r="M85" i="73"/>
  <c r="N85" i="73" s="1"/>
  <c r="K85" i="73"/>
  <c r="J85" i="73" s="1"/>
  <c r="D85" i="73"/>
  <c r="B85" i="73"/>
  <c r="N84" i="73"/>
  <c r="M84" i="73"/>
  <c r="K84" i="73"/>
  <c r="J84" i="73"/>
  <c r="D84" i="73"/>
  <c r="B84" i="73"/>
  <c r="N83" i="73"/>
  <c r="M83" i="73"/>
  <c r="K83" i="73"/>
  <c r="J83" i="73"/>
  <c r="F83" i="73"/>
  <c r="H88" i="73" s="1"/>
  <c r="D83" i="73"/>
  <c r="B83" i="73"/>
  <c r="M80" i="73"/>
  <c r="N80" i="73" s="1"/>
  <c r="K80" i="73"/>
  <c r="J80" i="73" s="1"/>
  <c r="D80" i="73"/>
  <c r="N79" i="73"/>
  <c r="M79" i="73"/>
  <c r="K79" i="73"/>
  <c r="J79" i="73"/>
  <c r="D79" i="73"/>
  <c r="B79" i="73"/>
  <c r="M78" i="73"/>
  <c r="N78" i="73" s="1"/>
  <c r="K78" i="73"/>
  <c r="J78" i="73" s="1"/>
  <c r="D78" i="73"/>
  <c r="N77" i="73"/>
  <c r="M77" i="73"/>
  <c r="K77" i="73"/>
  <c r="J77" i="73"/>
  <c r="D77" i="73"/>
  <c r="B77" i="73"/>
  <c r="N76" i="73"/>
  <c r="M76" i="73"/>
  <c r="K76" i="73"/>
  <c r="J76" i="73"/>
  <c r="D76" i="73"/>
  <c r="B76" i="73"/>
  <c r="M75" i="73"/>
  <c r="N75" i="73" s="1"/>
  <c r="K75" i="73"/>
  <c r="J75" i="73" s="1"/>
  <c r="D75" i="73"/>
  <c r="B75" i="73"/>
  <c r="M74" i="73"/>
  <c r="N74" i="73" s="1"/>
  <c r="K74" i="73"/>
  <c r="J74" i="73" s="1"/>
  <c r="D74" i="73"/>
  <c r="B74" i="73"/>
  <c r="N73" i="73"/>
  <c r="M73" i="73"/>
  <c r="K73" i="73"/>
  <c r="J73" i="73"/>
  <c r="D73" i="73"/>
  <c r="B73" i="73"/>
  <c r="N72" i="73"/>
  <c r="M72" i="73"/>
  <c r="K72" i="73"/>
  <c r="J72" i="73"/>
  <c r="F72" i="73"/>
  <c r="H77" i="73" s="1"/>
  <c r="D72" i="73"/>
  <c r="E72" i="73" s="1"/>
  <c r="B70" i="73" s="1"/>
  <c r="B72" i="73"/>
  <c r="M69" i="73"/>
  <c r="N69" i="73" s="1"/>
  <c r="K69" i="73"/>
  <c r="J69" i="73" s="1"/>
  <c r="D69" i="73"/>
  <c r="B69" i="73"/>
  <c r="M68" i="73"/>
  <c r="N68" i="73" s="1"/>
  <c r="K68" i="73"/>
  <c r="J68" i="73"/>
  <c r="D68" i="73"/>
  <c r="B68" i="73"/>
  <c r="N67" i="73"/>
  <c r="M67" i="73"/>
  <c r="K67" i="73"/>
  <c r="J67" i="73"/>
  <c r="D67" i="73"/>
  <c r="B67" i="73"/>
  <c r="M66" i="73"/>
  <c r="N66" i="73" s="1"/>
  <c r="K66" i="73"/>
  <c r="J66" i="73"/>
  <c r="D66" i="73"/>
  <c r="M65" i="73"/>
  <c r="N65" i="73" s="1"/>
  <c r="K65" i="73"/>
  <c r="J65" i="73" s="1"/>
  <c r="D65" i="73"/>
  <c r="B65" i="73"/>
  <c r="N64" i="73"/>
  <c r="M64" i="73"/>
  <c r="K64" i="73"/>
  <c r="J64" i="73"/>
  <c r="D64" i="73"/>
  <c r="M63" i="73"/>
  <c r="N63" i="73" s="1"/>
  <c r="K63" i="73"/>
  <c r="J63" i="73" s="1"/>
  <c r="D63" i="73"/>
  <c r="B63" i="73"/>
  <c r="M62" i="73"/>
  <c r="N62" i="73" s="1"/>
  <c r="K62" i="73"/>
  <c r="J62" i="73"/>
  <c r="D62" i="73"/>
  <c r="B62" i="73"/>
  <c r="N61" i="73"/>
  <c r="M61" i="73"/>
  <c r="K61" i="73"/>
  <c r="J61" i="73"/>
  <c r="D61" i="73"/>
  <c r="B61" i="73"/>
  <c r="M58" i="73"/>
  <c r="N58" i="73" s="1"/>
  <c r="K58" i="73"/>
  <c r="J58" i="73" s="1"/>
  <c r="D58" i="73" s="1"/>
  <c r="B58" i="73"/>
  <c r="M57" i="73"/>
  <c r="N57" i="73" s="1"/>
  <c r="K57" i="73"/>
  <c r="J57" i="73" s="1"/>
  <c r="D57" i="73" s="1"/>
  <c r="B57" i="73"/>
  <c r="N56" i="73"/>
  <c r="M56" i="73"/>
  <c r="K56" i="73"/>
  <c r="D56" i="73" s="1"/>
  <c r="J56" i="73"/>
  <c r="B56" i="73"/>
  <c r="M55" i="73"/>
  <c r="N55" i="73" s="1"/>
  <c r="K55" i="73"/>
  <c r="J55" i="73"/>
  <c r="D55" i="73"/>
  <c r="M54" i="73"/>
  <c r="N54" i="73" s="1"/>
  <c r="K54" i="73"/>
  <c r="D54" i="73" s="1"/>
  <c r="B54" i="73"/>
  <c r="N53" i="73"/>
  <c r="M53" i="73"/>
  <c r="K53" i="73"/>
  <c r="D53" i="73" s="1"/>
  <c r="J53" i="73"/>
  <c r="M52" i="73"/>
  <c r="N52" i="73" s="1"/>
  <c r="K52" i="73"/>
  <c r="J52" i="73" s="1"/>
  <c r="D52" i="73"/>
  <c r="B52" i="73"/>
  <c r="M51" i="73"/>
  <c r="N51" i="73" s="1"/>
  <c r="K51" i="73"/>
  <c r="J51" i="73"/>
  <c r="D51" i="73"/>
  <c r="B51" i="73"/>
  <c r="N50" i="73"/>
  <c r="M50" i="73"/>
  <c r="K50" i="73"/>
  <c r="J50" i="73"/>
  <c r="D50" i="73"/>
  <c r="B50" i="73"/>
  <c r="H42" i="73"/>
  <c r="H41" i="73"/>
  <c r="H40" i="73"/>
  <c r="H39" i="73"/>
  <c r="H38" i="73"/>
  <c r="H37" i="73"/>
  <c r="Q32" i="73"/>
  <c r="O32" i="73"/>
  <c r="N32" i="73"/>
  <c r="M32" i="73"/>
  <c r="P29" i="73"/>
  <c r="P28" i="73"/>
  <c r="P26" i="73"/>
  <c r="P25" i="73"/>
  <c r="J24" i="73"/>
  <c r="I24" i="73"/>
  <c r="G24" i="73"/>
  <c r="I18" i="73" s="1"/>
  <c r="E24" i="73"/>
  <c r="P32" i="73" s="1"/>
  <c r="O23" i="73"/>
  <c r="M23" i="73"/>
  <c r="I23" i="73"/>
  <c r="G23" i="73"/>
  <c r="M24" i="73" s="1"/>
  <c r="C23" i="73"/>
  <c r="C22" i="73"/>
  <c r="G19" i="73"/>
  <c r="G17" i="73" s="1"/>
  <c r="C13" i="73"/>
  <c r="AJ10" i="73"/>
  <c r="AI10" i="73"/>
  <c r="AF10" i="73"/>
  <c r="AE10" i="73"/>
  <c r="AB10" i="73"/>
  <c r="AA10" i="73"/>
  <c r="Y10" i="73"/>
  <c r="C10" i="73"/>
  <c r="C11" i="73" s="1"/>
  <c r="E11" i="73" s="1"/>
  <c r="AJ9" i="73"/>
  <c r="AI9" i="73"/>
  <c r="AH9" i="73"/>
  <c r="AH10" i="73" s="1"/>
  <c r="AG9" i="73"/>
  <c r="AG10" i="73" s="1"/>
  <c r="AF9" i="73"/>
  <c r="AE9" i="73"/>
  <c r="AD9" i="73"/>
  <c r="AD10" i="73" s="1"/>
  <c r="AC9" i="73"/>
  <c r="AC10" i="73" s="1"/>
  <c r="AB9" i="73"/>
  <c r="AA9" i="73"/>
  <c r="Z9" i="73"/>
  <c r="Z10" i="73" s="1"/>
  <c r="C9" i="73"/>
  <c r="C7" i="73"/>
  <c r="N5" i="73"/>
  <c r="G3" i="73"/>
  <c r="G26" i="73" s="1"/>
  <c r="I2" i="73"/>
  <c r="M11" i="73" s="1"/>
  <c r="G2" i="73"/>
  <c r="F37" i="73" s="1"/>
  <c r="D1" i="73"/>
  <c r="G19" i="46"/>
  <c r="N7" i="73" l="1"/>
  <c r="H86" i="73"/>
  <c r="N12" i="73"/>
  <c r="H87" i="73"/>
  <c r="H89" i="73"/>
  <c r="H79" i="73"/>
  <c r="N3" i="73"/>
  <c r="N6" i="73"/>
  <c r="N8" i="73"/>
  <c r="H72" i="73"/>
  <c r="M1" i="73"/>
  <c r="M2" i="73"/>
  <c r="M4" i="73"/>
  <c r="G18" i="73"/>
  <c r="H75" i="73"/>
  <c r="H90" i="73"/>
  <c r="N1" i="73"/>
  <c r="N2" i="73"/>
  <c r="M5" i="73"/>
  <c r="M7" i="73"/>
  <c r="M9" i="73"/>
  <c r="N11" i="73"/>
  <c r="H76" i="73"/>
  <c r="H78" i="73"/>
  <c r="H83" i="73"/>
  <c r="S2" i="73"/>
  <c r="S4" i="73"/>
  <c r="E9" i="73"/>
  <c r="H21" i="73"/>
  <c r="F26" i="73"/>
  <c r="H117" i="73"/>
  <c r="F41" i="73"/>
  <c r="F39" i="73"/>
  <c r="O21" i="73"/>
  <c r="K21" i="73"/>
  <c r="N21" i="73"/>
  <c r="J21" i="73"/>
  <c r="E21" i="73"/>
  <c r="S3" i="73"/>
  <c r="S6" i="73"/>
  <c r="X7" i="73"/>
  <c r="I21" i="73"/>
  <c r="F42" i="73"/>
  <c r="E93" i="73"/>
  <c r="B91" i="73" s="1"/>
  <c r="J26" i="73"/>
  <c r="E26" i="73"/>
  <c r="H26" i="73"/>
  <c r="C6" i="73"/>
  <c r="Z7" i="73"/>
  <c r="C21" i="73"/>
  <c r="L21" i="73"/>
  <c r="F40" i="73"/>
  <c r="E50" i="73"/>
  <c r="B48" i="73" s="1"/>
  <c r="C28" i="73" s="1"/>
  <c r="H101" i="73"/>
  <c r="H95" i="73"/>
  <c r="H98" i="73"/>
  <c r="H99" i="73"/>
  <c r="H96" i="73"/>
  <c r="H93" i="73"/>
  <c r="H100" i="73"/>
  <c r="N10" i="73"/>
  <c r="M8" i="73"/>
  <c r="M10" i="73"/>
  <c r="N9" i="73"/>
  <c r="M3" i="73"/>
  <c r="N4" i="73"/>
  <c r="F50" i="73" s="1"/>
  <c r="S5" i="73"/>
  <c r="M6" i="73"/>
  <c r="E8" i="73"/>
  <c r="E10" i="73"/>
  <c r="M12" i="73"/>
  <c r="E17" i="73"/>
  <c r="C17" i="73" s="1"/>
  <c r="D21" i="73"/>
  <c r="M21" i="73"/>
  <c r="E44" i="73"/>
  <c r="C44" i="73" s="1"/>
  <c r="C24" i="73"/>
  <c r="C27" i="73"/>
  <c r="F38" i="73"/>
  <c r="J54" i="73"/>
  <c r="E61" i="73"/>
  <c r="B59" i="73" s="1"/>
  <c r="E83" i="73"/>
  <c r="B81" i="73" s="1"/>
  <c r="H94" i="73"/>
  <c r="H97" i="73"/>
  <c r="B117" i="73"/>
  <c r="P27" i="73"/>
  <c r="H74" i="73"/>
  <c r="H80" i="73"/>
  <c r="H85" i="73"/>
  <c r="H73" i="73"/>
  <c r="H84" i="73"/>
  <c r="AB28" i="70"/>
  <c r="AA28" i="70"/>
  <c r="Z28" i="70"/>
  <c r="N28" i="70"/>
  <c r="M28" i="70"/>
  <c r="P28" i="70" s="1"/>
  <c r="L28" i="70"/>
  <c r="I28" i="70"/>
  <c r="AD28" i="70" s="1"/>
  <c r="AC5" i="70"/>
  <c r="AB5" i="70"/>
  <c r="AA5" i="70"/>
  <c r="AD5" i="70" s="1"/>
  <c r="Z5" i="70"/>
  <c r="Y5" i="70"/>
  <c r="O5" i="70"/>
  <c r="N5" i="70"/>
  <c r="M5" i="70"/>
  <c r="P5" i="70" s="1"/>
  <c r="L5" i="70"/>
  <c r="K5" i="70"/>
  <c r="I5" i="70"/>
  <c r="F61" i="73" l="1"/>
  <c r="H57" i="73"/>
  <c r="H54" i="73"/>
  <c r="H51" i="73"/>
  <c r="H58" i="73"/>
  <c r="H52" i="73"/>
  <c r="H55" i="73"/>
  <c r="H50" i="73"/>
  <c r="H56" i="73"/>
  <c r="H53" i="73"/>
  <c r="G21" i="73"/>
  <c r="C20" i="73" s="1"/>
  <c r="C5" i="73" s="1"/>
  <c r="D26" i="73"/>
  <c r="C25" i="73" s="1"/>
  <c r="I123" i="73"/>
  <c r="J123" i="73" s="1"/>
  <c r="K123" i="73" s="1"/>
  <c r="L123" i="73" s="1"/>
  <c r="M123" i="73" s="1"/>
  <c r="I122" i="73"/>
  <c r="J122" i="73" s="1"/>
  <c r="K122" i="73" s="1"/>
  <c r="L122" i="73" s="1"/>
  <c r="M122" i="73" s="1"/>
  <c r="I121" i="73"/>
  <c r="J121" i="73" s="1"/>
  <c r="K121" i="73" s="1"/>
  <c r="L121" i="73" s="1"/>
  <c r="M121" i="73" s="1"/>
  <c r="I120" i="73"/>
  <c r="J120" i="73" s="1"/>
  <c r="K120" i="73" s="1"/>
  <c r="L120" i="73" s="1"/>
  <c r="M120" i="73" s="1"/>
  <c r="I119" i="73"/>
  <c r="J119" i="73" s="1"/>
  <c r="K119" i="73" s="1"/>
  <c r="L119" i="73" s="1"/>
  <c r="M119" i="73" s="1"/>
  <c r="D123" i="73"/>
  <c r="E123" i="73" s="1"/>
  <c r="F123" i="73" s="1"/>
  <c r="G123" i="73" s="1"/>
  <c r="H123" i="73" s="1"/>
  <c r="D122" i="73"/>
  <c r="E122" i="73" s="1"/>
  <c r="F122" i="73" s="1"/>
  <c r="D121" i="73"/>
  <c r="E121" i="73" s="1"/>
  <c r="F121" i="73" s="1"/>
  <c r="G121" i="73" s="1"/>
  <c r="H121" i="73" s="1"/>
  <c r="D120" i="73"/>
  <c r="E120" i="73" s="1"/>
  <c r="F120" i="73" s="1"/>
  <c r="G120" i="73" s="1"/>
  <c r="H120" i="73" s="1"/>
  <c r="D119" i="73"/>
  <c r="E119" i="73" s="1"/>
  <c r="F119" i="73" s="1"/>
  <c r="G119" i="73" s="1"/>
  <c r="H119" i="73" s="1"/>
  <c r="G122" i="73"/>
  <c r="H122" i="73" s="1"/>
  <c r="D117" i="73"/>
  <c r="B121" i="73"/>
  <c r="C121" i="73" s="1"/>
  <c r="B122" i="73"/>
  <c r="C122" i="73" s="1"/>
  <c r="B123" i="73"/>
  <c r="C123" i="73" s="1"/>
  <c r="B119" i="73"/>
  <c r="C119" i="73" s="1"/>
  <c r="B120" i="73"/>
  <c r="C120" i="73" s="1"/>
  <c r="AB30" i="70"/>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H68" i="73" l="1"/>
  <c r="H67" i="73"/>
  <c r="H64" i="73"/>
  <c r="H66" i="73"/>
  <c r="H61" i="73"/>
  <c r="H69" i="73"/>
  <c r="H62" i="73"/>
  <c r="H65" i="73"/>
  <c r="H63" i="73"/>
  <c r="T16" i="73"/>
  <c r="V16" i="73" s="1"/>
  <c r="T14" i="73"/>
  <c r="V14" i="73" s="1"/>
  <c r="T9" i="73"/>
  <c r="V9" i="73" s="1"/>
  <c r="T12" i="73"/>
  <c r="V12" i="73" s="1"/>
  <c r="T11" i="73"/>
  <c r="V11" i="73" s="1"/>
  <c r="T7" i="73"/>
  <c r="V7" i="73" s="1"/>
  <c r="T2" i="73"/>
  <c r="V2" i="73" s="1"/>
  <c r="T13" i="73"/>
  <c r="V13" i="73" s="1"/>
  <c r="C33" i="73"/>
  <c r="T6" i="73"/>
  <c r="V6" i="73" s="1"/>
  <c r="T3" i="73"/>
  <c r="V3" i="73" s="1"/>
  <c r="T8" i="73"/>
  <c r="V8" i="73" s="1"/>
  <c r="T4" i="73"/>
  <c r="V4" i="73" s="1"/>
  <c r="T15" i="73"/>
  <c r="V15" i="73" s="1"/>
  <c r="T10" i="73"/>
  <c r="V10" i="73" s="1"/>
  <c r="T5" i="73"/>
  <c r="V5" i="73" s="1"/>
  <c r="D5" i="73"/>
  <c r="P30" i="70"/>
  <c r="P31" i="70"/>
  <c r="G14" i="65"/>
  <c r="F14" i="65"/>
  <c r="E14" i="65"/>
  <c r="C42" i="73" l="1"/>
  <c r="C40" i="73"/>
  <c r="C38" i="73"/>
  <c r="C37" i="73"/>
  <c r="C39" i="73"/>
  <c r="C41" i="73"/>
  <c r="C34" i="73"/>
  <c r="E34" i="73" s="1"/>
  <c r="E33" i="73"/>
  <c r="Z32" i="70"/>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G38" i="73" l="1"/>
  <c r="I38" i="73" s="1"/>
  <c r="E38" i="73"/>
  <c r="E41" i="73"/>
  <c r="G41" i="73"/>
  <c r="I41" i="73" s="1"/>
  <c r="G40" i="73"/>
  <c r="I40" i="73" s="1"/>
  <c r="E40" i="73"/>
  <c r="E39" i="73"/>
  <c r="G39" i="73"/>
  <c r="I39" i="73" s="1"/>
  <c r="G42" i="73"/>
  <c r="I42" i="73" s="1"/>
  <c r="E42" i="73"/>
  <c r="C30" i="73"/>
  <c r="B2" i="73" s="1"/>
  <c r="G37" i="73"/>
  <c r="I37" i="73" s="1"/>
  <c r="C31" i="73" s="1"/>
  <c r="E37" i="73"/>
  <c r="P34" i="70"/>
  <c r="D4" i="73" l="1"/>
  <c r="B3" i="73"/>
  <c r="B4" i="73"/>
  <c r="B3" i="69"/>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U17" i="70" s="1"/>
  <c r="M17" i="70"/>
  <c r="P17" i="70" s="1"/>
  <c r="L17" i="70"/>
  <c r="K17" i="70"/>
  <c r="I17" i="70"/>
  <c r="O16" i="70"/>
  <c r="V16" i="70" s="1"/>
  <c r="N16" i="70"/>
  <c r="M16" i="70"/>
  <c r="L16" i="70"/>
  <c r="S16" i="70" s="1"/>
  <c r="K16" i="70"/>
  <c r="R16" i="70" s="1"/>
  <c r="I16" i="70"/>
  <c r="O15" i="70"/>
  <c r="N15" i="70"/>
  <c r="U15" i="70" s="1"/>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U5" i="70" s="1"/>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6" i="1" l="1"/>
  <c r="Z3"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E22" i="69"/>
  <c r="G22" i="69" s="1"/>
  <c r="F12" i="69"/>
  <c r="F11" i="69"/>
  <c r="C18" i="69" s="1"/>
  <c r="D7" i="69"/>
  <c r="D6" i="69"/>
  <c r="D5" i="69"/>
  <c r="C15" i="69" l="1"/>
  <c r="G24" i="69"/>
  <c r="G23"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X18" i="59" s="1"/>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c r="AG25" i="59"/>
  <c r="AH25" i="59"/>
  <c r="AD25" i="59"/>
  <c r="Q25" i="59"/>
  <c r="P25" i="59"/>
  <c r="E25" i="59" s="1"/>
  <c r="O25" i="59"/>
  <c r="N25" i="59"/>
  <c r="N26" i="59"/>
  <c r="Q26" i="59"/>
  <c r="P26" i="59"/>
  <c r="O26" i="59"/>
  <c r="K59" i="15"/>
  <c r="P75" i="15" s="1"/>
  <c r="P62"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B29" i="59"/>
  <c r="K75" i="9"/>
  <c r="K6" i="4"/>
  <c r="K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AB39" i="59"/>
  <c r="S2" i="31"/>
  <c r="M2" i="31"/>
  <c r="N2" i="31"/>
  <c r="O2" i="31"/>
  <c r="P2" i="31"/>
  <c r="Q2" i="31"/>
  <c r="R2" i="31"/>
  <c r="C25" i="59"/>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X25" i="59" s="1"/>
  <c r="D90" i="59"/>
  <c r="F89" i="59"/>
  <c r="E89" i="59"/>
  <c r="E88" i="59" s="1"/>
  <c r="E87" i="59"/>
  <c r="C89" i="59"/>
  <c r="D89" i="59"/>
  <c r="B89" i="59"/>
  <c r="F88" i="59"/>
  <c r="F87" i="59" s="1"/>
  <c r="B88" i="59"/>
  <c r="B87" i="59" s="1"/>
  <c r="D86" i="59"/>
  <c r="F85" i="59"/>
  <c r="F84" i="59" s="1"/>
  <c r="F83" i="59" s="1"/>
  <c r="E85" i="59"/>
  <c r="E84" i="59" s="1"/>
  <c r="E83" i="59"/>
  <c r="C85" i="59"/>
  <c r="D85" i="59"/>
  <c r="B85" i="59"/>
  <c r="B84" i="59"/>
  <c r="B83" i="59" s="1"/>
  <c r="D82" i="59"/>
  <c r="Q81" i="59"/>
  <c r="P81" i="59"/>
  <c r="O81" i="59"/>
  <c r="N81" i="59"/>
  <c r="F81" i="59"/>
  <c r="V81" i="59" s="1"/>
  <c r="E81" i="59"/>
  <c r="U81" i="59"/>
  <c r="C81" i="59"/>
  <c r="T81" i="59" s="1"/>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T77" i="59" s="1"/>
  <c r="B77" i="59"/>
  <c r="S77" i="59"/>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F68" i="59"/>
  <c r="F67" i="59" s="1"/>
  <c r="D66" i="59"/>
  <c r="Q65" i="59"/>
  <c r="P65" i="59"/>
  <c r="O65" i="59"/>
  <c r="N65" i="59"/>
  <c r="Q64" i="59"/>
  <c r="P64" i="59"/>
  <c r="O64" i="59"/>
  <c r="N64" i="59"/>
  <c r="Q63" i="59"/>
  <c r="P63" i="59"/>
  <c r="O63" i="59"/>
  <c r="N63" i="59"/>
  <c r="B64" i="59" s="1"/>
  <c r="B65" i="59" s="1"/>
  <c r="S65" i="59" s="1"/>
  <c r="Q62" i="59"/>
  <c r="F63" i="59" s="1"/>
  <c r="P62" i="59"/>
  <c r="E63" i="59" s="1"/>
  <c r="E64" i="59" s="1"/>
  <c r="E65" i="59" s="1"/>
  <c r="U65" i="59" s="1"/>
  <c r="O62" i="59"/>
  <c r="C63" i="59" s="1"/>
  <c r="N62" i="59"/>
  <c r="B63" i="59"/>
  <c r="D62" i="59"/>
  <c r="Q61" i="59"/>
  <c r="P61" i="59"/>
  <c r="O61" i="59"/>
  <c r="N61" i="59"/>
  <c r="Q60" i="59"/>
  <c r="P60" i="59"/>
  <c r="O60" i="59"/>
  <c r="N60" i="59"/>
  <c r="Q59" i="59"/>
  <c r="P59" i="59"/>
  <c r="O59" i="59"/>
  <c r="N59" i="59"/>
  <c r="B60" i="59" s="1"/>
  <c r="B61" i="59" s="1"/>
  <c r="S61" i="59" s="1"/>
  <c r="Q58" i="59"/>
  <c r="F59" i="59"/>
  <c r="P58" i="59"/>
  <c r="E59" i="59"/>
  <c r="E60" i="59" s="1"/>
  <c r="E61" i="59" s="1"/>
  <c r="U61" i="59" s="1"/>
  <c r="O58" i="59"/>
  <c r="C59" i="59"/>
  <c r="C60" i="59" s="1"/>
  <c r="N58" i="59"/>
  <c r="B59" i="59" s="1"/>
  <c r="D58" i="59"/>
  <c r="Q57" i="59"/>
  <c r="P57" i="59"/>
  <c r="O57" i="59"/>
  <c r="N57" i="59"/>
  <c r="Q56" i="59"/>
  <c r="P56" i="59"/>
  <c r="O56" i="59"/>
  <c r="N56" i="59"/>
  <c r="Q55" i="59"/>
  <c r="P55" i="59"/>
  <c r="O55" i="59"/>
  <c r="C56" i="59" s="1"/>
  <c r="N55" i="59"/>
  <c r="Q54" i="59"/>
  <c r="F55" i="59" s="1"/>
  <c r="F56" i="59" s="1"/>
  <c r="F57" i="59" s="1"/>
  <c r="V57" i="59" s="1"/>
  <c r="P54" i="59"/>
  <c r="E55" i="59" s="1"/>
  <c r="E56" i="59" s="1"/>
  <c r="E57" i="59" s="1"/>
  <c r="U57" i="59" s="1"/>
  <c r="O54" i="59"/>
  <c r="C55" i="59"/>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c r="F48" i="59" s="1"/>
  <c r="F49" i="59" s="1"/>
  <c r="V49" i="59" s="1"/>
  <c r="P46" i="59"/>
  <c r="E47" i="59"/>
  <c r="E48" i="59" s="1"/>
  <c r="E49" i="59" s="1"/>
  <c r="U49" i="59" s="1"/>
  <c r="O46" i="59"/>
  <c r="C47" i="59"/>
  <c r="N46" i="59"/>
  <c r="B47" i="59" s="1"/>
  <c r="B48" i="59"/>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AB40" i="59"/>
  <c r="P40" i="59"/>
  <c r="O40" i="59"/>
  <c r="N40" i="59"/>
  <c r="X40" i="59" s="1"/>
  <c r="Q39" i="59"/>
  <c r="P39" i="59"/>
  <c r="AA39" i="59" s="1"/>
  <c r="O39" i="59"/>
  <c r="Y39" i="59" s="1"/>
  <c r="Z39" i="59" s="1"/>
  <c r="N39" i="59"/>
  <c r="Q38" i="59"/>
  <c r="AB38" i="59" s="1"/>
  <c r="F39" i="59"/>
  <c r="P38" i="59"/>
  <c r="AA38" i="59" s="1"/>
  <c r="O38" i="59"/>
  <c r="C39" i="59" s="1"/>
  <c r="N38" i="59"/>
  <c r="B39" i="59"/>
  <c r="B40" i="59" s="1"/>
  <c r="B41" i="59" s="1"/>
  <c r="S41" i="59" s="1"/>
  <c r="D38" i="59"/>
  <c r="Q37" i="59"/>
  <c r="P37" i="59"/>
  <c r="O37" i="59"/>
  <c r="N37" i="59"/>
  <c r="Q36" i="59"/>
  <c r="AB36" i="59" s="1"/>
  <c r="P36" i="59"/>
  <c r="O36" i="59"/>
  <c r="N36" i="59"/>
  <c r="Q35" i="59"/>
  <c r="AB35" i="59" s="1"/>
  <c r="P35" i="59"/>
  <c r="O35" i="59"/>
  <c r="Y29" i="59" s="1"/>
  <c r="Z29" i="59" s="1"/>
  <c r="N35" i="59"/>
  <c r="X35" i="59" s="1"/>
  <c r="Q34" i="59"/>
  <c r="P34" i="59"/>
  <c r="E35" i="59"/>
  <c r="E36" i="59" s="1"/>
  <c r="E37" i="59" s="1"/>
  <c r="U37" i="59" s="1"/>
  <c r="O34" i="59"/>
  <c r="C35" i="59"/>
  <c r="C36" i="59" s="1"/>
  <c r="N34" i="59"/>
  <c r="B35" i="59"/>
  <c r="B36" i="59" s="1"/>
  <c r="B37" i="59" s="1"/>
  <c r="S37" i="59" s="1"/>
  <c r="D34" i="59"/>
  <c r="Q33" i="59"/>
  <c r="AB33" i="59" s="1"/>
  <c r="P33" i="59"/>
  <c r="O33" i="59"/>
  <c r="N33" i="59"/>
  <c r="Q32" i="59"/>
  <c r="AB32" i="59" s="1"/>
  <c r="P32" i="59"/>
  <c r="AA32" i="59" s="1"/>
  <c r="O32" i="59"/>
  <c r="N32" i="59"/>
  <c r="Q31" i="59"/>
  <c r="AB31" i="59" s="1"/>
  <c r="P31" i="59"/>
  <c r="O31" i="59"/>
  <c r="N31" i="59"/>
  <c r="X31" i="59" s="1"/>
  <c r="Q30" i="59"/>
  <c r="AB30" i="59" s="1"/>
  <c r="P30" i="59"/>
  <c r="O30" i="59"/>
  <c r="Y30" i="59" s="1"/>
  <c r="Z30" i="59" s="1"/>
  <c r="C31" i="59"/>
  <c r="C32" i="59" s="1"/>
  <c r="N30" i="59"/>
  <c r="D30" i="59"/>
  <c r="X26" i="59"/>
  <c r="X29" i="59"/>
  <c r="AA27" i="59"/>
  <c r="AA29" i="59"/>
  <c r="Y27" i="59"/>
  <c r="Z27" i="59" s="1"/>
  <c r="E31" i="59"/>
  <c r="E32" i="59"/>
  <c r="E33" i="59" s="1"/>
  <c r="U33" i="59" s="1"/>
  <c r="S69" i="59"/>
  <c r="AA40" i="59"/>
  <c r="F40" i="59"/>
  <c r="F41" i="59" s="1"/>
  <c r="V41" i="59" s="1"/>
  <c r="F60" i="59"/>
  <c r="F61" i="59" s="1"/>
  <c r="V61" i="59" s="1"/>
  <c r="F64" i="59"/>
  <c r="F65" i="59"/>
  <c r="V65" i="59" s="1"/>
  <c r="C40" i="59"/>
  <c r="C41" i="59" s="1"/>
  <c r="D39" i="59"/>
  <c r="C44" i="59"/>
  <c r="D44" i="59" s="1"/>
  <c r="D43" i="59"/>
  <c r="C48" i="59"/>
  <c r="D48" i="59" s="1"/>
  <c r="D47" i="59"/>
  <c r="C52" i="59"/>
  <c r="D51" i="59"/>
  <c r="D55" i="59"/>
  <c r="D59" i="59"/>
  <c r="D35" i="59"/>
  <c r="Q68" i="59"/>
  <c r="T69" i="59"/>
  <c r="O69" i="59"/>
  <c r="D69" i="59"/>
  <c r="C68" i="59"/>
  <c r="C67" i="59" s="1"/>
  <c r="U69" i="59"/>
  <c r="Q69" i="59"/>
  <c r="C72" i="59"/>
  <c r="C71" i="59" s="1"/>
  <c r="D71" i="59" s="1"/>
  <c r="E72" i="59"/>
  <c r="E71" i="59"/>
  <c r="D73" i="59"/>
  <c r="C76" i="59"/>
  <c r="C75" i="59" s="1"/>
  <c r="D75" i="59" s="1"/>
  <c r="D77" i="59"/>
  <c r="C80" i="59"/>
  <c r="C79" i="59" s="1"/>
  <c r="D79" i="59" s="1"/>
  <c r="E80" i="59"/>
  <c r="E79" i="59"/>
  <c r="D81" i="59"/>
  <c r="C84" i="59"/>
  <c r="D84" i="59" s="1"/>
  <c r="C88" i="59"/>
  <c r="C87" i="59" s="1"/>
  <c r="D87" i="59" s="1"/>
  <c r="U16" i="4"/>
  <c r="S16" i="4"/>
  <c r="Q16" i="4"/>
  <c r="P16" i="4" s="1"/>
  <c r="O16" i="4"/>
  <c r="M16" i="4"/>
  <c r="K16" i="4"/>
  <c r="D88" i="59"/>
  <c r="D72" i="59"/>
  <c r="O68" i="59"/>
  <c r="C53" i="59"/>
  <c r="D53" i="59" s="1"/>
  <c r="D52" i="59"/>
  <c r="C45" i="59"/>
  <c r="D45" i="59" s="1"/>
  <c r="T45" i="59"/>
  <c r="T53"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AA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B88" i="46" s="1"/>
  <c r="C22" i="20"/>
  <c r="B100" i="46" s="1"/>
  <c r="B68" i="46"/>
  <c r="S18" i="36"/>
  <c r="S21" i="21"/>
  <c r="C31" i="39"/>
  <c r="B57" i="46"/>
  <c r="B77" i="46"/>
  <c r="E66" i="36"/>
  <c r="H18" i="35"/>
  <c r="J18" i="35"/>
  <c r="H21" i="37"/>
  <c r="J21" i="37"/>
  <c r="E84" i="34"/>
  <c r="F84" i="34" s="1"/>
  <c r="G84" i="34" s="1"/>
  <c r="J21" i="34"/>
  <c r="H21" i="34"/>
  <c r="F21" i="33"/>
  <c r="H21" i="33"/>
  <c r="J21" i="33"/>
  <c r="F83" i="21"/>
  <c r="G83" i="21" s="1"/>
  <c r="H21" i="21"/>
  <c r="J21" i="21"/>
  <c r="H27" i="40"/>
  <c r="H31" i="39"/>
  <c r="F23" i="15"/>
  <c r="D22" i="15" s="1"/>
  <c r="G17" i="11"/>
  <c r="F15" i="15"/>
  <c r="F17" i="15"/>
  <c r="F18" i="15"/>
  <c r="F20" i="15"/>
  <c r="F21" i="15"/>
  <c r="F33" i="15"/>
  <c r="F60" i="15" s="1"/>
  <c r="K2" i="4"/>
  <c r="A4" i="64"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s="1"/>
  <c r="K75" i="46"/>
  <c r="J75" i="46"/>
  <c r="D75" i="46"/>
  <c r="M74" i="46"/>
  <c r="N74" i="46" s="1"/>
  <c r="K74" i="46"/>
  <c r="J74" i="46" s="1"/>
  <c r="M73" i="46"/>
  <c r="N73" i="46" s="1"/>
  <c r="K73" i="46"/>
  <c r="J73" i="46" s="1"/>
  <c r="D73" i="46"/>
  <c r="M72" i="46"/>
  <c r="N72" i="46"/>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AZ105" i="3" s="1"/>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L95" i="3" s="1"/>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A93" i="3" s="1"/>
  <c r="AZ93" i="3" s="1"/>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A89" i="3" s="1"/>
  <c r="AZ89" i="3" s="1"/>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A186" i="3" s="1"/>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A264" i="3" s="1"/>
  <c r="AZ264" i="3" s="1"/>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A256" i="3" s="1"/>
  <c r="AZ256" i="3" s="1"/>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A211" i="3" s="1"/>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G14" i="3" s="1"/>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S31" i="35" s="1"/>
  <c r="D87" i="35"/>
  <c r="E87" i="35" s="1"/>
  <c r="F87" i="35"/>
  <c r="G87" i="35" s="1"/>
  <c r="H87" i="35" s="1"/>
  <c r="I87" i="35" s="1"/>
  <c r="J87" i="35" s="1"/>
  <c r="K87" i="35" s="1"/>
  <c r="L87" i="35" s="1"/>
  <c r="M87" i="35" s="1"/>
  <c r="H34" i="37"/>
  <c r="D101" i="37"/>
  <c r="E101" i="37" s="1"/>
  <c r="F101" i="37" s="1"/>
  <c r="F34" i="37"/>
  <c r="D99" i="37"/>
  <c r="E99" i="37" s="1"/>
  <c r="H42" i="34"/>
  <c r="U42" i="34" s="1"/>
  <c r="J42" i="34"/>
  <c r="F42" i="34"/>
  <c r="S42" i="34" s="1"/>
  <c r="J38" i="34"/>
  <c r="AC38" i="34" s="1"/>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J38" i="37" s="1"/>
  <c r="C23" i="37"/>
  <c r="C19" i="37"/>
  <c r="C17" i="37"/>
  <c r="C15" i="37"/>
  <c r="B112" i="37"/>
  <c r="H40" i="37" s="1"/>
  <c r="D107" i="37"/>
  <c r="E107" i="37" s="1"/>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E89" i="37" s="1"/>
  <c r="B86" i="37"/>
  <c r="B84" i="37"/>
  <c r="H27" i="37" s="1"/>
  <c r="AB27" i="37" s="1"/>
  <c r="U27" i="37"/>
  <c r="B82" i="37"/>
  <c r="F26" i="37" s="1"/>
  <c r="AA26" i="37" s="1"/>
  <c r="D79" i="37"/>
  <c r="E79" i="37" s="1"/>
  <c r="D75" i="37"/>
  <c r="E75" i="37"/>
  <c r="F75" i="37" s="1"/>
  <c r="D73" i="37"/>
  <c r="E73" i="37"/>
  <c r="F73" i="37"/>
  <c r="G73" i="37" s="1"/>
  <c r="D71" i="37"/>
  <c r="E71" i="37"/>
  <c r="F71" i="37"/>
  <c r="G71" i="37" s="1"/>
  <c r="F15" i="37"/>
  <c r="AA15" i="37"/>
  <c r="B68" i="37"/>
  <c r="B66" i="37"/>
  <c r="B64" i="37"/>
  <c r="H12" i="37" s="1"/>
  <c r="D63" i="37"/>
  <c r="E63" i="37" s="1"/>
  <c r="F63" i="37" s="1"/>
  <c r="G63" i="37" s="1"/>
  <c r="H63" i="37"/>
  <c r="I63" i="37" s="1"/>
  <c r="J63" i="37" s="1"/>
  <c r="K63" i="37" s="1"/>
  <c r="L63" i="37" s="1"/>
  <c r="M63" i="37" s="1"/>
  <c r="M61" i="37"/>
  <c r="L61" i="37"/>
  <c r="K61" i="37"/>
  <c r="J61" i="37"/>
  <c r="I61" i="37"/>
  <c r="H61" i="37"/>
  <c r="G61" i="37"/>
  <c r="F61" i="37"/>
  <c r="E61" i="37"/>
  <c r="D61" i="37"/>
  <c r="C61" i="37"/>
  <c r="H10" i="37"/>
  <c r="U10" i="37" s="1"/>
  <c r="C57" i="37"/>
  <c r="H9" i="37" s="1"/>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Q30" i="37"/>
  <c r="Z30" i="37"/>
  <c r="J30" i="37"/>
  <c r="W30" i="37" s="1"/>
  <c r="H30" i="37"/>
  <c r="AB30" i="37"/>
  <c r="F30" i="37"/>
  <c r="Q29" i="37"/>
  <c r="Z29" i="37"/>
  <c r="H29" i="37"/>
  <c r="U29" i="37"/>
  <c r="Q28" i="37"/>
  <c r="Z28" i="37"/>
  <c r="Q27" i="37"/>
  <c r="Z27" i="37"/>
  <c r="Q26" i="37"/>
  <c r="Z26" i="37"/>
  <c r="J26" i="37"/>
  <c r="H26" i="37"/>
  <c r="AB26" i="37" s="1"/>
  <c r="Q25" i="37"/>
  <c r="Z25" i="37" s="1"/>
  <c r="Q23" i="37"/>
  <c r="Z23" i="37"/>
  <c r="Q19" i="37"/>
  <c r="Z19" i="37" s="1"/>
  <c r="Q17" i="37"/>
  <c r="Z17" i="37"/>
  <c r="Q15" i="37"/>
  <c r="Z15" i="37" s="1"/>
  <c r="Q14" i="37"/>
  <c r="Z14" i="37" s="1"/>
  <c r="Q13" i="37"/>
  <c r="Z13" i="37" s="1"/>
  <c r="Q12" i="37"/>
  <c r="Z12" i="37"/>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U29" i="36" s="1"/>
  <c r="AB29" i="36"/>
  <c r="D81" i="36"/>
  <c r="E81" i="36"/>
  <c r="F81" i="36" s="1"/>
  <c r="G81" i="36" s="1"/>
  <c r="H81" i="36" s="1"/>
  <c r="I81" i="36" s="1"/>
  <c r="J81" i="36" s="1"/>
  <c r="K81" i="36" s="1"/>
  <c r="L81" i="36" s="1"/>
  <c r="M81" i="36" s="1"/>
  <c r="F79" i="36"/>
  <c r="E79" i="36"/>
  <c r="D79" i="36"/>
  <c r="C79" i="36"/>
  <c r="B93" i="36"/>
  <c r="B91" i="36"/>
  <c r="F32" i="36" s="1"/>
  <c r="S32" i="36" s="1"/>
  <c r="B95" i="36"/>
  <c r="J34" i="36" s="1"/>
  <c r="AC34" i="36" s="1"/>
  <c r="D83" i="36"/>
  <c r="E83" i="36"/>
  <c r="F83" i="36"/>
  <c r="G83" i="36" s="1"/>
  <c r="H83" i="36" s="1"/>
  <c r="I83" i="36" s="1"/>
  <c r="J83" i="36" s="1"/>
  <c r="K83" i="36" s="1"/>
  <c r="L83" i="36" s="1"/>
  <c r="M83" i="36" s="1"/>
  <c r="D78" i="36"/>
  <c r="J26" i="36"/>
  <c r="W26" i="36" s="1"/>
  <c r="B75" i="36"/>
  <c r="B73" i="36"/>
  <c r="H24" i="36" s="1"/>
  <c r="AB24" i="36" s="1"/>
  <c r="J24" i="36"/>
  <c r="W24" i="36" s="1"/>
  <c r="B71" i="36"/>
  <c r="D70" i="36"/>
  <c r="H22" i="36"/>
  <c r="D68" i="36"/>
  <c r="E68" i="36" s="1"/>
  <c r="D64" i="36"/>
  <c r="E64" i="36" s="1"/>
  <c r="F64" i="36" s="1"/>
  <c r="G64" i="36"/>
  <c r="J16" i="36"/>
  <c r="D62" i="36"/>
  <c r="E62" i="36"/>
  <c r="B59" i="36"/>
  <c r="B57" i="36"/>
  <c r="B55" i="36"/>
  <c r="J11" i="36" s="1"/>
  <c r="W11" i="36" s="1"/>
  <c r="J10" i="36"/>
  <c r="W10" i="36" s="1"/>
  <c r="C51" i="36"/>
  <c r="F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s="1"/>
  <c r="H23" i="36"/>
  <c r="AB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c r="F8" i="36"/>
  <c r="AA8" i="36" s="1"/>
  <c r="D89" i="35"/>
  <c r="E89" i="35" s="1"/>
  <c r="H30" i="35"/>
  <c r="U30" i="35"/>
  <c r="M90" i="35"/>
  <c r="L90" i="35"/>
  <c r="K90" i="35"/>
  <c r="J90" i="35"/>
  <c r="I90" i="35"/>
  <c r="H90" i="35"/>
  <c r="G90" i="35"/>
  <c r="F90" i="35"/>
  <c r="E90" i="35"/>
  <c r="D90" i="35"/>
  <c r="C90" i="35"/>
  <c r="F85" i="35"/>
  <c r="E85" i="35"/>
  <c r="D85" i="35"/>
  <c r="C85" i="35"/>
  <c r="J27" i="35"/>
  <c r="H27" i="35"/>
  <c r="U27" i="35"/>
  <c r="F27" i="35"/>
  <c r="AA27" i="35" s="1"/>
  <c r="J22" i="35"/>
  <c r="AC22" i="35" s="1"/>
  <c r="B101" i="35"/>
  <c r="B99" i="35"/>
  <c r="F35" i="35" s="1"/>
  <c r="B97" i="35"/>
  <c r="J34" i="35" s="1"/>
  <c r="B77" i="35"/>
  <c r="B75" i="35"/>
  <c r="J24" i="35"/>
  <c r="AC24" i="35"/>
  <c r="B73" i="35"/>
  <c r="J23" i="35" s="1"/>
  <c r="B57" i="35"/>
  <c r="B61" i="35"/>
  <c r="J13" i="35" s="1"/>
  <c r="B59" i="35"/>
  <c r="B131" i="34"/>
  <c r="B129" i="34"/>
  <c r="B127" i="34"/>
  <c r="J45" i="34" s="1"/>
  <c r="W45" i="34" s="1"/>
  <c r="B99" i="34"/>
  <c r="B97" i="34"/>
  <c r="B95" i="34"/>
  <c r="B93" i="34"/>
  <c r="F29" i="34" s="1"/>
  <c r="B75" i="34"/>
  <c r="B73" i="34"/>
  <c r="B71" i="34"/>
  <c r="B130" i="33"/>
  <c r="B128" i="33"/>
  <c r="H45" i="33" s="1"/>
  <c r="U45" i="33"/>
  <c r="B126" i="33"/>
  <c r="B98" i="33"/>
  <c r="B96" i="33"/>
  <c r="B94" i="33"/>
  <c r="B74" i="33"/>
  <c r="B72" i="33"/>
  <c r="F13" i="33" s="1"/>
  <c r="B70" i="33"/>
  <c r="J12" i="33" s="1"/>
  <c r="W12" i="33" s="1"/>
  <c r="D96" i="35"/>
  <c r="E96" i="35" s="1"/>
  <c r="F96" i="35"/>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c r="C53" i="35"/>
  <c r="H9" i="35"/>
  <c r="AB9" i="35" s="1"/>
  <c r="P39" i="35"/>
  <c r="P38" i="35"/>
  <c r="V37" i="35"/>
  <c r="T37" i="35"/>
  <c r="R37" i="35"/>
  <c r="P37" i="35"/>
  <c r="Q36" i="35"/>
  <c r="Z36" i="35" s="1"/>
  <c r="J36" i="35"/>
  <c r="AC36" i="35" s="1"/>
  <c r="Q35" i="35"/>
  <c r="Z35" i="35"/>
  <c r="Q34" i="35"/>
  <c r="Z34" i="35" s="1"/>
  <c r="Q33" i="35"/>
  <c r="Z33" i="35" s="1"/>
  <c r="Q32" i="35"/>
  <c r="Z32" i="35" s="1"/>
  <c r="H32" i="35"/>
  <c r="AB32" i="35" s="1"/>
  <c r="F32" i="35"/>
  <c r="AA32" i="35"/>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c r="Q16" i="35"/>
  <c r="Z16" i="35" s="1"/>
  <c r="Q14" i="35"/>
  <c r="Z14" i="35"/>
  <c r="Q13" i="35"/>
  <c r="Z13" i="35" s="1"/>
  <c r="Q12" i="35"/>
  <c r="Z12" i="35"/>
  <c r="J12" i="35"/>
  <c r="W12" i="35" s="1"/>
  <c r="Q11" i="35"/>
  <c r="Z11" i="35"/>
  <c r="Q10" i="35"/>
  <c r="Z10" i="35"/>
  <c r="Q9" i="35"/>
  <c r="Z9" i="35"/>
  <c r="J9" i="35"/>
  <c r="W9" i="35"/>
  <c r="F9" i="35"/>
  <c r="AA9" i="35"/>
  <c r="J8" i="35"/>
  <c r="H8" i="35"/>
  <c r="F8" i="35"/>
  <c r="AA8" i="35"/>
  <c r="D120" i="34"/>
  <c r="E120" i="34"/>
  <c r="F120" i="34" s="1"/>
  <c r="G120" i="34"/>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c r="K124" i="34" s="1"/>
  <c r="L124" i="34" s="1"/>
  <c r="M124" i="34" s="1"/>
  <c r="J43" i="34"/>
  <c r="D118" i="34"/>
  <c r="E118" i="34"/>
  <c r="F118" i="34"/>
  <c r="G118" i="34" s="1"/>
  <c r="H40" i="34"/>
  <c r="U40" i="34"/>
  <c r="D116" i="34"/>
  <c r="E116" i="34" s="1"/>
  <c r="F116" i="34" s="1"/>
  <c r="G116" i="34"/>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J36" i="34"/>
  <c r="AC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AA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Q11" i="34"/>
  <c r="Z11" i="34" s="1"/>
  <c r="Q10" i="34"/>
  <c r="Z10" i="34" s="1"/>
  <c r="F10" i="34"/>
  <c r="S10" i="34" s="1"/>
  <c r="Q9" i="34"/>
  <c r="Z9" i="34"/>
  <c r="F9" i="34"/>
  <c r="AA9" i="34" s="1"/>
  <c r="J8" i="34"/>
  <c r="AC8" i="34"/>
  <c r="H8" i="34"/>
  <c r="U8" i="34" s="1"/>
  <c r="F8" i="34"/>
  <c r="AA8" i="34"/>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c r="G115" i="33" s="1"/>
  <c r="H115" i="33"/>
  <c r="I115" i="33" s="1"/>
  <c r="J115" i="33" s="1"/>
  <c r="K115" i="33" s="1"/>
  <c r="L115" i="33" s="1"/>
  <c r="M115" i="33" s="1"/>
  <c r="D108" i="33"/>
  <c r="E108" i="33" s="1"/>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c r="K101" i="33" s="1"/>
  <c r="L101" i="33" s="1"/>
  <c r="M101" i="33" s="1"/>
  <c r="B92" i="33"/>
  <c r="J28" i="33" s="1"/>
  <c r="AC28" i="33" s="1"/>
  <c r="B90" i="33"/>
  <c r="D87" i="33"/>
  <c r="E87" i="33" s="1"/>
  <c r="D85" i="33"/>
  <c r="E85" i="33" s="1"/>
  <c r="D81" i="33"/>
  <c r="E81" i="33"/>
  <c r="F81" i="33" s="1"/>
  <c r="G81" i="33" s="1"/>
  <c r="D79" i="33"/>
  <c r="E79" i="33" s="1"/>
  <c r="D77" i="33"/>
  <c r="E77" i="33" s="1"/>
  <c r="F77" i="33" s="1"/>
  <c r="G77" i="33" s="1"/>
  <c r="D69" i="33"/>
  <c r="E69" i="33" s="1"/>
  <c r="F69" i="33"/>
  <c r="G69" i="33" s="1"/>
  <c r="H69" i="33"/>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W40" i="33" s="1"/>
  <c r="AC40" i="33"/>
  <c r="H40" i="33"/>
  <c r="Q39" i="33"/>
  <c r="Z39" i="33" s="1"/>
  <c r="J39" i="33"/>
  <c r="AC39" i="33" s="1"/>
  <c r="Q38" i="33"/>
  <c r="Z38" i="33"/>
  <c r="J38" i="33"/>
  <c r="AC38" i="33" s="1"/>
  <c r="H38" i="33"/>
  <c r="AB38" i="33" s="1"/>
  <c r="F38" i="33"/>
  <c r="Q37" i="33"/>
  <c r="Z37" i="33"/>
  <c r="Q36" i="33"/>
  <c r="Z36" i="33" s="1"/>
  <c r="Q35" i="33"/>
  <c r="Z35" i="33" s="1"/>
  <c r="H35" i="33"/>
  <c r="AB35" i="33" s="1"/>
  <c r="Q34" i="33"/>
  <c r="Z34" i="33"/>
  <c r="Q33" i="33"/>
  <c r="Z33" i="33" s="1"/>
  <c r="J33" i="33"/>
  <c r="H33" i="33"/>
  <c r="AB33" i="33" s="1"/>
  <c r="F33" i="33"/>
  <c r="S33" i="33" s="1"/>
  <c r="AA33" i="33"/>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H12" i="33"/>
  <c r="U12" i="33" s="1"/>
  <c r="F12" i="33"/>
  <c r="Q11" i="33"/>
  <c r="Z11" i="33"/>
  <c r="Q10" i="33"/>
  <c r="Z10" i="33" s="1"/>
  <c r="Q9" i="33"/>
  <c r="Z9" i="33" s="1"/>
  <c r="J9" i="33"/>
  <c r="AC9" i="33" s="1"/>
  <c r="H9" i="33"/>
  <c r="U9" i="33" s="1"/>
  <c r="AB9" i="33"/>
  <c r="F9" i="33"/>
  <c r="AA9" i="33" s="1"/>
  <c r="J8" i="33"/>
  <c r="W8" i="33" s="1"/>
  <c r="H8" i="33"/>
  <c r="F8" i="33"/>
  <c r="M102" i="21"/>
  <c r="D102" i="21"/>
  <c r="E102" i="21"/>
  <c r="F102" i="21"/>
  <c r="G102" i="21"/>
  <c r="H102" i="21"/>
  <c r="I102" i="21"/>
  <c r="J102" i="21"/>
  <c r="K102" i="21"/>
  <c r="L102" i="21"/>
  <c r="C102" i="21"/>
  <c r="C63" i="21"/>
  <c r="F9" i="21"/>
  <c r="AA9" i="21" s="1"/>
  <c r="G18" i="20"/>
  <c r="B90" i="46" s="1"/>
  <c r="C25" i="40"/>
  <c r="G16" i="20"/>
  <c r="G15" i="20"/>
  <c r="B83" i="46" s="1"/>
  <c r="C24" i="20"/>
  <c r="B75" i="46" s="1"/>
  <c r="C21" i="20"/>
  <c r="C20" i="20"/>
  <c r="C18" i="20"/>
  <c r="C17" i="20"/>
  <c r="B61" i="46"/>
  <c r="C16" i="20"/>
  <c r="B50" i="46" s="1"/>
  <c r="C15" i="20"/>
  <c r="B72" i="46"/>
  <c r="E54" i="21"/>
  <c r="F54" i="21" s="1"/>
  <c r="I54" i="21"/>
  <c r="J54" i="21"/>
  <c r="G54" i="21"/>
  <c r="H54" i="21" s="1"/>
  <c r="D125" i="21"/>
  <c r="E125" i="21"/>
  <c r="D123" i="21"/>
  <c r="E123" i="21" s="1"/>
  <c r="F123" i="21" s="1"/>
  <c r="G123" i="21" s="1"/>
  <c r="H123" i="21" s="1"/>
  <c r="I123" i="21" s="1"/>
  <c r="J123" i="21" s="1"/>
  <c r="K123" i="21" s="1"/>
  <c r="L123" i="21" s="1"/>
  <c r="M123" i="21" s="1"/>
  <c r="H42" i="21"/>
  <c r="AB42" i="21"/>
  <c r="D119" i="21"/>
  <c r="D117" i="21"/>
  <c r="E117" i="21" s="1"/>
  <c r="F117" i="21"/>
  <c r="G117" i="21" s="1"/>
  <c r="D115" i="21"/>
  <c r="E115" i="21" s="1"/>
  <c r="F115" i="21" s="1"/>
  <c r="G115" i="21"/>
  <c r="H115" i="21" s="1"/>
  <c r="I115" i="21" s="1"/>
  <c r="J115" i="21" s="1"/>
  <c r="K115" i="21" s="1"/>
  <c r="L115" i="21" s="1"/>
  <c r="M115" i="21" s="1"/>
  <c r="D113" i="21"/>
  <c r="E113" i="21"/>
  <c r="F113" i="21" s="1"/>
  <c r="G113" i="21" s="1"/>
  <c r="H113" i="2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E85" i="21" s="1"/>
  <c r="D81" i="21"/>
  <c r="E81" i="21" s="1"/>
  <c r="F81" i="21" s="1"/>
  <c r="G81" i="21" s="1"/>
  <c r="D77" i="21"/>
  <c r="E77" i="21"/>
  <c r="B130" i="21"/>
  <c r="F46" i="21" s="1"/>
  <c r="S46" i="21" s="1"/>
  <c r="B128" i="21"/>
  <c r="B126" i="21"/>
  <c r="B98" i="21"/>
  <c r="B96" i="21"/>
  <c r="F30" i="21" s="1"/>
  <c r="B94" i="21"/>
  <c r="B92" i="21"/>
  <c r="J28" i="21" s="1"/>
  <c r="B90" i="21"/>
  <c r="B74" i="21"/>
  <c r="J14" i="21" s="1"/>
  <c r="W14" i="21" s="1"/>
  <c r="B72" i="21"/>
  <c r="B70" i="21"/>
  <c r="F12" i="21"/>
  <c r="F10" i="21"/>
  <c r="AA10"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Q40" i="21"/>
  <c r="Z40" i="21" s="1"/>
  <c r="Q41" i="21"/>
  <c r="Z41" i="21" s="1"/>
  <c r="Q42" i="21"/>
  <c r="Z42" i="21" s="1"/>
  <c r="J43" i="21"/>
  <c r="AC43" i="21"/>
  <c r="Q43" i="21"/>
  <c r="Z43" i="21" s="1"/>
  <c r="Q44" i="21"/>
  <c r="Z44" i="21" s="1"/>
  <c r="Q45" i="21"/>
  <c r="Z45" i="21" s="1"/>
  <c r="Q46" i="21"/>
  <c r="Z46" i="21"/>
  <c r="P47" i="21"/>
  <c r="R47" i="21"/>
  <c r="T47" i="21"/>
  <c r="V47" i="21"/>
  <c r="P48" i="21"/>
  <c r="P49" i="21"/>
  <c r="F8" i="21"/>
  <c r="S8" i="21" s="1"/>
  <c r="AA8" i="21"/>
  <c r="E13" i="11"/>
  <c r="E12" i="11"/>
  <c r="C9" i="12"/>
  <c r="BB12" i="3"/>
  <c r="F9" i="12"/>
  <c r="D9" i="12"/>
  <c r="E9" i="12"/>
  <c r="G9" i="12"/>
  <c r="K5" i="3"/>
  <c r="I4" i="6" s="1"/>
  <c r="G3" i="46" s="1"/>
  <c r="Z7" i="4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c r="F43" i="21"/>
  <c r="S43" i="21" s="1"/>
  <c r="H38" i="21"/>
  <c r="AB38" i="21" s="1"/>
  <c r="H43" i="21"/>
  <c r="AB43" i="21" s="1"/>
  <c r="F32" i="21"/>
  <c r="F38" i="21"/>
  <c r="F36" i="21"/>
  <c r="S36" i="21"/>
  <c r="F39" i="21"/>
  <c r="AA39" i="21" s="1"/>
  <c r="J40" i="21"/>
  <c r="W40" i="21"/>
  <c r="H35" i="21"/>
  <c r="AB35" i="21" s="1"/>
  <c r="J8" i="21"/>
  <c r="AC8" i="21"/>
  <c r="J9" i="21"/>
  <c r="AC9" i="21" s="1"/>
  <c r="H8" i="21"/>
  <c r="H9" i="21"/>
  <c r="U9" i="21" s="1"/>
  <c r="AB9" i="2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s="1"/>
  <c r="F26" i="21"/>
  <c r="AA26" i="21" s="1"/>
  <c r="AB41" i="21"/>
  <c r="S41" i="21"/>
  <c r="AA41" i="21"/>
  <c r="W41" i="21"/>
  <c r="S10" i="39"/>
  <c r="U30" i="37"/>
  <c r="E103" i="37"/>
  <c r="F103" i="37" s="1"/>
  <c r="F39" i="37"/>
  <c r="S39" i="37" s="1"/>
  <c r="F29" i="36"/>
  <c r="AA29" i="36"/>
  <c r="F16" i="36"/>
  <c r="AA16" i="36"/>
  <c r="W22" i="36"/>
  <c r="U26" i="36"/>
  <c r="AC31" i="36"/>
  <c r="J33" i="36"/>
  <c r="AC33" i="36" s="1"/>
  <c r="W33" i="36"/>
  <c r="U31" i="35"/>
  <c r="W36" i="35"/>
  <c r="W24" i="35"/>
  <c r="W31" i="35"/>
  <c r="F36" i="34"/>
  <c r="S36" i="34" s="1"/>
  <c r="S34" i="34"/>
  <c r="W39" i="34"/>
  <c r="H39" i="33"/>
  <c r="AB39" i="33"/>
  <c r="F26" i="33"/>
  <c r="AA26" i="33" s="1"/>
  <c r="U33" i="33"/>
  <c r="S40" i="33"/>
  <c r="U38" i="33"/>
  <c r="W8" i="21"/>
  <c r="AB27" i="35"/>
  <c r="W10" i="40"/>
  <c r="U11" i="40"/>
  <c r="U36" i="40"/>
  <c r="S40" i="39"/>
  <c r="F11" i="21"/>
  <c r="S11" i="21"/>
  <c r="AC40" i="21"/>
  <c r="AB36" i="21"/>
  <c r="AC35" i="21"/>
  <c r="C29" i="39"/>
  <c r="U36" i="39"/>
  <c r="H32" i="33"/>
  <c r="AB32" i="33"/>
  <c r="H11" i="21"/>
  <c r="U11" i="21" s="1"/>
  <c r="J11" i="21"/>
  <c r="W11" i="21" s="1"/>
  <c r="F85" i="40"/>
  <c r="G85" i="40" s="1"/>
  <c r="J27" i="36"/>
  <c r="W27" i="36" s="1"/>
  <c r="W34" i="36"/>
  <c r="J30" i="35"/>
  <c r="W30" i="35"/>
  <c r="F22" i="35"/>
  <c r="AA22" i="35"/>
  <c r="H10" i="35"/>
  <c r="U10" i="35" s="1"/>
  <c r="AC24"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AC8" i="35"/>
  <c r="F35" i="37"/>
  <c r="G101" i="37"/>
  <c r="H101" i="37" s="1"/>
  <c r="I101" i="37" s="1"/>
  <c r="J101" i="37" s="1"/>
  <c r="K101" i="37" s="1"/>
  <c r="L101" i="37" s="1"/>
  <c r="M101" i="37" s="1"/>
  <c r="J34" i="37"/>
  <c r="W34" i="37"/>
  <c r="H43" i="34"/>
  <c r="E114" i="34"/>
  <c r="H36" i="34"/>
  <c r="U36" i="34"/>
  <c r="F37" i="34"/>
  <c r="AA37" i="34"/>
  <c r="F33" i="34"/>
  <c r="S33" i="34"/>
  <c r="F19" i="34"/>
  <c r="AA19" i="34"/>
  <c r="J10" i="34"/>
  <c r="AC10" i="34" s="1"/>
  <c r="W8" i="34"/>
  <c r="J28" i="34"/>
  <c r="W28" i="34"/>
  <c r="E113" i="33"/>
  <c r="F113" i="33" s="1"/>
  <c r="F36" i="33"/>
  <c r="S36" i="33" s="1"/>
  <c r="F19" i="33"/>
  <c r="S19" i="33"/>
  <c r="J19" i="33"/>
  <c r="S10" i="21"/>
  <c r="F125" i="21"/>
  <c r="G125" i="21" s="1"/>
  <c r="AB30" i="36"/>
  <c r="S22" i="35"/>
  <c r="H29" i="35"/>
  <c r="S34" i="37"/>
  <c r="AA34" i="37"/>
  <c r="AC43" i="34"/>
  <c r="AB40" i="34"/>
  <c r="W36" i="34"/>
  <c r="J19" i="34"/>
  <c r="AC19" i="34" s="1"/>
  <c r="G113" i="33"/>
  <c r="H113" i="33" s="1"/>
  <c r="I113" i="33" s="1"/>
  <c r="J113" i="33" s="1"/>
  <c r="K113" i="33" s="1"/>
  <c r="L113" i="33" s="1"/>
  <c r="M113" i="33" s="1"/>
  <c r="H37" i="33"/>
  <c r="AB37" i="33"/>
  <c r="S37" i="33"/>
  <c r="W43" i="34"/>
  <c r="AC42" i="34"/>
  <c r="W42" i="34"/>
  <c r="AA42" i="34"/>
  <c r="W38" i="34"/>
  <c r="AA38" i="34"/>
  <c r="S38" i="34"/>
  <c r="J37" i="33"/>
  <c r="W37" i="33"/>
  <c r="J42" i="21"/>
  <c r="AC42" i="21"/>
  <c r="J44" i="34"/>
  <c r="AC44" i="34"/>
  <c r="F44" i="34"/>
  <c r="S44" i="34"/>
  <c r="J10" i="35"/>
  <c r="W10" i="35" s="1"/>
  <c r="AL5" i="3"/>
  <c r="BQ13" i="3"/>
  <c r="BL572" i="3"/>
  <c r="F14" i="21"/>
  <c r="AA14" i="21"/>
  <c r="H28" i="21"/>
  <c r="AB28" i="21" s="1"/>
  <c r="F28" i="21"/>
  <c r="S28" i="21" s="1"/>
  <c r="AC28" i="21"/>
  <c r="H30" i="21"/>
  <c r="S30" i="21"/>
  <c r="J44" i="21"/>
  <c r="AC44" i="21" s="1"/>
  <c r="H44" i="21"/>
  <c r="U44" i="21"/>
  <c r="F44" i="21"/>
  <c r="AA44" i="21" s="1"/>
  <c r="H46" i="21"/>
  <c r="AB46" i="21" s="1"/>
  <c r="J46" i="21"/>
  <c r="W46" i="21" s="1"/>
  <c r="AA46" i="21"/>
  <c r="H28" i="33"/>
  <c r="F28" i="33"/>
  <c r="AA28" i="33"/>
  <c r="W28" i="33"/>
  <c r="F33" i="35"/>
  <c r="S33" i="35" s="1"/>
  <c r="J33" i="35"/>
  <c r="W33" i="35"/>
  <c r="F30" i="35"/>
  <c r="AA30" i="35" s="1"/>
  <c r="F89" i="35"/>
  <c r="G89" i="35" s="1"/>
  <c r="H89" i="35"/>
  <c r="I89" i="35" s="1"/>
  <c r="J89" i="35" s="1"/>
  <c r="K89" i="35" s="1"/>
  <c r="L89" i="35" s="1"/>
  <c r="M89" i="35" s="1"/>
  <c r="H10" i="36"/>
  <c r="AB10" i="36" s="1"/>
  <c r="F28" i="36"/>
  <c r="S28" i="36"/>
  <c r="F27" i="36"/>
  <c r="S27" i="36"/>
  <c r="H13" i="21"/>
  <c r="U13" i="21"/>
  <c r="J13" i="21"/>
  <c r="AC13" i="21"/>
  <c r="F13" i="21"/>
  <c r="AA13" i="21"/>
  <c r="J27" i="21"/>
  <c r="W27" i="21" s="1"/>
  <c r="J29" i="21"/>
  <c r="AC29" i="21"/>
  <c r="H29" i="21"/>
  <c r="U29" i="21"/>
  <c r="F29" i="21"/>
  <c r="S29" i="21"/>
  <c r="H31" i="21"/>
  <c r="U31" i="21" s="1"/>
  <c r="J45" i="21"/>
  <c r="W45" i="21"/>
  <c r="F45" i="21"/>
  <c r="AA45" i="21"/>
  <c r="H45" i="21"/>
  <c r="U45" i="21"/>
  <c r="F27" i="33"/>
  <c r="S27" i="33" s="1"/>
  <c r="S13" i="33"/>
  <c r="J29" i="33"/>
  <c r="W29" i="33"/>
  <c r="H31" i="33"/>
  <c r="J45" i="33"/>
  <c r="F45" i="33"/>
  <c r="S45" i="33" s="1"/>
  <c r="F11" i="35"/>
  <c r="S11" i="35"/>
  <c r="H28" i="36"/>
  <c r="U28" i="36" s="1"/>
  <c r="H32" i="36"/>
  <c r="AB32" i="36" s="1"/>
  <c r="J32" i="36"/>
  <c r="H13" i="36"/>
  <c r="AB13" i="36" s="1"/>
  <c r="F89" i="37"/>
  <c r="G89" i="37"/>
  <c r="H89" i="37" s="1"/>
  <c r="I89" i="37" s="1"/>
  <c r="J89" i="37"/>
  <c r="K89" i="37" s="1"/>
  <c r="L89" i="37" s="1"/>
  <c r="M89" i="37" s="1"/>
  <c r="J29" i="37"/>
  <c r="W29" i="37"/>
  <c r="F29" i="37"/>
  <c r="AA29" i="37" s="1"/>
  <c r="F105" i="37"/>
  <c r="G105" i="37" s="1"/>
  <c r="AB36" i="37"/>
  <c r="F107" i="37"/>
  <c r="J37" i="37"/>
  <c r="AC37" i="37"/>
  <c r="H37" i="37"/>
  <c r="U37" i="37" s="1"/>
  <c r="U40" i="37"/>
  <c r="J40" i="37"/>
  <c r="F40" i="37"/>
  <c r="AA40" i="37" s="1"/>
  <c r="H14" i="33"/>
  <c r="U14" i="33" s="1"/>
  <c r="F14" i="33"/>
  <c r="AA14" i="33" s="1"/>
  <c r="J14" i="33"/>
  <c r="AC14" i="33"/>
  <c r="H30" i="33"/>
  <c r="F30" i="33"/>
  <c r="S30" i="33" s="1"/>
  <c r="J30" i="33"/>
  <c r="J44" i="33"/>
  <c r="AC44" i="33"/>
  <c r="H46" i="33"/>
  <c r="AB46" i="33" s="1"/>
  <c r="H13" i="34"/>
  <c r="U13" i="34"/>
  <c r="J13" i="34"/>
  <c r="W13" i="34" s="1"/>
  <c r="F13" i="34"/>
  <c r="AA13" i="34"/>
  <c r="J29" i="34"/>
  <c r="AC29" i="34" s="1"/>
  <c r="S29" i="34"/>
  <c r="H29" i="34"/>
  <c r="U29" i="34" s="1"/>
  <c r="J31" i="34"/>
  <c r="AC31" i="34"/>
  <c r="H31" i="34"/>
  <c r="AB31" i="34" s="1"/>
  <c r="F31" i="34"/>
  <c r="S31" i="34"/>
  <c r="H45" i="34"/>
  <c r="U45" i="34" s="1"/>
  <c r="F45" i="34"/>
  <c r="AA45" i="34" s="1"/>
  <c r="H47" i="34"/>
  <c r="U47" i="34"/>
  <c r="F47" i="34"/>
  <c r="AA47" i="34" s="1"/>
  <c r="J47" i="34"/>
  <c r="AC47" i="34"/>
  <c r="F13" i="35"/>
  <c r="S13" i="35" s="1"/>
  <c r="AC13" i="35"/>
  <c r="H13" i="35"/>
  <c r="U13" i="35"/>
  <c r="F25" i="35"/>
  <c r="AA25" i="35" s="1"/>
  <c r="J35" i="35"/>
  <c r="W35" i="35" s="1"/>
  <c r="S35" i="35"/>
  <c r="H35" i="35"/>
  <c r="U35" i="35"/>
  <c r="F25" i="36"/>
  <c r="AA25" i="36"/>
  <c r="H13" i="37"/>
  <c r="AB13" i="37" s="1"/>
  <c r="F13" i="37"/>
  <c r="S13" i="37"/>
  <c r="J13" i="37"/>
  <c r="AC13" i="37" s="1"/>
  <c r="F28" i="37"/>
  <c r="AA28" i="37"/>
  <c r="J28" i="37"/>
  <c r="AC28" i="37" s="1"/>
  <c r="H28" i="37"/>
  <c r="U28" i="37"/>
  <c r="H38" i="37"/>
  <c r="AB38" i="37" s="1"/>
  <c r="AC38" i="37"/>
  <c r="F38" i="37"/>
  <c r="AA38" i="37" s="1"/>
  <c r="F27" i="37"/>
  <c r="S27" i="37" s="1"/>
  <c r="J27" i="37"/>
  <c r="W27" i="37"/>
  <c r="AB13" i="35"/>
  <c r="AB40" i="37"/>
  <c r="J36" i="37"/>
  <c r="AC36" i="37" s="1"/>
  <c r="AB28" i="36"/>
  <c r="AB31" i="21"/>
  <c r="AB13" i="21"/>
  <c r="AA28" i="21"/>
  <c r="AC14" i="21"/>
  <c r="W42" i="21"/>
  <c r="W31" i="34"/>
  <c r="U36" i="37"/>
  <c r="AB45" i="33"/>
  <c r="AA27" i="33"/>
  <c r="S45" i="21"/>
  <c r="U28" i="21"/>
  <c r="AB44" i="21"/>
  <c r="S19" i="21"/>
  <c r="G521" i="3"/>
  <c r="G517" i="3"/>
  <c r="G513" i="3"/>
  <c r="G499" i="3"/>
  <c r="G493" i="3"/>
  <c r="G485" i="3"/>
  <c r="G565" i="3"/>
  <c r="G557" i="3"/>
  <c r="G545" i="3"/>
  <c r="G539" i="3"/>
  <c r="BL557" i="3"/>
  <c r="BL553" i="3"/>
  <c r="BL545" i="3"/>
  <c r="BL519" i="3"/>
  <c r="BL511" i="3"/>
  <c r="BL491" i="3"/>
  <c r="BL483" i="3"/>
  <c r="G16" i="3"/>
  <c r="BL559" i="3"/>
  <c r="BL541" i="3"/>
  <c r="BL533" i="3"/>
  <c r="BL525" i="3"/>
  <c r="G510" i="3"/>
  <c r="BL503" i="3"/>
  <c r="BL485" i="3"/>
  <c r="G18" i="3"/>
  <c r="BA569" i="3"/>
  <c r="BA561" i="3"/>
  <c r="BA555" i="3"/>
  <c r="BA551" i="3"/>
  <c r="BA545" i="3"/>
  <c r="AZ545" i="3" s="1"/>
  <c r="BA531" i="3"/>
  <c r="BA521" i="3"/>
  <c r="BA505" i="3"/>
  <c r="BA501" i="3"/>
  <c r="BA493" i="3"/>
  <c r="BA487" i="3"/>
  <c r="BA19" i="3"/>
  <c r="BA560" i="3"/>
  <c r="BA558" i="3"/>
  <c r="BA556" i="3"/>
  <c r="BA546" i="3"/>
  <c r="BA544" i="3"/>
  <c r="BA536" i="3"/>
  <c r="BA528" i="3"/>
  <c r="BA520" i="3"/>
  <c r="BA516" i="3"/>
  <c r="BA502" i="3"/>
  <c r="BA498" i="3"/>
  <c r="BA492" i="3"/>
  <c r="BA484" i="3"/>
  <c r="BA20" i="3"/>
  <c r="G566" i="3"/>
  <c r="G560" i="3"/>
  <c r="G558" i="3"/>
  <c r="G556" i="3"/>
  <c r="G550" i="3"/>
  <c r="G546" i="3"/>
  <c r="BL543" i="3"/>
  <c r="AC542" i="3"/>
  <c r="G542" i="3"/>
  <c r="BQ542" i="3"/>
  <c r="BQ568" i="3"/>
  <c r="BQ566" i="3"/>
  <c r="BQ564" i="3"/>
  <c r="BL564" i="3" s="1"/>
  <c r="BQ562" i="3"/>
  <c r="BQ560" i="3"/>
  <c r="BL560" i="3" s="1"/>
  <c r="AZ560" i="3" s="1"/>
  <c r="BQ558" i="3"/>
  <c r="BQ556" i="3"/>
  <c r="BL556" i="3"/>
  <c r="BQ554" i="3"/>
  <c r="BQ552" i="3"/>
  <c r="BL552" i="3"/>
  <c r="BQ550" i="3"/>
  <c r="BL550" i="3" s="1"/>
  <c r="BQ548" i="3"/>
  <c r="BQ546" i="3"/>
  <c r="BL546" i="3" s="1"/>
  <c r="AZ546" i="3" s="1"/>
  <c r="BQ544" i="3"/>
  <c r="BL544" i="3" s="1"/>
  <c r="AZ544" i="3" s="1"/>
  <c r="G544" i="3"/>
  <c r="G534" i="3"/>
  <c r="G530" i="3"/>
  <c r="G526" i="3"/>
  <c r="BQ540" i="3"/>
  <c r="BL540" i="3"/>
  <c r="BQ538" i="3"/>
  <c r="BQ536" i="3"/>
  <c r="BQ534" i="3"/>
  <c r="BL534" i="3" s="1"/>
  <c r="BQ532" i="3"/>
  <c r="BL532" i="3" s="1"/>
  <c r="BQ530" i="3"/>
  <c r="BQ528" i="3"/>
  <c r="BQ526" i="3"/>
  <c r="BL526" i="3" s="1"/>
  <c r="BQ524" i="3"/>
  <c r="BL524" i="3" s="1"/>
  <c r="BQ522" i="3"/>
  <c r="BQ520" i="3"/>
  <c r="BL520" i="3" s="1"/>
  <c r="AZ520" i="3" s="1"/>
  <c r="BQ518" i="3"/>
  <c r="BQ516" i="3"/>
  <c r="BQ514" i="3"/>
  <c r="BL514" i="3" s="1"/>
  <c r="BQ512" i="3"/>
  <c r="BQ510" i="3"/>
  <c r="BQ508" i="3"/>
  <c r="BL508" i="3"/>
  <c r="AC506" i="3"/>
  <c r="G506" i="3" s="1"/>
  <c r="BQ506" i="3"/>
  <c r="G502" i="3"/>
  <c r="G498" i="3"/>
  <c r="BQ504" i="3"/>
  <c r="BQ502" i="3"/>
  <c r="BL502" i="3" s="1"/>
  <c r="BQ500" i="3"/>
  <c r="BQ498" i="3"/>
  <c r="BQ496" i="3"/>
  <c r="AC494" i="3"/>
  <c r="BQ494" i="3"/>
  <c r="BL493" i="3"/>
  <c r="G492" i="3"/>
  <c r="G488" i="3"/>
  <c r="G20" i="3"/>
  <c r="BQ492" i="3"/>
  <c r="BL492" i="3" s="1"/>
  <c r="AZ492" i="3" s="1"/>
  <c r="BQ490" i="3"/>
  <c r="BQ488" i="3"/>
  <c r="BL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c r="H17" i="37"/>
  <c r="U17" i="37" s="1"/>
  <c r="F23" i="37"/>
  <c r="S23" i="37" s="1"/>
  <c r="F79" i="37"/>
  <c r="G79" i="37" s="1"/>
  <c r="F39" i="33"/>
  <c r="S39" i="33" s="1"/>
  <c r="AA39" i="33"/>
  <c r="E123" i="33"/>
  <c r="F42" i="33"/>
  <c r="AA42" i="33"/>
  <c r="H28" i="34"/>
  <c r="AB28" i="34" s="1"/>
  <c r="F22" i="36"/>
  <c r="S22" i="36"/>
  <c r="H35" i="34"/>
  <c r="U35" i="34" s="1"/>
  <c r="F41" i="34"/>
  <c r="S41" i="34"/>
  <c r="H41" i="34"/>
  <c r="U41" i="34" s="1"/>
  <c r="J41" i="34"/>
  <c r="W41" i="34"/>
  <c r="F10" i="35"/>
  <c r="AA10" i="35" s="1"/>
  <c r="F24" i="35"/>
  <c r="AA24" i="35" s="1"/>
  <c r="H24" i="35"/>
  <c r="AB24" i="35" s="1"/>
  <c r="H23" i="37"/>
  <c r="AB23" i="37" s="1"/>
  <c r="J32" i="37"/>
  <c r="AC32" i="37"/>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c r="AB43" i="33"/>
  <c r="D3" i="21"/>
  <c r="AC12" i="35"/>
  <c r="W23" i="35"/>
  <c r="AC23" i="37"/>
  <c r="AC8" i="37"/>
  <c r="AB8" i="34"/>
  <c r="AC37" i="33"/>
  <c r="AA13" i="33"/>
  <c r="AC33" i="21"/>
  <c r="AA36" i="21"/>
  <c r="F43" i="33"/>
  <c r="AA43" i="33" s="1"/>
  <c r="AA23" i="37"/>
  <c r="G107" i="37"/>
  <c r="H107" i="37"/>
  <c r="I107" i="37" s="1"/>
  <c r="J107" i="37" s="1"/>
  <c r="K107" i="37" s="1"/>
  <c r="L107" i="37" s="1"/>
  <c r="M107" i="37" s="1"/>
  <c r="F37" i="21"/>
  <c r="S37" i="21"/>
  <c r="J37" i="21"/>
  <c r="W37" i="21" s="1"/>
  <c r="H19" i="34"/>
  <c r="AB19" i="34" s="1"/>
  <c r="J10" i="37"/>
  <c r="AC10" i="37" s="1"/>
  <c r="J9" i="37"/>
  <c r="W9" i="37" s="1"/>
  <c r="U9" i="37"/>
  <c r="F9" i="37"/>
  <c r="S9" i="37"/>
  <c r="F11" i="37"/>
  <c r="S11" i="37"/>
  <c r="J12" i="37"/>
  <c r="AC12" i="37"/>
  <c r="AB12" i="37"/>
  <c r="F12" i="37"/>
  <c r="AA12" i="37" s="1"/>
  <c r="H15" i="37"/>
  <c r="U15" i="37"/>
  <c r="E94" i="37"/>
  <c r="F31" i="37"/>
  <c r="S31" i="37" s="1"/>
  <c r="F94" i="37"/>
  <c r="G94" i="37" s="1"/>
  <c r="H94" i="37" s="1"/>
  <c r="I94" i="37" s="1"/>
  <c r="J94" i="37" s="1"/>
  <c r="K94" i="37" s="1"/>
  <c r="L94" i="37" s="1"/>
  <c r="M94" i="37" s="1"/>
  <c r="H31" i="37"/>
  <c r="U31" i="37" s="1"/>
  <c r="J15" i="37"/>
  <c r="W15" i="37" s="1"/>
  <c r="U12" i="37"/>
  <c r="J11" i="37"/>
  <c r="W11" i="37" s="1"/>
  <c r="E89" i="40"/>
  <c r="F89" i="40" s="1"/>
  <c r="G89" i="40" s="1"/>
  <c r="F21" i="40"/>
  <c r="S21" i="40"/>
  <c r="J21" i="40"/>
  <c r="AC21" i="40"/>
  <c r="S27" i="31"/>
  <c r="G483" i="3"/>
  <c r="G507" i="3"/>
  <c r="G501" i="3"/>
  <c r="BA15" i="3"/>
  <c r="BL17" i="3"/>
  <c r="BL15" i="3"/>
  <c r="BA14" i="3"/>
  <c r="AZ14" i="3" s="1"/>
  <c r="J57" i="39"/>
  <c r="H13" i="40"/>
  <c r="U13" i="40" s="1"/>
  <c r="I4" i="4"/>
  <c r="K141" i="21"/>
  <c r="K143" i="21"/>
  <c r="K144" i="21"/>
  <c r="I58" i="40"/>
  <c r="C58" i="40" s="1"/>
  <c r="W9" i="33"/>
  <c r="G297" i="3"/>
  <c r="BL298" i="3"/>
  <c r="G299" i="3"/>
  <c r="BL300" i="3"/>
  <c r="BA302" i="3"/>
  <c r="AZ302" i="3" s="1"/>
  <c r="BA303" i="3"/>
  <c r="BL303" i="3"/>
  <c r="AZ303" i="3" s="1"/>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BL127" i="3"/>
  <c r="G128" i="3"/>
  <c r="BA130" i="3"/>
  <c r="AZ130" i="3"/>
  <c r="BL131" i="3"/>
  <c r="AZ131" i="3"/>
  <c r="G132" i="3"/>
  <c r="BA134" i="3"/>
  <c r="BL135" i="3"/>
  <c r="AZ135" i="3" s="1"/>
  <c r="G136" i="3"/>
  <c r="BA138" i="3"/>
  <c r="BL139" i="3"/>
  <c r="G140" i="3"/>
  <c r="BA142" i="3"/>
  <c r="BL143" i="3"/>
  <c r="G144" i="3"/>
  <c r="BA146" i="3"/>
  <c r="AZ146" i="3" s="1"/>
  <c r="BL147" i="3"/>
  <c r="G148" i="3"/>
  <c r="BA150" i="3"/>
  <c r="BL151" i="3"/>
  <c r="AZ151" i="3" s="1"/>
  <c r="BA153" i="3"/>
  <c r="AZ153" i="3"/>
  <c r="BL154" i="3"/>
  <c r="G155" i="3"/>
  <c r="BA157" i="3"/>
  <c r="BL158" i="3"/>
  <c r="G159" i="3"/>
  <c r="BA161" i="3"/>
  <c r="AZ161" i="3"/>
  <c r="BL162" i="3"/>
  <c r="G163" i="3"/>
  <c r="BA165" i="3"/>
  <c r="BL166" i="3"/>
  <c r="G167" i="3"/>
  <c r="BA169" i="3"/>
  <c r="AZ169" i="3"/>
  <c r="BL170" i="3"/>
  <c r="G171" i="3"/>
  <c r="BA173" i="3"/>
  <c r="BL174" i="3"/>
  <c r="AZ174" i="3" s="1"/>
  <c r="G175" i="3"/>
  <c r="BA178" i="3"/>
  <c r="BL179" i="3"/>
  <c r="G180" i="3"/>
  <c r="G537" i="3"/>
  <c r="BL181" i="3"/>
  <c r="AZ181" i="3" s="1"/>
  <c r="G182" i="3"/>
  <c r="BA184" i="3"/>
  <c r="AZ184" i="3" s="1"/>
  <c r="BL185" i="3"/>
  <c r="G186" i="3"/>
  <c r="BA188" i="3"/>
  <c r="AZ188" i="3" s="1"/>
  <c r="BL189" i="3"/>
  <c r="AZ189" i="3"/>
  <c r="G190" i="3"/>
  <c r="BA192" i="3"/>
  <c r="AZ192" i="3" s="1"/>
  <c r="BL193" i="3"/>
  <c r="G194" i="3"/>
  <c r="BA196" i="3"/>
  <c r="BL197" i="3"/>
  <c r="AZ197" i="3"/>
  <c r="G198" i="3"/>
  <c r="BA200" i="3"/>
  <c r="AZ200" i="3" s="1"/>
  <c r="BL201" i="3"/>
  <c r="AZ66" i="3"/>
  <c r="AZ74" i="3"/>
  <c r="AZ82" i="3"/>
  <c r="AZ86"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AZ166" i="3"/>
  <c r="AZ179" i="3"/>
  <c r="BL297" i="3"/>
  <c r="AZ297" i="3" s="1"/>
  <c r="G298" i="3"/>
  <c r="BA300" i="3"/>
  <c r="BL301" i="3"/>
  <c r="AZ301" i="3" s="1"/>
  <c r="G302" i="3"/>
  <c r="BA304" i="3"/>
  <c r="BL305" i="3"/>
  <c r="AZ305" i="3" s="1"/>
  <c r="G306" i="3"/>
  <c r="BA308" i="3"/>
  <c r="AZ308" i="3" s="1"/>
  <c r="BL309" i="3"/>
  <c r="G310" i="3"/>
  <c r="BA310" i="3"/>
  <c r="AZ310" i="3" s="1"/>
  <c r="BL311" i="3"/>
  <c r="G312" i="3"/>
  <c r="BA312" i="3"/>
  <c r="AZ312" i="3" s="1"/>
  <c r="BL313" i="3"/>
  <c r="G314" i="3"/>
  <c r="BA314" i="3"/>
  <c r="AZ314" i="3" s="1"/>
  <c r="BL315" i="3"/>
  <c r="AZ315" i="3" s="1"/>
  <c r="G316" i="3"/>
  <c r="BA316" i="3"/>
  <c r="AZ316" i="3" s="1"/>
  <c r="BL317" i="3"/>
  <c r="G318" i="3"/>
  <c r="BA320" i="3"/>
  <c r="BL321" i="3"/>
  <c r="G322" i="3"/>
  <c r="BA324" i="3"/>
  <c r="AZ324" i="3" s="1"/>
  <c r="BL325" i="3"/>
  <c r="AZ325" i="3" s="1"/>
  <c r="G326" i="3"/>
  <c r="BA328" i="3"/>
  <c r="AZ328" i="3" s="1"/>
  <c r="BL329" i="3"/>
  <c r="AZ329" i="3" s="1"/>
  <c r="G330" i="3"/>
  <c r="BA332" i="3"/>
  <c r="AZ332" i="3" s="1"/>
  <c r="BL333" i="3"/>
  <c r="G334" i="3"/>
  <c r="BA336" i="3"/>
  <c r="BL337" i="3"/>
  <c r="AZ337" i="3" s="1"/>
  <c r="G338" i="3"/>
  <c r="BA340" i="3"/>
  <c r="AZ340" i="3" s="1"/>
  <c r="BL341" i="3"/>
  <c r="AZ341" i="3" s="1"/>
  <c r="G342" i="3"/>
  <c r="BA344" i="3"/>
  <c r="BL345" i="3"/>
  <c r="AZ345" i="3" s="1"/>
  <c r="G346" i="3"/>
  <c r="BA348" i="3"/>
  <c r="AZ348" i="3" s="1"/>
  <c r="BL349" i="3"/>
  <c r="G350" i="3"/>
  <c r="BA352" i="3"/>
  <c r="BL353" i="3"/>
  <c r="G354" i="3"/>
  <c r="BA356" i="3"/>
  <c r="AZ356" i="3" s="1"/>
  <c r="BL357" i="3"/>
  <c r="G358" i="3"/>
  <c r="BA362" i="3"/>
  <c r="BL363" i="3"/>
  <c r="AZ363" i="3" s="1"/>
  <c r="G364" i="3"/>
  <c r="BA366" i="3"/>
  <c r="BL367" i="3"/>
  <c r="AZ367" i="3" s="1"/>
  <c r="AZ321" i="3"/>
  <c r="AZ353" i="3"/>
  <c r="G368" i="3"/>
  <c r="BA370" i="3"/>
  <c r="BL371" i="3"/>
  <c r="G372" i="3"/>
  <c r="BA374" i="3"/>
  <c r="AZ374" i="3" s="1"/>
  <c r="BL375" i="3"/>
  <c r="G376" i="3"/>
  <c r="BA378" i="3"/>
  <c r="AZ378" i="3" s="1"/>
  <c r="BL379" i="3"/>
  <c r="AZ379" i="3" s="1"/>
  <c r="G380" i="3"/>
  <c r="BA382" i="3"/>
  <c r="BL383" i="3"/>
  <c r="AZ383" i="3" s="1"/>
  <c r="G384" i="3"/>
  <c r="AZ311" i="3"/>
  <c r="AZ331" i="3"/>
  <c r="AZ347" i="3"/>
  <c r="F37" i="46"/>
  <c r="AB16" i="35"/>
  <c r="AB15" i="37"/>
  <c r="AA43" i="21"/>
  <c r="U43" i="21"/>
  <c r="AA13" i="40"/>
  <c r="F77" i="40"/>
  <c r="G77" i="40" s="1"/>
  <c r="H77" i="40" s="1"/>
  <c r="I77" i="40" s="1"/>
  <c r="J77" i="40" s="1"/>
  <c r="K77" i="40" s="1"/>
  <c r="L77" i="40" s="1"/>
  <c r="M77" i="40" s="1"/>
  <c r="BH5" i="3"/>
  <c r="R16" i="4"/>
  <c r="D3" i="35"/>
  <c r="G4" i="4"/>
  <c r="S37" i="34"/>
  <c r="J16" i="35"/>
  <c r="W16" i="35"/>
  <c r="U42" i="21"/>
  <c r="AC26" i="36"/>
  <c r="AZ300" i="3"/>
  <c r="AZ354" i="3"/>
  <c r="AZ322" i="3"/>
  <c r="H13" i="39"/>
  <c r="AB13" i="39" s="1"/>
  <c r="F13" i="39"/>
  <c r="J13" i="39"/>
  <c r="AC13" i="39"/>
  <c r="H11" i="37"/>
  <c r="AB11" i="37" s="1"/>
  <c r="W37" i="37"/>
  <c r="AA30" i="33"/>
  <c r="AA36" i="37"/>
  <c r="S42" i="33"/>
  <c r="U32" i="33"/>
  <c r="AB17" i="37"/>
  <c r="AC29" i="33"/>
  <c r="AA45" i="33"/>
  <c r="AC11" i="36"/>
  <c r="AB45" i="34"/>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c r="J43" i="39"/>
  <c r="F99" i="37"/>
  <c r="AC27" i="37"/>
  <c r="S45" i="34"/>
  <c r="U31" i="34"/>
  <c r="AC40" i="37"/>
  <c r="W40" i="37"/>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c r="H17" i="39"/>
  <c r="U17" i="39"/>
  <c r="J17" i="39"/>
  <c r="W17" i="39" s="1"/>
  <c r="F21" i="39"/>
  <c r="S21" i="39" s="1"/>
  <c r="H21" i="39"/>
  <c r="J21" i="39"/>
  <c r="W21" i="39" s="1"/>
  <c r="F33" i="39"/>
  <c r="S33" i="39" s="1"/>
  <c r="H33" i="39"/>
  <c r="U33" i="39" s="1"/>
  <c r="J33" i="39"/>
  <c r="W33" i="39" s="1"/>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AA39" i="39" s="1"/>
  <c r="H39" i="39"/>
  <c r="AB39" i="39" s="1"/>
  <c r="J39" i="39"/>
  <c r="W39" i="39" s="1"/>
  <c r="J29" i="35"/>
  <c r="AC29" i="35"/>
  <c r="F29" i="35"/>
  <c r="S29" i="35"/>
  <c r="W30" i="36"/>
  <c r="AC30" i="36"/>
  <c r="F37" i="39"/>
  <c r="S37" i="39"/>
  <c r="H37" i="39"/>
  <c r="U37" i="39"/>
  <c r="J37" i="39"/>
  <c r="W37" i="39"/>
  <c r="BL568" i="3"/>
  <c r="BA568" i="3"/>
  <c r="AZ568" i="3" s="1"/>
  <c r="BL567" i="3"/>
  <c r="BA567" i="3"/>
  <c r="BL566" i="3"/>
  <c r="BL565" i="3"/>
  <c r="BA564" i="3"/>
  <c r="AZ564" i="3" s="1"/>
  <c r="BA563" i="3"/>
  <c r="BL554" i="3"/>
  <c r="BA553" i="3"/>
  <c r="AZ553" i="3" s="1"/>
  <c r="BA552" i="3"/>
  <c r="AZ552" i="3" s="1"/>
  <c r="BL549" i="3"/>
  <c r="BA549" i="3"/>
  <c r="AZ549" i="3" s="1"/>
  <c r="BL548" i="3"/>
  <c r="BA548" i="3"/>
  <c r="BL547" i="3"/>
  <c r="BA547" i="3"/>
  <c r="BL539" i="3"/>
  <c r="BA539" i="3"/>
  <c r="AZ539" i="3" s="1"/>
  <c r="BA538" i="3"/>
  <c r="BL537" i="3"/>
  <c r="BA537" i="3"/>
  <c r="BL536" i="3"/>
  <c r="AZ536" i="3" s="1"/>
  <c r="BA535" i="3"/>
  <c r="BA534" i="3"/>
  <c r="BA533" i="3"/>
  <c r="AZ533" i="3"/>
  <c r="BL531" i="3"/>
  <c r="AZ531" i="3"/>
  <c r="BL530" i="3"/>
  <c r="BA530" i="3"/>
  <c r="AZ530" i="3" s="1"/>
  <c r="BL529" i="3"/>
  <c r="BA529" i="3"/>
  <c r="AZ529" i="3" s="1"/>
  <c r="BL528" i="3"/>
  <c r="AZ528" i="3"/>
  <c r="BA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BA511" i="3"/>
  <c r="AZ511" i="3" s="1"/>
  <c r="BA510" i="3"/>
  <c r="BL509" i="3"/>
  <c r="BL507" i="3"/>
  <c r="BA507" i="3"/>
  <c r="AZ507" i="3" s="1"/>
  <c r="BL506" i="3"/>
  <c r="BA506" i="3"/>
  <c r="BL505" i="3"/>
  <c r="AZ505" i="3" s="1"/>
  <c r="BL504" i="3"/>
  <c r="BA504" i="3"/>
  <c r="BA503" i="3"/>
  <c r="AZ503" i="3" s="1"/>
  <c r="BA500" i="3"/>
  <c r="BL499" i="3"/>
  <c r="BA499" i="3"/>
  <c r="AZ499" i="3" s="1"/>
  <c r="BL498" i="3"/>
  <c r="AZ498" i="3" s="1"/>
  <c r="BL497" i="3"/>
  <c r="AZ497" i="3" s="1"/>
  <c r="BA497" i="3"/>
  <c r="BL496" i="3"/>
  <c r="BA496" i="3"/>
  <c r="BA495" i="3"/>
  <c r="BL494" i="3"/>
  <c r="BA494" i="3"/>
  <c r="AZ494" i="3" s="1"/>
  <c r="G494" i="3"/>
  <c r="BA491" i="3"/>
  <c r="AZ491" i="3" s="1"/>
  <c r="BL490" i="3"/>
  <c r="AZ490" i="3" s="1"/>
  <c r="BA490" i="3"/>
  <c r="BL489" i="3"/>
  <c r="BA489" i="3"/>
  <c r="AZ489" i="3" s="1"/>
  <c r="BL487" i="3"/>
  <c r="AZ487" i="3" s="1"/>
  <c r="BL486" i="3"/>
  <c r="AZ486" i="3" s="1"/>
  <c r="BA486" i="3"/>
  <c r="BA485" i="3"/>
  <c r="AZ485" i="3" s="1"/>
  <c r="BA483" i="3"/>
  <c r="AZ483" i="3" s="1"/>
  <c r="BA482" i="3"/>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AB23" i="35" s="1"/>
  <c r="F23" i="35"/>
  <c r="AA23"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U41" i="40" s="1"/>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AC40" i="40" s="1"/>
  <c r="J34" i="40"/>
  <c r="AC34" i="40" s="1"/>
  <c r="H16" i="40"/>
  <c r="AB16" i="40" s="1"/>
  <c r="H14" i="40"/>
  <c r="U14" i="40" s="1"/>
  <c r="F32" i="40"/>
  <c r="AA32" i="40" s="1"/>
  <c r="F61" i="46"/>
  <c r="H61" i="46" s="1"/>
  <c r="AZ220" i="3"/>
  <c r="AZ223" i="3"/>
  <c r="AZ239" i="3"/>
  <c r="AZ247" i="3"/>
  <c r="AZ252" i="3"/>
  <c r="AZ255" i="3"/>
  <c r="AZ260" i="3"/>
  <c r="AZ263" i="3"/>
  <c r="AZ268" i="3"/>
  <c r="AZ276" i="3"/>
  <c r="AZ284" i="3"/>
  <c r="AZ292" i="3"/>
  <c r="F72" i="46"/>
  <c r="H74" i="46" s="1"/>
  <c r="AZ167" i="3"/>
  <c r="AZ32" i="3"/>
  <c r="AZ48" i="3"/>
  <c r="AZ71" i="3"/>
  <c r="J13" i="40"/>
  <c r="W13" i="40" s="1"/>
  <c r="AB14" i="40"/>
  <c r="F72" i="9"/>
  <c r="AC14" i="40"/>
  <c r="S33" i="40"/>
  <c r="S47" i="39"/>
  <c r="AB25" i="39"/>
  <c r="AB37" i="34"/>
  <c r="AC41" i="40"/>
  <c r="W41" i="40"/>
  <c r="J23" i="40"/>
  <c r="AC23" i="40" s="1"/>
  <c r="G91" i="40"/>
  <c r="F23" i="40"/>
  <c r="S23" i="40" s="1"/>
  <c r="AC15" i="40"/>
  <c r="AB16" i="39"/>
  <c r="U23" i="35"/>
  <c r="H20" i="35"/>
  <c r="U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515" i="3"/>
  <c r="AZ547" i="3"/>
  <c r="AB37" i="39"/>
  <c r="AA29" i="35"/>
  <c r="U39" i="39"/>
  <c r="J29" i="39"/>
  <c r="AC29" i="39" s="1"/>
  <c r="AB21" i="39"/>
  <c r="U21" i="39"/>
  <c r="AB17" i="39"/>
  <c r="AB33" i="36"/>
  <c r="AA11" i="36"/>
  <c r="S14" i="35"/>
  <c r="G99" i="37"/>
  <c r="F33" i="37"/>
  <c r="AB19" i="39"/>
  <c r="U19" i="39"/>
  <c r="U46" i="34"/>
  <c r="AC30" i="34"/>
  <c r="AA14" i="34"/>
  <c r="W12" i="34"/>
  <c r="U29" i="33"/>
  <c r="AC13" i="33"/>
  <c r="U17" i="34"/>
  <c r="AA11" i="34"/>
  <c r="W32" i="33"/>
  <c r="H15" i="33"/>
  <c r="AB15" i="33" s="1"/>
  <c r="AA11" i="33"/>
  <c r="AA40" i="21"/>
  <c r="U17" i="21"/>
  <c r="S13" i="39"/>
  <c r="AA13" i="39"/>
  <c r="W34" i="40"/>
  <c r="AB34" i="40"/>
  <c r="U42" i="40"/>
  <c r="W32" i="40"/>
  <c r="H25" i="40"/>
  <c r="AB25" i="40"/>
  <c r="F93" i="40"/>
  <c r="G93" i="40"/>
  <c r="W15" i="39"/>
  <c r="J37" i="34"/>
  <c r="AC37" i="34"/>
  <c r="J36" i="33"/>
  <c r="W36" i="33"/>
  <c r="S41" i="40"/>
  <c r="AB23" i="40"/>
  <c r="U27" i="39"/>
  <c r="H23" i="39"/>
  <c r="AB23" i="39" s="1"/>
  <c r="J23" i="39"/>
  <c r="AC23" i="39" s="1"/>
  <c r="F96" i="39"/>
  <c r="G96" i="39" s="1"/>
  <c r="S16" i="39"/>
  <c r="AA15" i="34"/>
  <c r="AA34" i="33"/>
  <c r="J34" i="33"/>
  <c r="AC34" i="33"/>
  <c r="AA37" i="39"/>
  <c r="W29" i="35"/>
  <c r="AC39" i="39"/>
  <c r="U34" i="39"/>
  <c r="AB46" i="39"/>
  <c r="AB44" i="39"/>
  <c r="AC33" i="39"/>
  <c r="AA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c r="W15" i="34"/>
  <c r="AC15" i="34"/>
  <c r="W23" i="40"/>
  <c r="B11" i="1"/>
  <c r="E11" i="1" s="1"/>
  <c r="K11" i="1"/>
  <c r="M11" i="1" s="1"/>
  <c r="B9" i="1"/>
  <c r="E9" i="1" s="1"/>
  <c r="K9" i="1"/>
  <c r="M9" i="1" s="1"/>
  <c r="B7" i="1"/>
  <c r="E7" i="1" s="1"/>
  <c r="K7" i="1"/>
  <c r="M7" i="1" s="1"/>
  <c r="AP6" i="1"/>
  <c r="M20" i="44"/>
  <c r="S8" i="36"/>
  <c r="AA26" i="36"/>
  <c r="AA28" i="36"/>
  <c r="H20" i="36"/>
  <c r="U20" i="36"/>
  <c r="F68" i="36"/>
  <c r="G68" i="36"/>
  <c r="J20" i="36"/>
  <c r="W20" i="36" s="1"/>
  <c r="AC20" i="36"/>
  <c r="F20" i="36"/>
  <c r="S20" i="36"/>
  <c r="F62" i="36"/>
  <c r="G62" i="36"/>
  <c r="J14" i="36"/>
  <c r="H14" i="36"/>
  <c r="F14" i="36"/>
  <c r="S14" i="36" s="1"/>
  <c r="AA14" i="36"/>
  <c r="U27" i="36"/>
  <c r="U32"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W26" i="35" s="1"/>
  <c r="F26" i="35"/>
  <c r="H26" i="35"/>
  <c r="AB9" i="37"/>
  <c r="W12" i="37"/>
  <c r="AA9" i="37"/>
  <c r="S17" i="37"/>
  <c r="W28" i="37"/>
  <c r="AB37" i="37"/>
  <c r="AA31" i="37"/>
  <c r="S33" i="37"/>
  <c r="AA33" i="37"/>
  <c r="U32" i="37"/>
  <c r="AA32" i="37"/>
  <c r="J33" i="37"/>
  <c r="W33" i="37"/>
  <c r="H99" i="37"/>
  <c r="I99" i="37" s="1"/>
  <c r="J99" i="37" s="1"/>
  <c r="K99" i="37" s="1"/>
  <c r="L99" i="37" s="1"/>
  <c r="M99" i="37" s="1"/>
  <c r="S29" i="37"/>
  <c r="J19" i="37"/>
  <c r="W19" i="37" s="1"/>
  <c r="AC19" i="37"/>
  <c r="G75" i="37"/>
  <c r="F19" i="37"/>
  <c r="AA19" i="37"/>
  <c r="H19" i="37"/>
  <c r="AB19" i="37" s="1"/>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AA27" i="34"/>
  <c r="J25" i="34"/>
  <c r="W25" i="34" s="1"/>
  <c r="H25" i="34"/>
  <c r="F25" i="34"/>
  <c r="S25" i="34" s="1"/>
  <c r="J23" i="34"/>
  <c r="W23" i="34" s="1"/>
  <c r="F86" i="34"/>
  <c r="G86" i="34" s="1"/>
  <c r="F23" i="34"/>
  <c r="H23" i="34"/>
  <c r="AB23" i="34" s="1"/>
  <c r="W17" i="34"/>
  <c r="AC11" i="34"/>
  <c r="W37" i="34"/>
  <c r="AC40" i="34"/>
  <c r="W44" i="34"/>
  <c r="W19" i="34"/>
  <c r="W29" i="34"/>
  <c r="AC21" i="34"/>
  <c r="W21" i="34"/>
  <c r="U15" i="34"/>
  <c r="AB21" i="34"/>
  <c r="U21" i="34"/>
  <c r="U27" i="34"/>
  <c r="U19" i="34"/>
  <c r="AB41" i="34"/>
  <c r="S13" i="34"/>
  <c r="AA41" i="34"/>
  <c r="S9" i="34"/>
  <c r="U39" i="33"/>
  <c r="U37" i="33"/>
  <c r="S35" i="33"/>
  <c r="W34" i="33"/>
  <c r="AC12" i="33"/>
  <c r="AB11" i="33"/>
  <c r="U36" i="33"/>
  <c r="AC35" i="33"/>
  <c r="S29" i="33"/>
  <c r="W43" i="33"/>
  <c r="U46" i="33"/>
  <c r="W39" i="33"/>
  <c r="U35" i="33"/>
  <c r="AB34" i="33"/>
  <c r="H25" i="33"/>
  <c r="AB25" i="33"/>
  <c r="J25" i="33"/>
  <c r="AC25" i="33" s="1"/>
  <c r="W25" i="33"/>
  <c r="F87" i="33"/>
  <c r="G87" i="33"/>
  <c r="H87" i="33"/>
  <c r="I87" i="33"/>
  <c r="J87" i="33" s="1"/>
  <c r="K87" i="33" s="1"/>
  <c r="L87" i="33" s="1"/>
  <c r="M87" i="33" s="1"/>
  <c r="F25" i="33"/>
  <c r="F85" i="33"/>
  <c r="G85" i="33"/>
  <c r="J23" i="33"/>
  <c r="AC23" i="33" s="1"/>
  <c r="F23" i="33"/>
  <c r="H23" i="33"/>
  <c r="AB23" i="33" s="1"/>
  <c r="U19" i="33"/>
  <c r="F79" i="33"/>
  <c r="G79" i="33" s="1"/>
  <c r="F17" i="33"/>
  <c r="S17" i="33" s="1"/>
  <c r="H17" i="33"/>
  <c r="U17" i="33" s="1"/>
  <c r="J17" i="33"/>
  <c r="AC17" i="33" s="1"/>
  <c r="S14" i="33"/>
  <c r="AC21" i="33"/>
  <c r="W21" i="33"/>
  <c r="W14" i="33"/>
  <c r="U25" i="33"/>
  <c r="AB21" i="33"/>
  <c r="U21" i="33"/>
  <c r="AA21" i="33"/>
  <c r="S21" i="33"/>
  <c r="AA36" i="33"/>
  <c r="S44" i="21"/>
  <c r="W39" i="21"/>
  <c r="AC34" i="21"/>
  <c r="W32" i="21"/>
  <c r="U35" i="21"/>
  <c r="W43" i="21"/>
  <c r="AA37" i="21"/>
  <c r="S42" i="21"/>
  <c r="AB37" i="21"/>
  <c r="AB32" i="21"/>
  <c r="W28" i="21"/>
  <c r="AC46" i="21"/>
  <c r="AC26" i="21"/>
  <c r="F85" i="21"/>
  <c r="G85" i="21"/>
  <c r="J23" i="21"/>
  <c r="W23" i="21"/>
  <c r="F23" i="21"/>
  <c r="AA23" i="21" s="1"/>
  <c r="H23" i="21"/>
  <c r="AB23" i="21" s="1"/>
  <c r="AA17" i="21"/>
  <c r="W17" i="21"/>
  <c r="F15" i="21"/>
  <c r="S15" i="21"/>
  <c r="F77" i="21"/>
  <c r="G77" i="21"/>
  <c r="J15" i="21"/>
  <c r="W15" i="21" s="1"/>
  <c r="H15" i="21"/>
  <c r="AB15" i="21" s="1"/>
  <c r="AC11" i="21"/>
  <c r="AB11" i="21"/>
  <c r="W13" i="21"/>
  <c r="AA11" i="21"/>
  <c r="AC23" i="21"/>
  <c r="AC21" i="21"/>
  <c r="W21" i="21"/>
  <c r="W44" i="21"/>
  <c r="AC19" i="21"/>
  <c r="W10" i="21"/>
  <c r="AC38" i="21"/>
  <c r="AB21" i="21"/>
  <c r="U21" i="21"/>
  <c r="AB29" i="21"/>
  <c r="AA30" i="21"/>
  <c r="W33" i="40"/>
  <c r="S35" i="40"/>
  <c r="U15" i="40"/>
  <c r="S14" i="40"/>
  <c r="S15" i="40"/>
  <c r="AB13" i="40"/>
  <c r="S16" i="40"/>
  <c r="W11" i="40"/>
  <c r="AA21" i="40"/>
  <c r="U21" i="40"/>
  <c r="W25" i="40"/>
  <c r="U25" i="40"/>
  <c r="W42" i="40"/>
  <c r="U35" i="40"/>
  <c r="F37" i="40"/>
  <c r="S37" i="40" s="1"/>
  <c r="J37" i="40"/>
  <c r="AC37" i="40" s="1"/>
  <c r="H37" i="40"/>
  <c r="G112" i="40"/>
  <c r="H112" i="40"/>
  <c r="I112" i="40" s="1"/>
  <c r="J112" i="40" s="1"/>
  <c r="K112" i="40" s="1"/>
  <c r="L112" i="40" s="1"/>
  <c r="M112" i="40" s="1"/>
  <c r="F39" i="40"/>
  <c r="S38" i="40"/>
  <c r="H39" i="40"/>
  <c r="U39" i="40" s="1"/>
  <c r="J39" i="40"/>
  <c r="W39" i="40" s="1"/>
  <c r="W38" i="40"/>
  <c r="F29" i="40"/>
  <c r="H29" i="40"/>
  <c r="U29" i="40" s="1"/>
  <c r="J29" i="40"/>
  <c r="W29" i="40" s="1"/>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D96" i="9"/>
  <c r="M18" i="15"/>
  <c r="A18" i="64"/>
  <c r="B74" i="63" s="1"/>
  <c r="C53" i="10"/>
  <c r="A25" i="64" s="1"/>
  <c r="A18" i="51"/>
  <c r="B14" i="63" s="1"/>
  <c r="BA16" i="3"/>
  <c r="AZ16" i="3" s="1"/>
  <c r="BA17" i="3"/>
  <c r="AZ17" i="3" s="1"/>
  <c r="F3" i="35"/>
  <c r="K1" i="43"/>
  <c r="K1" i="12"/>
  <c r="G1" i="44"/>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C51" i="10"/>
  <c r="A9" i="64" s="1"/>
  <c r="AA12" i="36"/>
  <c r="W11" i="35"/>
  <c r="AA11" i="35"/>
  <c r="U13" i="37"/>
  <c r="S13" i="21"/>
  <c r="C24" i="9"/>
  <c r="C25" i="9"/>
  <c r="L5" i="54"/>
  <c r="B39" i="63" s="1"/>
  <c r="K5" i="54"/>
  <c r="B38" i="63" s="1"/>
  <c r="T41" i="4"/>
  <c r="A17" i="64"/>
  <c r="B46" i="50"/>
  <c r="B4" i="63" s="1"/>
  <c r="H85" i="46"/>
  <c r="K10" i="1"/>
  <c r="M10" i="1" s="1"/>
  <c r="S13" i="1"/>
  <c r="R13" i="1"/>
  <c r="B6" i="1"/>
  <c r="E6" i="1" s="1"/>
  <c r="B10" i="1"/>
  <c r="E10" i="1" s="1"/>
  <c r="B8" i="1"/>
  <c r="E8" i="1" s="1"/>
  <c r="B12" i="1"/>
  <c r="E12" i="1" s="1"/>
  <c r="K6" i="1"/>
  <c r="M6" i="1" s="1"/>
  <c r="G1" i="15"/>
  <c r="F66" i="36"/>
  <c r="G66" i="36" s="1"/>
  <c r="H18" i="36"/>
  <c r="AB18" i="36" s="1"/>
  <c r="U16" i="36"/>
  <c r="S25" i="36"/>
  <c r="AA34" i="36"/>
  <c r="U23" i="36"/>
  <c r="AC27" i="36"/>
  <c r="W28" i="36"/>
  <c r="AA32" i="36"/>
  <c r="U13" i="36"/>
  <c r="AA22" i="36"/>
  <c r="W2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AA15" i="21"/>
  <c r="AC27" i="21"/>
  <c r="W29" i="21"/>
  <c r="G95" i="40"/>
  <c r="J27" i="40"/>
  <c r="W27" i="40" s="1"/>
  <c r="W37" i="40"/>
  <c r="W30" i="40"/>
  <c r="S34" i="40"/>
  <c r="U38" i="40"/>
  <c r="S40" i="40"/>
  <c r="S42" i="40"/>
  <c r="G104" i="39"/>
  <c r="J31" i="39"/>
  <c r="W31" i="39" s="1"/>
  <c r="S45"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AB20" i="36"/>
  <c r="AA20" i="36"/>
  <c r="AC14" i="36"/>
  <c r="W14" i="36"/>
  <c r="U14" i="36"/>
  <c r="AB14" i="36"/>
  <c r="U18" i="36"/>
  <c r="AA26" i="35"/>
  <c r="S26" i="35"/>
  <c r="U26" i="35"/>
  <c r="AB26" i="35"/>
  <c r="AC26" i="35"/>
  <c r="S19" i="37"/>
  <c r="U19" i="37"/>
  <c r="AC17" i="37"/>
  <c r="W17" i="37"/>
  <c r="U25" i="34"/>
  <c r="AB25" i="34"/>
  <c r="AA25" i="34"/>
  <c r="AC25" i="34"/>
  <c r="U23" i="34"/>
  <c r="AA23" i="34"/>
  <c r="S23" i="34"/>
  <c r="AC23" i="34"/>
  <c r="AA25" i="33"/>
  <c r="S25" i="33"/>
  <c r="U23" i="33"/>
  <c r="S23" i="33"/>
  <c r="AA23" i="33"/>
  <c r="AA17" i="33"/>
  <c r="AB17" i="33"/>
  <c r="U23" i="21"/>
  <c r="S23" i="21"/>
  <c r="U15" i="21"/>
  <c r="AC15" i="21"/>
  <c r="AB39" i="40"/>
  <c r="AA39" i="40"/>
  <c r="S39" i="40"/>
  <c r="U37" i="40"/>
  <c r="AB37" i="40"/>
  <c r="AA37" i="40"/>
  <c r="AB29" i="40"/>
  <c r="AC29" i="40"/>
  <c r="AA29" i="40"/>
  <c r="S29" i="40"/>
  <c r="W19" i="40"/>
  <c r="AC19" i="40"/>
  <c r="S19" i="40"/>
  <c r="AB19" i="40"/>
  <c r="B20" i="31"/>
  <c r="R22" i="31"/>
  <c r="B21" i="31"/>
  <c r="A17" i="51"/>
  <c r="B13" i="63"/>
  <c r="AT6" i="3"/>
  <c r="E4" i="4"/>
  <c r="B21" i="55" s="1"/>
  <c r="B72" i="63" s="1"/>
  <c r="C4" i="4"/>
  <c r="B20" i="55" s="1"/>
  <c r="B70" i="63" s="1"/>
  <c r="J18" i="36"/>
  <c r="W18" i="36"/>
  <c r="AC18" i="36"/>
  <c r="L20" i="6"/>
  <c r="C45" i="9"/>
  <c r="B7" i="66" s="1"/>
  <c r="C44" i="9"/>
  <c r="B6" i="66" s="1"/>
  <c r="K29" i="9"/>
  <c r="K30" i="9"/>
  <c r="N76" i="9"/>
  <c r="C46" i="9"/>
  <c r="K33" i="9"/>
  <c r="O41" i="9"/>
  <c r="R8" i="54" s="1"/>
  <c r="B54" i="63" s="1"/>
  <c r="B8" i="66"/>
  <c r="J21" i="46"/>
  <c r="F38" i="46"/>
  <c r="F41" i="46"/>
  <c r="F40" i="46"/>
  <c r="H117" i="46"/>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S21" i="59"/>
  <c r="M29" i="15"/>
  <c r="M24" i="44"/>
  <c r="E10" i="67"/>
  <c r="F43" i="15"/>
  <c r="E12" i="67"/>
  <c r="L49" i="44"/>
  <c r="J4" i="65"/>
  <c r="F43" i="44"/>
  <c r="F13" i="15"/>
  <c r="F13" i="67"/>
  <c r="F40" i="15"/>
  <c r="D19" i="9"/>
  <c r="F12" i="67"/>
  <c r="F8" i="67"/>
  <c r="J7" i="65"/>
  <c r="N3" i="65"/>
  <c r="M28" i="15"/>
  <c r="F16" i="15"/>
  <c r="M8" i="44"/>
  <c r="F7" i="15"/>
  <c r="F9" i="44"/>
  <c r="C20" i="9"/>
  <c r="F18" i="44"/>
  <c r="N5" i="65"/>
  <c r="F9" i="15"/>
  <c r="F14" i="67"/>
  <c r="F11" i="67"/>
  <c r="M8" i="15"/>
  <c r="M6" i="15"/>
  <c r="J5" i="65"/>
  <c r="M28" i="44"/>
  <c r="F36" i="15"/>
  <c r="F10" i="67"/>
  <c r="F6" i="15"/>
  <c r="C19" i="9"/>
  <c r="F11" i="44"/>
  <c r="B11" i="67"/>
  <c r="M31" i="44"/>
  <c r="M11" i="44"/>
  <c r="I3" i="65"/>
  <c r="F45" i="44"/>
  <c r="M26" i="44"/>
  <c r="N7" i="65"/>
  <c r="E13" i="67"/>
  <c r="N6" i="65"/>
  <c r="M26" i="15"/>
  <c r="J6" i="65"/>
  <c r="F26" i="15"/>
  <c r="B12" i="67"/>
  <c r="M25" i="44"/>
  <c r="F37" i="15"/>
  <c r="F38" i="15"/>
  <c r="M9" i="15"/>
  <c r="E8" i="67"/>
  <c r="M23" i="15"/>
  <c r="B9" i="67"/>
  <c r="F42" i="15"/>
  <c r="I4" i="65"/>
  <c r="J17" i="44"/>
  <c r="I6" i="65"/>
  <c r="J3" i="65"/>
  <c r="E11" i="67"/>
  <c r="B10" i="67"/>
  <c r="D20" i="9"/>
  <c r="E14" i="67"/>
  <c r="E9" i="67"/>
  <c r="M22" i="15"/>
  <c r="F40" i="44"/>
  <c r="F9" i="67"/>
  <c r="L47" i="15"/>
  <c r="M30" i="44"/>
  <c r="J15" i="15"/>
  <c r="N4" i="65"/>
  <c r="F10" i="44"/>
  <c r="J36" i="15"/>
  <c r="F28" i="44"/>
  <c r="B8" i="67"/>
  <c r="I5" i="65"/>
  <c r="M24" i="15"/>
  <c r="F8" i="15"/>
  <c r="F15" i="44"/>
  <c r="D21" i="9"/>
  <c r="L48" i="15"/>
  <c r="F39" i="44"/>
  <c r="M10" i="44"/>
  <c r="F8" i="44"/>
  <c r="I7" i="65"/>
  <c r="B13" i="67"/>
  <c r="L48" i="44"/>
  <c r="F38" i="44"/>
  <c r="C21" i="9"/>
  <c r="B14" i="67"/>
  <c r="D55" i="46" l="1"/>
  <c r="G12" i="1"/>
  <c r="F8" i="1"/>
  <c r="AP8" i="1" s="1"/>
  <c r="F7" i="1"/>
  <c r="G7" i="1" s="1"/>
  <c r="A4" i="51"/>
  <c r="B6" i="63" s="1"/>
  <c r="A2" i="9"/>
  <c r="H86" i="46"/>
  <c r="H89" i="46"/>
  <c r="H72" i="46"/>
  <c r="H88" i="46"/>
  <c r="H87" i="46"/>
  <c r="H90" i="46"/>
  <c r="H83" i="46"/>
  <c r="AC34" i="35"/>
  <c r="W34" i="35"/>
  <c r="AA9" i="36"/>
  <c r="S9" i="36"/>
  <c r="AZ554" i="3"/>
  <c r="AZ566" i="3"/>
  <c r="AZ514" i="3"/>
  <c r="AC45" i="33"/>
  <c r="W45" i="33"/>
  <c r="AB30" i="21"/>
  <c r="U30" i="21"/>
  <c r="H26" i="33"/>
  <c r="J26" i="33"/>
  <c r="F31" i="33"/>
  <c r="J31" i="33"/>
  <c r="F46" i="33"/>
  <c r="J46" i="33"/>
  <c r="BA554" i="3"/>
  <c r="BA542" i="3"/>
  <c r="BA541" i="3"/>
  <c r="AZ541" i="3" s="1"/>
  <c r="G535" i="3"/>
  <c r="BL527" i="3"/>
  <c r="AZ527" i="3" s="1"/>
  <c r="G520" i="3"/>
  <c r="AB20" i="35"/>
  <c r="S39" i="39"/>
  <c r="U47" i="39"/>
  <c r="U15" i="33"/>
  <c r="S23" i="39"/>
  <c r="AZ506" i="3"/>
  <c r="AZ537" i="3"/>
  <c r="AZ563" i="3"/>
  <c r="AZ567" i="3"/>
  <c r="AZ370" i="3"/>
  <c r="AZ362" i="3"/>
  <c r="AZ307" i="3"/>
  <c r="AZ343" i="3"/>
  <c r="U19" i="21"/>
  <c r="AZ551" i="3"/>
  <c r="AZ569" i="3"/>
  <c r="S38" i="37"/>
  <c r="AC35" i="35"/>
  <c r="AB31" i="33"/>
  <c r="U31" i="33"/>
  <c r="AA39" i="37"/>
  <c r="S38" i="21"/>
  <c r="AA38" i="21"/>
  <c r="G570" i="3"/>
  <c r="BL555" i="3"/>
  <c r="BA543" i="3"/>
  <c r="AZ543" i="3" s="1"/>
  <c r="BA512" i="3"/>
  <c r="AZ512" i="3" s="1"/>
  <c r="AC27" i="40"/>
  <c r="AC39" i="40"/>
  <c r="W17" i="33"/>
  <c r="W23" i="33"/>
  <c r="W27" i="39"/>
  <c r="AZ509" i="3"/>
  <c r="AZ366" i="3"/>
  <c r="AZ556" i="3"/>
  <c r="AZ555" i="3"/>
  <c r="B73" i="46"/>
  <c r="C23" i="39"/>
  <c r="S12" i="33"/>
  <c r="AA12" i="33"/>
  <c r="J27" i="33"/>
  <c r="H27" i="33"/>
  <c r="H9" i="34"/>
  <c r="J9" i="34"/>
  <c r="W27" i="35"/>
  <c r="AC27" i="35"/>
  <c r="H9" i="36"/>
  <c r="J9" i="36"/>
  <c r="J13" i="36"/>
  <c r="F13" i="36"/>
  <c r="J39" i="37"/>
  <c r="H39" i="37"/>
  <c r="BL569" i="3"/>
  <c r="BA566" i="3"/>
  <c r="BA565" i="3"/>
  <c r="AZ565" i="3" s="1"/>
  <c r="BL561" i="3"/>
  <c r="AZ561" i="3" s="1"/>
  <c r="BA559" i="3"/>
  <c r="AZ559" i="3" s="1"/>
  <c r="BA550" i="3"/>
  <c r="AZ550" i="3" s="1"/>
  <c r="BA532" i="3"/>
  <c r="AZ532" i="3" s="1"/>
  <c r="G528" i="3"/>
  <c r="G511" i="3"/>
  <c r="K34" i="9"/>
  <c r="O40" i="9"/>
  <c r="K31" i="9" s="1"/>
  <c r="K32" i="9" s="1"/>
  <c r="U33" i="40"/>
  <c r="AC11" i="33"/>
  <c r="U11" i="34"/>
  <c r="W41" i="39"/>
  <c r="AB41" i="33"/>
  <c r="S17" i="34"/>
  <c r="AB29" i="39"/>
  <c r="U30" i="40"/>
  <c r="AA41" i="33"/>
  <c r="AC16" i="40"/>
  <c r="U16" i="40"/>
  <c r="W14" i="39"/>
  <c r="W40" i="40"/>
  <c r="AZ496" i="3"/>
  <c r="AZ504" i="3"/>
  <c r="AZ523" i="3"/>
  <c r="AZ548" i="3"/>
  <c r="AZ352" i="3"/>
  <c r="AZ336" i="3"/>
  <c r="AZ320" i="3"/>
  <c r="AB31" i="37"/>
  <c r="AZ526" i="3"/>
  <c r="AZ534" i="3"/>
  <c r="AZ502" i="3"/>
  <c r="AZ558" i="3"/>
  <c r="AZ493" i="3"/>
  <c r="U46" i="21"/>
  <c r="AA27" i="37"/>
  <c r="H5" i="3"/>
  <c r="W33" i="33"/>
  <c r="AC33" i="33"/>
  <c r="F12" i="35"/>
  <c r="H12" i="35"/>
  <c r="F34" i="35"/>
  <c r="H34" i="35"/>
  <c r="AB34" i="37"/>
  <c r="U34" i="37"/>
  <c r="BA524" i="3"/>
  <c r="AZ524" i="3" s="1"/>
  <c r="G516" i="3"/>
  <c r="H27" i="21"/>
  <c r="F27" i="21"/>
  <c r="J31" i="21"/>
  <c r="F31" i="21"/>
  <c r="B99" i="46"/>
  <c r="B76" i="46"/>
  <c r="B94" i="46"/>
  <c r="B84" i="46"/>
  <c r="AA38" i="33"/>
  <c r="S38" i="33"/>
  <c r="H36" i="35"/>
  <c r="F36" i="35"/>
  <c r="J25" i="36"/>
  <c r="H25" i="36"/>
  <c r="F14" i="37"/>
  <c r="J14" i="37"/>
  <c r="H25" i="37"/>
  <c r="F25" i="37"/>
  <c r="BA562" i="3"/>
  <c r="BL558" i="3"/>
  <c r="BL551" i="3"/>
  <c r="BL542" i="3"/>
  <c r="BA540" i="3"/>
  <c r="AZ540" i="3" s="1"/>
  <c r="BA509" i="3"/>
  <c r="BA508" i="3"/>
  <c r="AZ508" i="3" s="1"/>
  <c r="J30" i="21"/>
  <c r="H14" i="21"/>
  <c r="AB42" i="34"/>
  <c r="W38" i="33"/>
  <c r="BA570" i="3"/>
  <c r="AZ570" i="3" s="1"/>
  <c r="BE5" i="3"/>
  <c r="J25" i="35"/>
  <c r="H25" i="35"/>
  <c r="J12" i="36"/>
  <c r="H12" i="36"/>
  <c r="J23" i="36"/>
  <c r="F23" i="36"/>
  <c r="BA488" i="3"/>
  <c r="AZ488" i="3" s="1"/>
  <c r="BL501" i="3"/>
  <c r="AZ501" i="3" s="1"/>
  <c r="BL500" i="3"/>
  <c r="AZ500" i="3" s="1"/>
  <c r="BL495" i="3"/>
  <c r="AZ495" i="3" s="1"/>
  <c r="AB30" i="33"/>
  <c r="U30" i="33"/>
  <c r="E5" i="6"/>
  <c r="D12" i="11" s="1"/>
  <c r="C12" i="11" s="1"/>
  <c r="BA572" i="3"/>
  <c r="AZ572" i="3" s="1"/>
  <c r="B101" i="46"/>
  <c r="B79" i="46"/>
  <c r="S9" i="21"/>
  <c r="H44" i="33"/>
  <c r="F44" i="33"/>
  <c r="AB22" i="36"/>
  <c r="U22" i="36"/>
  <c r="H34" i="36"/>
  <c r="J25" i="37"/>
  <c r="H14" i="37"/>
  <c r="G564" i="3"/>
  <c r="BL563" i="3"/>
  <c r="G563" i="3"/>
  <c r="BA557" i="3"/>
  <c r="AZ557" i="3" s="1"/>
  <c r="BL538" i="3"/>
  <c r="AZ538" i="3" s="1"/>
  <c r="G538" i="3"/>
  <c r="BL535" i="3"/>
  <c r="AZ535" i="3" s="1"/>
  <c r="BL510" i="3"/>
  <c r="AZ510" i="3" s="1"/>
  <c r="G508" i="3"/>
  <c r="G500" i="3"/>
  <c r="G15" i="3"/>
  <c r="AZ408" i="3"/>
  <c r="AZ344" i="3"/>
  <c r="AZ304" i="3"/>
  <c r="AZ359" i="3"/>
  <c r="AZ323" i="3"/>
  <c r="AZ201" i="3"/>
  <c r="AZ327" i="3"/>
  <c r="BL482" i="3"/>
  <c r="AZ482" i="3" s="1"/>
  <c r="BL516" i="3"/>
  <c r="AZ516" i="3" s="1"/>
  <c r="BL562" i="3"/>
  <c r="AZ562" i="3" s="1"/>
  <c r="BF5" i="3"/>
  <c r="G569" i="3"/>
  <c r="G567" i="3"/>
  <c r="G504" i="3"/>
  <c r="AZ420" i="3"/>
  <c r="AZ390" i="3"/>
  <c r="AZ394" i="3"/>
  <c r="AZ399" i="3"/>
  <c r="AZ403" i="3"/>
  <c r="AZ406" i="3"/>
  <c r="AZ410" i="3"/>
  <c r="AZ415" i="3"/>
  <c r="AZ422" i="3"/>
  <c r="AZ426" i="3"/>
  <c r="AZ430" i="3"/>
  <c r="AZ439" i="3"/>
  <c r="AZ442" i="3"/>
  <c r="AZ446" i="3"/>
  <c r="AZ450" i="3"/>
  <c r="AZ454" i="3"/>
  <c r="AZ459" i="3"/>
  <c r="AZ462" i="3"/>
  <c r="AZ463" i="3"/>
  <c r="AZ467" i="3"/>
  <c r="AZ471" i="3"/>
  <c r="AZ475" i="3"/>
  <c r="BL479" i="3"/>
  <c r="AZ479" i="3" s="1"/>
  <c r="AZ368" i="3"/>
  <c r="AZ371" i="3"/>
  <c r="BA210" i="3"/>
  <c r="AZ210" i="3" s="1"/>
  <c r="BA212" i="3"/>
  <c r="BA213" i="3"/>
  <c r="A30" i="64"/>
  <c r="A30" i="51"/>
  <c r="B22" i="63" s="1"/>
  <c r="BA391" i="3"/>
  <c r="AZ391" i="3" s="1"/>
  <c r="BL392" i="3"/>
  <c r="AZ392" i="3" s="1"/>
  <c r="BA407" i="3"/>
  <c r="AZ407" i="3" s="1"/>
  <c r="BL408" i="3"/>
  <c r="BA419" i="3"/>
  <c r="AZ419" i="3" s="1"/>
  <c r="BL420" i="3"/>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L386" i="3"/>
  <c r="G387" i="3"/>
  <c r="BL387" i="3"/>
  <c r="AZ387" i="3" s="1"/>
  <c r="BL388" i="3"/>
  <c r="BA207" i="3"/>
  <c r="G223" i="3"/>
  <c r="BA244" i="3"/>
  <c r="AZ244" i="3" s="1"/>
  <c r="G255" i="3"/>
  <c r="BA396" i="3"/>
  <c r="AZ396" i="3" s="1"/>
  <c r="BL397" i="3"/>
  <c r="BA400" i="3"/>
  <c r="AZ400" i="3" s="1"/>
  <c r="BA404" i="3"/>
  <c r="AZ404" i="3" s="1"/>
  <c r="BL405" i="3"/>
  <c r="BA412" i="3"/>
  <c r="AZ412" i="3" s="1"/>
  <c r="BL413" i="3"/>
  <c r="BA416" i="3"/>
  <c r="AZ416" i="3" s="1"/>
  <c r="BL417" i="3"/>
  <c r="BL433" i="3"/>
  <c r="AZ433" i="3" s="1"/>
  <c r="BA436" i="3"/>
  <c r="AZ436" i="3" s="1"/>
  <c r="BL437" i="3"/>
  <c r="BA440" i="3"/>
  <c r="AZ440" i="3" s="1"/>
  <c r="BA448" i="3"/>
  <c r="AZ448" i="3" s="1"/>
  <c r="BA456" i="3"/>
  <c r="AZ456" i="3" s="1"/>
  <c r="BL457" i="3"/>
  <c r="BA460" i="3"/>
  <c r="AZ460" i="3" s="1"/>
  <c r="BA464" i="3"/>
  <c r="AZ464" i="3" s="1"/>
  <c r="BL465" i="3"/>
  <c r="BA468" i="3"/>
  <c r="AZ468" i="3" s="1"/>
  <c r="BA472" i="3"/>
  <c r="AZ472" i="3" s="1"/>
  <c r="BL473" i="3"/>
  <c r="BA476" i="3"/>
  <c r="AZ476" i="3" s="1"/>
  <c r="AZ480" i="3"/>
  <c r="BA319" i="3"/>
  <c r="AZ319" i="3" s="1"/>
  <c r="BA335" i="3"/>
  <c r="AZ335" i="3" s="1"/>
  <c r="BA351" i="3"/>
  <c r="AZ351" i="3" s="1"/>
  <c r="BL360" i="3"/>
  <c r="AZ360" i="3" s="1"/>
  <c r="BL366" i="3"/>
  <c r="BL376" i="3"/>
  <c r="AZ376" i="3" s="1"/>
  <c r="BL382" i="3"/>
  <c r="AZ382" i="3" s="1"/>
  <c r="BL212" i="3"/>
  <c r="BA215" i="3"/>
  <c r="AZ215" i="3" s="1"/>
  <c r="BA216" i="3"/>
  <c r="AZ216" i="3" s="1"/>
  <c r="BL226" i="3"/>
  <c r="BA236" i="3"/>
  <c r="AZ236" i="3" s="1"/>
  <c r="G247" i="3"/>
  <c r="BA248" i="3"/>
  <c r="AZ248" i="3" s="1"/>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0" i="3"/>
  <c r="AZ380" i="3" s="1"/>
  <c r="BA386" i="3"/>
  <c r="AZ386" i="3" s="1"/>
  <c r="BA388" i="3"/>
  <c r="BA205" i="3"/>
  <c r="BL207" i="3"/>
  <c r="BL208" i="3"/>
  <c r="G210" i="3"/>
  <c r="BA214" i="3"/>
  <c r="AZ214" i="3" s="1"/>
  <c r="BL218" i="3"/>
  <c r="G219" i="3"/>
  <c r="BA228" i="3"/>
  <c r="AZ228" i="3" s="1"/>
  <c r="BA229" i="3"/>
  <c r="BL231" i="3"/>
  <c r="AZ231" i="3" s="1"/>
  <c r="G239" i="3"/>
  <c r="BA240" i="3"/>
  <c r="AZ240" i="3" s="1"/>
  <c r="BA241" i="3"/>
  <c r="AZ241" i="3" s="1"/>
  <c r="BL246" i="3"/>
  <c r="G251" i="3"/>
  <c r="BL258" i="3"/>
  <c r="AZ113" i="3"/>
  <c r="AZ279" i="3"/>
  <c r="AZ283" i="3"/>
  <c r="AZ117" i="3"/>
  <c r="AZ125" i="3"/>
  <c r="AZ133" i="3"/>
  <c r="AZ38" i="3"/>
  <c r="BL385" i="3"/>
  <c r="AZ385" i="3" s="1"/>
  <c r="BL205" i="3"/>
  <c r="BL209" i="3"/>
  <c r="AZ209" i="3" s="1"/>
  <c r="BL213" i="3"/>
  <c r="BL217" i="3"/>
  <c r="AZ217" i="3" s="1"/>
  <c r="BL221" i="3"/>
  <c r="AZ221" i="3" s="1"/>
  <c r="BL225" i="3"/>
  <c r="AZ225" i="3" s="1"/>
  <c r="BL229" i="3"/>
  <c r="BL233" i="3"/>
  <c r="AZ233" i="3" s="1"/>
  <c r="BL237" i="3"/>
  <c r="AZ237" i="3" s="1"/>
  <c r="BL241" i="3"/>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8" i="3"/>
  <c r="G151" i="3"/>
  <c r="BA171" i="3"/>
  <c r="AZ171" i="3" s="1"/>
  <c r="G174" i="3"/>
  <c r="BA176" i="3"/>
  <c r="BA384" i="3"/>
  <c r="AZ384"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40" i="3"/>
  <c r="G143" i="3"/>
  <c r="BA145" i="3"/>
  <c r="AZ145" i="3" s="1"/>
  <c r="G150" i="3"/>
  <c r="BA154" i="3"/>
  <c r="AZ154" i="3" s="1"/>
  <c r="BL157" i="3"/>
  <c r="AZ157" i="3" s="1"/>
  <c r="BA162" i="3"/>
  <c r="AZ162" i="3" s="1"/>
  <c r="G166" i="3"/>
  <c r="BA168" i="3"/>
  <c r="G173" i="3"/>
  <c r="AZ175" i="3"/>
  <c r="G179" i="3"/>
  <c r="G183" i="3"/>
  <c r="BA187" i="3"/>
  <c r="G197" i="3"/>
  <c r="BA218" i="3"/>
  <c r="AZ218" i="3" s="1"/>
  <c r="BL219" i="3"/>
  <c r="BA222" i="3"/>
  <c r="AZ222" i="3" s="1"/>
  <c r="BA226" i="3"/>
  <c r="AZ226" i="3" s="1"/>
  <c r="BL227" i="3"/>
  <c r="BA230" i="3"/>
  <c r="AZ230" i="3" s="1"/>
  <c r="BA234" i="3"/>
  <c r="AZ234" i="3" s="1"/>
  <c r="BL235" i="3"/>
  <c r="BA238" i="3"/>
  <c r="AZ238" i="3" s="1"/>
  <c r="BA242" i="3"/>
  <c r="AZ242" i="3" s="1"/>
  <c r="BL243" i="3"/>
  <c r="BA246" i="3"/>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BA282" i="3"/>
  <c r="AZ282" i="3" s="1"/>
  <c r="BL283" i="3"/>
  <c r="BA286" i="3"/>
  <c r="AZ286" i="3" s="1"/>
  <c r="BL287" i="3"/>
  <c r="BA290" i="3"/>
  <c r="AZ290" i="3" s="1"/>
  <c r="BL291" i="3"/>
  <c r="AZ291" i="3" s="1"/>
  <c r="BL295" i="3"/>
  <c r="AZ295" i="3" s="1"/>
  <c r="BL118" i="3"/>
  <c r="AZ118" i="3" s="1"/>
  <c r="BL126" i="3"/>
  <c r="AZ126" i="3" s="1"/>
  <c r="BL134" i="3"/>
  <c r="AZ134" i="3" s="1"/>
  <c r="BA139" i="3"/>
  <c r="AZ139" i="3" s="1"/>
  <c r="G142" i="3"/>
  <c r="BL149" i="3"/>
  <c r="G157" i="3"/>
  <c r="G165" i="3"/>
  <c r="BL172" i="3"/>
  <c r="BL178" i="3"/>
  <c r="AZ178" i="3" s="1"/>
  <c r="G189" i="3"/>
  <c r="BL196" i="3"/>
  <c r="AZ196" i="3" s="1"/>
  <c r="G204" i="3"/>
  <c r="BA137" i="3"/>
  <c r="AZ137" i="3" s="1"/>
  <c r="BL140" i="3"/>
  <c r="BL148" i="3"/>
  <c r="BA152" i="3"/>
  <c r="AZ152" i="3" s="1"/>
  <c r="BA158" i="3"/>
  <c r="AZ158" i="3" s="1"/>
  <c r="BA160" i="3"/>
  <c r="AZ160" i="3" s="1"/>
  <c r="BL171" i="3"/>
  <c r="BL177" i="3"/>
  <c r="AZ177" i="3" s="1"/>
  <c r="BL187" i="3"/>
  <c r="BL195" i="3"/>
  <c r="AZ195" i="3" s="1"/>
  <c r="BA21" i="3"/>
  <c r="AZ21" i="3" s="1"/>
  <c r="BL22" i="3"/>
  <c r="AZ22" i="3" s="1"/>
  <c r="BA25" i="3"/>
  <c r="AZ25" i="3" s="1"/>
  <c r="BL26" i="3"/>
  <c r="AZ26" i="3" s="1"/>
  <c r="BA37" i="3"/>
  <c r="AZ37" i="3" s="1"/>
  <c r="BL38" i="3"/>
  <c r="BA41" i="3"/>
  <c r="AZ41" i="3" s="1"/>
  <c r="BL42" i="3"/>
  <c r="AZ42" i="3" s="1"/>
  <c r="BA53" i="3"/>
  <c r="AZ53" i="3" s="1"/>
  <c r="BL54" i="3"/>
  <c r="BA63" i="3"/>
  <c r="AZ63" i="3" s="1"/>
  <c r="BL64" i="3"/>
  <c r="AZ64" i="3" s="1"/>
  <c r="BA78" i="3"/>
  <c r="AZ78" i="3" s="1"/>
  <c r="BL81" i="3"/>
  <c r="BA87" i="3"/>
  <c r="BL94" i="3"/>
  <c r="AZ94" i="3" s="1"/>
  <c r="BL142" i="3"/>
  <c r="AZ142" i="3" s="1"/>
  <c r="BL150" i="3"/>
  <c r="AZ150" i="3" s="1"/>
  <c r="BA155" i="3"/>
  <c r="AZ155" i="3" s="1"/>
  <c r="BL156" i="3"/>
  <c r="AZ156" i="3" s="1"/>
  <c r="BA163" i="3"/>
  <c r="AZ163" i="3" s="1"/>
  <c r="BL165" i="3"/>
  <c r="AZ165" i="3" s="1"/>
  <c r="BL173" i="3"/>
  <c r="AZ173" i="3" s="1"/>
  <c r="BL182" i="3"/>
  <c r="BA185" i="3"/>
  <c r="AZ185" i="3" s="1"/>
  <c r="BL190" i="3"/>
  <c r="BA193" i="3"/>
  <c r="AZ193" i="3" s="1"/>
  <c r="BL198" i="3"/>
  <c r="BA201" i="3"/>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G81" i="3"/>
  <c r="BL83" i="3"/>
  <c r="BL85" i="3"/>
  <c r="BL90" i="3"/>
  <c r="AZ90" i="3" s="1"/>
  <c r="BL106" i="3"/>
  <c r="AZ106" i="3" s="1"/>
  <c r="C37" i="59"/>
  <c r="D36" i="59"/>
  <c r="C57" i="59"/>
  <c r="D56" i="59"/>
  <c r="BA141" i="3"/>
  <c r="AZ141" i="3" s="1"/>
  <c r="BA147" i="3"/>
  <c r="AZ147" i="3" s="1"/>
  <c r="BA149" i="3"/>
  <c r="AZ149" i="3" s="1"/>
  <c r="BL159" i="3"/>
  <c r="AZ159" i="3" s="1"/>
  <c r="BA164" i="3"/>
  <c r="AZ164" i="3" s="1"/>
  <c r="BA170" i="3"/>
  <c r="AZ170" i="3" s="1"/>
  <c r="BA172" i="3"/>
  <c r="AZ172" i="3" s="1"/>
  <c r="BA180" i="3"/>
  <c r="AZ180" i="3" s="1"/>
  <c r="BL183" i="3"/>
  <c r="AZ183" i="3" s="1"/>
  <c r="BL191" i="3"/>
  <c r="AZ191" i="3" s="1"/>
  <c r="BL199" i="3"/>
  <c r="AZ199" i="3" s="1"/>
  <c r="BA203" i="3"/>
  <c r="AZ203" i="3" s="1"/>
  <c r="BL204" i="3"/>
  <c r="AZ204" i="3" s="1"/>
  <c r="BL24" i="3"/>
  <c r="AZ24" i="3" s="1"/>
  <c r="BA31" i="3"/>
  <c r="AZ31" i="3" s="1"/>
  <c r="BA35" i="3"/>
  <c r="AZ35" i="3" s="1"/>
  <c r="BL36" i="3"/>
  <c r="BL40" i="3"/>
  <c r="AZ40" i="3" s="1"/>
  <c r="BA47" i="3"/>
  <c r="AZ47" i="3" s="1"/>
  <c r="BA51" i="3"/>
  <c r="AZ51" i="3" s="1"/>
  <c r="BL52" i="3"/>
  <c r="BL56" i="3"/>
  <c r="AZ56" i="3" s="1"/>
  <c r="BL59" i="3"/>
  <c r="AZ59" i="3" s="1"/>
  <c r="BA65" i="3"/>
  <c r="AZ65" i="3" s="1"/>
  <c r="BL70" i="3"/>
  <c r="AZ70" i="3" s="1"/>
  <c r="BA72" i="3"/>
  <c r="AZ72" i="3" s="1"/>
  <c r="BL73" i="3"/>
  <c r="BA81" i="3"/>
  <c r="AZ81" i="3" s="1"/>
  <c r="G85" i="3"/>
  <c r="BL88" i="3"/>
  <c r="BA92" i="3"/>
  <c r="AZ92" i="3" s="1"/>
  <c r="BA97" i="3"/>
  <c r="AZ97" i="3" s="1"/>
  <c r="G101" i="3"/>
  <c r="BA110" i="3"/>
  <c r="AZ110" i="3" s="1"/>
  <c r="T41" i="59"/>
  <c r="D41" i="59"/>
  <c r="C33" i="59"/>
  <c r="D32" i="59"/>
  <c r="D60" i="59"/>
  <c r="C61" i="59"/>
  <c r="AZ28" i="3"/>
  <c r="AZ36" i="3"/>
  <c r="AZ44" i="3"/>
  <c r="AZ52" i="3"/>
  <c r="AZ62" i="3"/>
  <c r="AZ73" i="3"/>
  <c r="AZ77" i="3"/>
  <c r="AZ83" i="3"/>
  <c r="AZ85" i="3"/>
  <c r="AZ88" i="3"/>
  <c r="BA104" i="3"/>
  <c r="AZ104" i="3" s="1"/>
  <c r="BA107" i="3"/>
  <c r="O67" i="59"/>
  <c r="D67" i="59"/>
  <c r="O66" i="59"/>
  <c r="D63" i="59"/>
  <c r="C64" i="59"/>
  <c r="Q67" i="59"/>
  <c r="Q66" i="59"/>
  <c r="S21" i="34"/>
  <c r="D76" i="59"/>
  <c r="D68" i="59"/>
  <c r="D80" i="59"/>
  <c r="E76" i="59"/>
  <c r="E75" i="59" s="1"/>
  <c r="P69" i="59"/>
  <c r="E67" i="59"/>
  <c r="AB3" i="59"/>
  <c r="AA28" i="59"/>
  <c r="X28" i="59"/>
  <c r="B31" i="59"/>
  <c r="B32" i="59" s="1"/>
  <c r="B33" i="59" s="1"/>
  <c r="S33" i="59" s="1"/>
  <c r="X27" i="59"/>
  <c r="X30" i="59"/>
  <c r="F31" i="59"/>
  <c r="F32" i="59" s="1"/>
  <c r="F33" i="59" s="1"/>
  <c r="V33" i="59" s="1"/>
  <c r="AA30" i="59"/>
  <c r="AA31" i="59"/>
  <c r="AA33" i="59"/>
  <c r="Y32" i="59"/>
  <c r="Z32" i="59" s="1"/>
  <c r="AA34" i="59"/>
  <c r="AA35" i="59"/>
  <c r="AA37" i="59"/>
  <c r="AB29" i="59"/>
  <c r="AA36" i="59"/>
  <c r="S29" i="59"/>
  <c r="B28" i="59"/>
  <c r="B27" i="59" s="1"/>
  <c r="E24" i="59"/>
  <c r="E23" i="59" s="1"/>
  <c r="E22" i="59" s="1"/>
  <c r="E21" i="59" s="1"/>
  <c r="U25" i="59"/>
  <c r="Y24" i="59"/>
  <c r="Z24" i="59" s="1"/>
  <c r="X22" i="59"/>
  <c r="Y18" i="59"/>
  <c r="Z18" i="59" s="1"/>
  <c r="AB18" i="59"/>
  <c r="BL87" i="3"/>
  <c r="BL91" i="3"/>
  <c r="AZ91" i="3" s="1"/>
  <c r="BA98" i="3"/>
  <c r="AZ98" i="3" s="1"/>
  <c r="BA102" i="3"/>
  <c r="AZ102" i="3" s="1"/>
  <c r="BL103" i="3"/>
  <c r="AZ103" i="3" s="1"/>
  <c r="BL107" i="3"/>
  <c r="J53" i="46"/>
  <c r="C27" i="40"/>
  <c r="S21" i="37"/>
  <c r="F35" i="59"/>
  <c r="F36" i="59" s="1"/>
  <c r="F37" i="59" s="1"/>
  <c r="V37" i="59" s="1"/>
  <c r="AB34" i="59"/>
  <c r="AB11" i="59"/>
  <c r="AB37" i="59"/>
  <c r="Y5" i="59"/>
  <c r="Z5" i="59" s="1"/>
  <c r="Y7" i="59"/>
  <c r="Z7" i="59" s="1"/>
  <c r="Y6" i="59"/>
  <c r="Z6" i="59" s="1"/>
  <c r="Y8" i="59"/>
  <c r="Z8" i="59" s="1"/>
  <c r="Y10" i="59"/>
  <c r="Z10" i="59" s="1"/>
  <c r="Y40" i="59"/>
  <c r="Z40" i="59" s="1"/>
  <c r="Y11" i="59"/>
  <c r="Z11" i="59" s="1"/>
  <c r="Y26" i="59"/>
  <c r="Z26" i="59" s="1"/>
  <c r="X24" i="59"/>
  <c r="AB25" i="59"/>
  <c r="F25" i="59"/>
  <c r="AA22" i="59"/>
  <c r="X19" i="59"/>
  <c r="AA19" i="59"/>
  <c r="AB14" i="59"/>
  <c r="AA18" i="59"/>
  <c r="BA79" i="3"/>
  <c r="AZ79" i="3" s="1"/>
  <c r="BL80" i="3"/>
  <c r="BL84" i="3"/>
  <c r="AZ84" i="3" s="1"/>
  <c r="BA95" i="3"/>
  <c r="AZ95" i="3" s="1"/>
  <c r="BL96" i="3"/>
  <c r="BA99" i="3"/>
  <c r="AZ99" i="3" s="1"/>
  <c r="BL100" i="3"/>
  <c r="BA111" i="3"/>
  <c r="AZ111" i="3" s="1"/>
  <c r="S31" i="39"/>
  <c r="S18" i="35"/>
  <c r="D40" i="59"/>
  <c r="C83" i="59"/>
  <c r="D83" i="59" s="1"/>
  <c r="D31" i="59"/>
  <c r="AB27" i="59"/>
  <c r="AA3" i="59"/>
  <c r="X3" i="59"/>
  <c r="X32" i="59"/>
  <c r="X33" i="59"/>
  <c r="X34" i="59"/>
  <c r="X36" i="59"/>
  <c r="X37" i="59"/>
  <c r="X38" i="59"/>
  <c r="E39" i="59"/>
  <c r="E40" i="59" s="1"/>
  <c r="E41" i="59" s="1"/>
  <c r="U41" i="59" s="1"/>
  <c r="X39" i="59"/>
  <c r="AA7" i="59"/>
  <c r="AA6" i="59"/>
  <c r="AA5" i="59"/>
  <c r="AA8" i="59"/>
  <c r="AA10" i="59"/>
  <c r="AA11" i="59"/>
  <c r="N69" i="59"/>
  <c r="B68" i="59"/>
  <c r="C29" i="59"/>
  <c r="Y28" i="59"/>
  <c r="Z28" i="59" s="1"/>
  <c r="Y38" i="59"/>
  <c r="Z38" i="59" s="1"/>
  <c r="AB24" i="59"/>
  <c r="Y19" i="59"/>
  <c r="Z19" i="59" s="1"/>
  <c r="X15" i="59"/>
  <c r="BA108" i="3"/>
  <c r="AZ108" i="3" s="1"/>
  <c r="BL109" i="3"/>
  <c r="AZ109" i="3" s="1"/>
  <c r="BA112" i="3"/>
  <c r="AZ112" i="3" s="1"/>
  <c r="AB26" i="59"/>
  <c r="Y31" i="59"/>
  <c r="Z31" i="59" s="1"/>
  <c r="Y33" i="59"/>
  <c r="Z33" i="59" s="1"/>
  <c r="Y35" i="59"/>
  <c r="Z35" i="59" s="1"/>
  <c r="Y36" i="59"/>
  <c r="Z36" i="59" s="1"/>
  <c r="Y37" i="59"/>
  <c r="Z37" i="59" s="1"/>
  <c r="X5" i="59"/>
  <c r="X7" i="59"/>
  <c r="X8" i="59"/>
  <c r="X6" i="59"/>
  <c r="X10" i="59"/>
  <c r="X11" i="59"/>
  <c r="AA26" i="59"/>
  <c r="E29" i="59"/>
  <c r="C24" i="59"/>
  <c r="D25" i="59"/>
  <c r="Y34" i="59"/>
  <c r="Z34" i="59" s="1"/>
  <c r="F29" i="59"/>
  <c r="AB28" i="59"/>
  <c r="Y25" i="59"/>
  <c r="Z25" i="59" s="1"/>
  <c r="AB19" i="59"/>
  <c r="Y13" i="59"/>
  <c r="Z13" i="59" s="1"/>
  <c r="Y15" i="59"/>
  <c r="Z15" i="59" s="1"/>
  <c r="Y14" i="59"/>
  <c r="Z14" i="59" s="1"/>
  <c r="Y12" i="59"/>
  <c r="Z12" i="59" s="1"/>
  <c r="O76" i="9"/>
  <c r="AA24" i="59"/>
  <c r="AA16" i="59"/>
  <c r="AA13" i="59"/>
  <c r="AA15" i="59"/>
  <c r="AB16" i="59"/>
  <c r="AB13" i="59"/>
  <c r="X13" i="59"/>
  <c r="AB6" i="59"/>
  <c r="AB7" i="59"/>
  <c r="AB8" i="59"/>
  <c r="AB5" i="59"/>
  <c r="AB10" i="59"/>
  <c r="X17" i="59"/>
  <c r="AB12" i="59"/>
  <c r="AA14" i="59"/>
  <c r="X14" i="59"/>
  <c r="AB15" i="59"/>
  <c r="AA12" i="59"/>
  <c r="X12" i="59"/>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C28" i="15"/>
  <c r="D23" i="15"/>
  <c r="L52" i="37"/>
  <c r="M52" i="37" s="1"/>
  <c r="N52" i="37" s="1"/>
  <c r="O52" i="37" s="1"/>
  <c r="I46" i="36"/>
  <c r="D59" i="34"/>
  <c r="E59" i="34" s="1"/>
  <c r="F59" i="34" s="1"/>
  <c r="G59" i="34" s="1"/>
  <c r="H59" i="34" s="1"/>
  <c r="I59" i="34" s="1"/>
  <c r="J59" i="34" s="1"/>
  <c r="K59" i="34" s="1"/>
  <c r="L59" i="34" s="1"/>
  <c r="M59" i="34" s="1"/>
  <c r="N59" i="34" s="1"/>
  <c r="O59" i="34" s="1"/>
  <c r="D69" i="39"/>
  <c r="C71"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C6" i="15"/>
  <c r="C32" i="15" s="1"/>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2" i="65"/>
  <c r="E3" i="65"/>
  <c r="C16" i="15"/>
  <c r="C18" i="44"/>
  <c r="G8" i="1" l="1"/>
  <c r="C66" i="40"/>
  <c r="AP16" i="1"/>
  <c r="F22" i="11" s="1"/>
  <c r="D24" i="59"/>
  <c r="C23" i="59"/>
  <c r="N68" i="59"/>
  <c r="B67" i="59"/>
  <c r="T57" i="59"/>
  <c r="D57" i="59"/>
  <c r="AZ140" i="3"/>
  <c r="AZ148" i="3"/>
  <c r="U14" i="37"/>
  <c r="AB14" i="37"/>
  <c r="U12" i="36"/>
  <c r="AB12" i="36"/>
  <c r="U14" i="21"/>
  <c r="AB14" i="21"/>
  <c r="AA14" i="37"/>
  <c r="S14" i="37"/>
  <c r="AB36" i="35"/>
  <c r="U36" i="35"/>
  <c r="AC31" i="21"/>
  <c r="W31" i="21"/>
  <c r="S34" i="35"/>
  <c r="AA34" i="35"/>
  <c r="U39" i="37"/>
  <c r="AB39" i="37"/>
  <c r="AC9" i="36"/>
  <c r="W9" i="36"/>
  <c r="W9" i="34"/>
  <c r="AC9" i="34"/>
  <c r="W46" i="33"/>
  <c r="AC46" i="33"/>
  <c r="AC26" i="33"/>
  <c r="W26" i="33"/>
  <c r="V29" i="59"/>
  <c r="F28" i="59"/>
  <c r="F27" i="59" s="1"/>
  <c r="U29" i="59"/>
  <c r="E28" i="59"/>
  <c r="E27" i="59" s="1"/>
  <c r="V25" i="59"/>
  <c r="F24" i="59"/>
  <c r="F23" i="59" s="1"/>
  <c r="F22" i="59" s="1"/>
  <c r="F21" i="59" s="1"/>
  <c r="P66" i="59"/>
  <c r="P67" i="59"/>
  <c r="AZ229" i="3"/>
  <c r="AZ213" i="3"/>
  <c r="AC25" i="37"/>
  <c r="W25" i="37"/>
  <c r="S44" i="33"/>
  <c r="AA44" i="33"/>
  <c r="W12" i="36"/>
  <c r="AC12" i="36"/>
  <c r="AC30" i="21"/>
  <c r="W30" i="21"/>
  <c r="AA25" i="37"/>
  <c r="S25" i="37"/>
  <c r="AB25" i="36"/>
  <c r="U25" i="36"/>
  <c r="S27" i="21"/>
  <c r="AA27" i="21"/>
  <c r="U12" i="35"/>
  <c r="AB12" i="35"/>
  <c r="AC39" i="37"/>
  <c r="W39" i="37"/>
  <c r="AB9" i="36"/>
  <c r="U9" i="36"/>
  <c r="U9" i="34"/>
  <c r="AB9" i="34"/>
  <c r="S46" i="33"/>
  <c r="AA46" i="33"/>
  <c r="U26" i="33"/>
  <c r="AB26" i="33"/>
  <c r="B16" i="59"/>
  <c r="B15" i="59" s="1"/>
  <c r="B14" i="59" s="1"/>
  <c r="B13" i="59" s="1"/>
  <c r="S17" i="59"/>
  <c r="E20" i="59"/>
  <c r="E19" i="59" s="1"/>
  <c r="E18" i="59" s="1"/>
  <c r="E17" i="59" s="1"/>
  <c r="U21" i="59"/>
  <c r="C65" i="59"/>
  <c r="D64" i="59"/>
  <c r="T33" i="59"/>
  <c r="D33" i="59"/>
  <c r="T37" i="59"/>
  <c r="D37" i="59"/>
  <c r="AZ87" i="3"/>
  <c r="AZ246" i="3"/>
  <c r="AZ187" i="3"/>
  <c r="AZ207" i="3"/>
  <c r="AZ212" i="3"/>
  <c r="AB34" i="36"/>
  <c r="U34" i="36"/>
  <c r="AB44" i="33"/>
  <c r="U44" i="33"/>
  <c r="AA23" i="36"/>
  <c r="S23" i="36"/>
  <c r="AB25" i="35"/>
  <c r="U25" i="35"/>
  <c r="U25" i="37"/>
  <c r="AB25" i="37"/>
  <c r="AC25" i="36"/>
  <c r="W25" i="36"/>
  <c r="AB27" i="21"/>
  <c r="U27" i="21"/>
  <c r="AA12" i="35"/>
  <c r="S12" i="35"/>
  <c r="S13" i="36"/>
  <c r="AA13" i="36"/>
  <c r="U27" i="33"/>
  <c r="AB27" i="33"/>
  <c r="AZ542" i="3"/>
  <c r="AC31" i="33"/>
  <c r="W31" i="33"/>
  <c r="C34" i="44"/>
  <c r="D29" i="59"/>
  <c r="C28" i="59"/>
  <c r="T29" i="59"/>
  <c r="AZ107" i="3"/>
  <c r="T61" i="59"/>
  <c r="D61" i="59"/>
  <c r="AZ205" i="3"/>
  <c r="AZ388" i="3"/>
  <c r="W23" i="36"/>
  <c r="AC23" i="36"/>
  <c r="AC25" i="35"/>
  <c r="W25" i="35"/>
  <c r="W14" i="37"/>
  <c r="AC14" i="37"/>
  <c r="S36" i="35"/>
  <c r="AA36" i="35"/>
  <c r="S31" i="21"/>
  <c r="AA31" i="21"/>
  <c r="AB34" i="35"/>
  <c r="U34" i="35"/>
  <c r="AC13" i="36"/>
  <c r="W13" i="36"/>
  <c r="AC27" i="33"/>
  <c r="W27" i="33"/>
  <c r="S31" i="33"/>
  <c r="AA31" i="33"/>
  <c r="J7" i="33"/>
  <c r="W7" i="33" s="1"/>
  <c r="J60" i="44"/>
  <c r="J61" i="44" s="1"/>
  <c r="Q50" i="44" s="1"/>
  <c r="E83" i="46"/>
  <c r="B81" i="46" s="1"/>
  <c r="D26" i="46"/>
  <c r="C25" i="46" s="1"/>
  <c r="C29" i="12"/>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L36" i="75" s="1"/>
  <c r="E64" i="40"/>
  <c r="D66" i="40"/>
  <c r="AC7" i="33"/>
  <c r="V48" i="33" s="1"/>
  <c r="I48" i="33" s="1"/>
  <c r="J7" i="37"/>
  <c r="W7" i="21"/>
  <c r="D71" i="39"/>
  <c r="E69" i="39"/>
  <c r="H7" i="33"/>
  <c r="F7" i="33"/>
  <c r="J46" i="36"/>
  <c r="J7" i="35"/>
  <c r="F7" i="35"/>
  <c r="H7" i="37"/>
  <c r="F7" i="37"/>
  <c r="M19" i="44"/>
  <c r="F17" i="11"/>
  <c r="C17" i="11" s="1"/>
  <c r="C19" i="11" s="1"/>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6" i="44"/>
  <c r="F41" i="15"/>
  <c r="O36" i="75" l="1"/>
  <c r="Q36" i="75"/>
  <c r="P36" i="75"/>
  <c r="N36" i="75"/>
  <c r="L37" i="75"/>
  <c r="M36" i="75"/>
  <c r="L36" i="46"/>
  <c r="O36" i="46" s="1"/>
  <c r="L36" i="73"/>
  <c r="E58" i="40"/>
  <c r="S7" i="34"/>
  <c r="N66" i="59"/>
  <c r="N67" i="59"/>
  <c r="E16" i="59"/>
  <c r="E15" i="59" s="1"/>
  <c r="E14" i="59" s="1"/>
  <c r="E13" i="59" s="1"/>
  <c r="U17" i="59"/>
  <c r="F20" i="59"/>
  <c r="F19" i="59" s="1"/>
  <c r="F18" i="59" s="1"/>
  <c r="F17" i="59" s="1"/>
  <c r="V21" i="59"/>
  <c r="D23" i="59"/>
  <c r="C22" i="59"/>
  <c r="D28" i="59"/>
  <c r="C27" i="59"/>
  <c r="D27" i="59" s="1"/>
  <c r="T65" i="59"/>
  <c r="D65" i="59"/>
  <c r="AB7" i="34"/>
  <c r="T49" i="34" s="1"/>
  <c r="G49" i="34" s="1"/>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O43" i="9"/>
  <c r="C42" i="9"/>
  <c r="O38" i="9"/>
  <c r="C33" i="9"/>
  <c r="C52" i="15"/>
  <c r="C47" i="15" s="1"/>
  <c r="C10" i="15"/>
  <c r="C5" i="15" s="1"/>
  <c r="C38" i="15" s="1"/>
  <c r="C20" i="11"/>
  <c r="C21" i="11" s="1"/>
  <c r="C22" i="11" s="1"/>
  <c r="C23" i="11" s="1"/>
  <c r="B2" i="11" s="1"/>
  <c r="M29" i="44"/>
  <c r="M27" i="15"/>
  <c r="Q36" i="46" l="1"/>
  <c r="P36" i="46"/>
  <c r="L37" i="46"/>
  <c r="O37" i="46" s="1"/>
  <c r="M36" i="46"/>
  <c r="N36" i="46"/>
  <c r="O37" i="75"/>
  <c r="P37" i="75"/>
  <c r="N37" i="75"/>
  <c r="M37" i="75"/>
  <c r="Q37" i="75"/>
  <c r="N36" i="73"/>
  <c r="Q36" i="73"/>
  <c r="M36" i="73"/>
  <c r="L37" i="73"/>
  <c r="P36" i="73"/>
  <c r="O36" i="73"/>
  <c r="D22" i="12"/>
  <c r="C22" i="12" s="1"/>
  <c r="C20" i="12" s="1"/>
  <c r="G54" i="34"/>
  <c r="H54" i="34" s="1"/>
  <c r="D22" i="59"/>
  <c r="C21" i="59"/>
  <c r="E12" i="59"/>
  <c r="E11" i="59" s="1"/>
  <c r="U13" i="59"/>
  <c r="F16" i="59"/>
  <c r="F15" i="59" s="1"/>
  <c r="F14" i="59" s="1"/>
  <c r="F13" i="59" s="1"/>
  <c r="V17"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C19" i="44"/>
  <c r="F7" i="67"/>
  <c r="C17" i="15"/>
  <c r="M37" i="46" l="1"/>
  <c r="Q37" i="46"/>
  <c r="N37" i="46"/>
  <c r="P37" i="46"/>
  <c r="N37" i="73"/>
  <c r="Q37" i="73"/>
  <c r="M37" i="73"/>
  <c r="P37" i="73"/>
  <c r="O37" i="73"/>
  <c r="E40" i="46"/>
  <c r="C20" i="59"/>
  <c r="T21" i="59"/>
  <c r="D21" i="59"/>
  <c r="F12" i="59"/>
  <c r="F11" i="59" s="1"/>
  <c r="F10" i="59" s="1"/>
  <c r="F9" i="59" s="1"/>
  <c r="V9" i="59" s="1"/>
  <c r="V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E7" i="67"/>
  <c r="B7" i="67"/>
  <c r="C19" i="59" l="1"/>
  <c r="D20"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M21" i="15"/>
  <c r="C14" i="15"/>
  <c r="F35" i="15"/>
  <c r="F37" i="44"/>
  <c r="M23" i="44"/>
  <c r="C16" i="44"/>
  <c r="C18" i="59" l="1"/>
  <c r="D19"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7" i="59" l="1"/>
  <c r="D18"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6" i="59" l="1"/>
  <c r="T17" i="59"/>
  <c r="D17" i="59"/>
  <c r="E5" i="59"/>
  <c r="U5" i="59" s="1"/>
  <c r="B5" i="59"/>
  <c r="C21" i="43"/>
  <c r="R37" i="36"/>
  <c r="E36" i="36"/>
  <c r="I41" i="36" s="1"/>
  <c r="J41" i="36" s="1"/>
  <c r="K66" i="40"/>
  <c r="L64" i="40"/>
  <c r="G41" i="36"/>
  <c r="H41" i="36" s="1"/>
  <c r="G40" i="36"/>
  <c r="H40" i="36" s="1"/>
  <c r="I40" i="36"/>
  <c r="J40" i="36" s="1"/>
  <c r="L69" i="39"/>
  <c r="K71" i="39"/>
  <c r="O80" i="9"/>
  <c r="C15" i="59" l="1"/>
  <c r="D16" i="59"/>
  <c r="S5" i="59"/>
  <c r="L71" i="39"/>
  <c r="M69" i="39"/>
  <c r="M64" i="40"/>
  <c r="L66" i="40"/>
  <c r="E40" i="36"/>
  <c r="F40" i="36" s="1"/>
  <c r="E41" i="36"/>
  <c r="F41" i="36" s="1"/>
  <c r="C37" i="36"/>
  <c r="B3" i="36" s="1"/>
  <c r="B2" i="36" s="1"/>
  <c r="C36" i="36"/>
  <c r="D15" i="59" l="1"/>
  <c r="C14" i="59"/>
  <c r="N64" i="40"/>
  <c r="N66" i="40" s="1"/>
  <c r="M66" i="40"/>
  <c r="N69" i="39"/>
  <c r="N71" i="39" s="1"/>
  <c r="M71" i="39"/>
  <c r="D14" i="59" l="1"/>
  <c r="C13" i="59"/>
  <c r="J9" i="40"/>
  <c r="H9" i="40"/>
  <c r="F9" i="40"/>
  <c r="J9" i="39"/>
  <c r="H9" i="39"/>
  <c r="F9" i="39"/>
  <c r="D13" i="59" l="1"/>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8" i="59" l="1"/>
  <c r="T9" i="59"/>
  <c r="D9" i="59"/>
  <c r="B5" i="39"/>
  <c r="B4" i="39"/>
  <c r="B3" i="39"/>
  <c r="B5" i="40"/>
  <c r="B4" i="40"/>
  <c r="B3" i="40"/>
  <c r="C7" i="59" l="1"/>
  <c r="D8" i="59"/>
  <c r="F20" i="43"/>
  <c r="D20" i="43" s="1"/>
  <c r="F26" i="12"/>
  <c r="F26" i="44"/>
  <c r="F24" i="15"/>
  <c r="C6" i="59" l="1"/>
  <c r="D7" i="59"/>
  <c r="C20" i="43"/>
  <c r="C24" i="15"/>
  <c r="C23" i="15"/>
  <c r="C27" i="12"/>
  <c r="D26" i="12" s="1"/>
  <c r="C32" i="12" s="1"/>
  <c r="D30" i="12" s="1"/>
  <c r="C28" i="12"/>
  <c r="C26" i="12" s="1"/>
  <c r="C31" i="12" s="1"/>
  <c r="C30" i="12" s="1"/>
  <c r="C26" i="44"/>
  <c r="C25" i="44"/>
  <c r="D6" i="59" l="1"/>
  <c r="C5" i="59"/>
  <c r="C23" i="43"/>
  <c r="C31" i="44"/>
  <c r="C38" i="44" s="1"/>
  <c r="C36" i="12"/>
  <c r="B2" i="12" s="1"/>
  <c r="B3" i="12"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<sst xmlns="http://schemas.openxmlformats.org/spreadsheetml/2006/main" count="8085" uniqueCount="3300">
  <si>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</si>
  <si>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</si>
  <si>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</si>
  <si>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</si>
  <si>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</si>
  <si>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</si>
  <si>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</si>
  <si>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</si>
  <si>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</si>
  <si>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</si>
  <si>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</si>
  <si>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</si>
  <si>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</si>
  <si>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</si>
  <si>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</si>
  <si>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</si>
  <si>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</si>
  <si>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</si>
  <si>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</si>
  <si>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</si>
  <si>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</si>
  <si>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</si>
  <si>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</si>
  <si>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</si>
  <si>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</si>
  <si>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</si>
  <si>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</si>
  <si>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</si>
  <si>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</si>
  <si>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</si>
  <si>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</si>
  <si>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</si>
  <si>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</si>
  <si>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</si>
  <si>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</si>
  <si>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</si>
  <si>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</si>
  <si>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</si>
  <si>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</si>
  <si>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</si>
  <si>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</si>
  <si>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</si>
  <si>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</si>
  <si>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</si>
  <si>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</si>
  <si>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</si>
  <si>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</si>
  <si>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</si>
  <si>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</si>
  <si>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</si>
  <si>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</si>
  <si>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</si>
  <si>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</si>
  <si>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</si>
  <si>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</si>
  <si>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</si>
  <si>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</si>
  <si>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</si>
  <si>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</si>
  <si>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</si>
  <si>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</si>
  <si>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</si>
  <si>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</si>
  <si>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</si>
  <si>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</si>
  <si>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</si>
  <si>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</si>
  <si>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</si>
  <si>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</si>
  <si>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</si>
  <si>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</si>
  <si>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</si>
  <si>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</si>
  <si>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</si>
  <si>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</si>
  <si>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</si>
  <si>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</si>
  <si>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</si>
  <si>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</si>
  <si>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</si>
  <si>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</si>
  <si>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</si>
  <si>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</si>
  <si>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</si>
  <si>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</si>
  <si>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</si>
  <si>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</si>
  <si>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</si>
  <si>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</si>
  <si>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</si>
  <si>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</si>
  <si>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</si>
  <si>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</si>
  <si>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</si>
  <si>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</si>
  <si>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</si>
  <si>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</si>
  <si>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</si>
  <si>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</si>
  <si>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</si>
  <si>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</si>
  <si>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</si>
  <si>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</si>
  <si>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</si>
  <si>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</si>
  <si>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</si>
  <si>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</si>
  <si>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</si>
  <si>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</si>
  <si>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</si>
  <si>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</si>
  <si>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</si>
  <si>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</si>
  <si>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</si>
  <si>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</si>
  <si>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</si>
  <si>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</si>
  <si>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</si>
  <si>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</si>
  <si>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</si>
  <si>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</si>
  <si>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</si>
  <si>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</si>
  <si>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</si>
  <si>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</si>
  <si>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</si>
  <si>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</si>
  <si>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</si>
  <si>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</si>
  <si>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</si>
  <si>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</si>
  <si>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</si>
  <si>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</si>
  <si>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</si>
  <si>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</si>
  <si>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</si>
  <si>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</si>
  <si>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</si>
  <si>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</si>
  <si>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</si>
  <si>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</si>
  <si>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</si>
  <si>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</si>
  <si>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</si>
  <si>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</si>
  <si>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</si>
  <si>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</si>
  <si>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</si>
  <si>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</si>
  <si>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</si>
  <si>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</si>
  <si>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</si>
  <si>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</si>
  <si>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</si>
  <si>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</si>
  <si>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</si>
  <si>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</si>
  <si>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</si>
  <si>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</si>
  <si>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</si>
  <si>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</si>
  <si>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</si>
  <si>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</si>
  <si>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</si>
  <si>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</si>
  <si>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</si>
  <si>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</si>
  <si>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</si>
  <si>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</si>
  <si>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</si>
  <si>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</si>
  <si>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</si>
  <si>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</si>
  <si>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</si>
  <si>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</si>
  <si>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</si>
  <si>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</si>
  <si>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</si>
  <si>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</si>
  <si>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</si>
  <si>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</si>
  <si>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</si>
  <si>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</si>
  <si>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</si>
  <si>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</si>
  <si>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</si>
  <si>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</si>
  <si>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</si>
  <si>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</si>
  <si>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</si>
  <si>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</si>
  <si>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</si>
  <si>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</si>
  <si>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</si>
  <si>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</si>
  <si>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</si>
  <si>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</si>
  <si>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</si>
  <si>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</si>
  <si>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</si>
  <si>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</si>
  <si>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</si>
  <si>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</si>
  <si>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</si>
  <si>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</si>
  <si>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</si>
  <si>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</si>
  <si>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</si>
  <si>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</si>
  <si>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</si>
  <si>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</si>
  <si>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</si>
  <si>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</si>
  <si>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</si>
  <si>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</si>
  <si>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</si>
  <si>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</si>
  <si>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</si>
  <si>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</si>
  <si>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</si>
  <si>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</si>
  <si>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</si>
  <si>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</si>
  <si>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</si>
  <si>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</si>
  <si>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</si>
  <si>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</si>
  <si>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</si>
  <si>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</si>
  <si>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</si>
  <si>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</si>
  <si>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</si>
  <si>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</si>
  <si>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</si>
  <si>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</si>
  <si>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</si>
  <si>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</si>
  <si>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</si>
  <si>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</si>
  <si>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</si>
  <si>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</si>
  <si>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</si>
  <si>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</si>
  <si>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</si>
  <si>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</si>
  <si>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</si>
  <si>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</si>
  <si>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</si>
  <si>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</si>
  <si>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</si>
  <si>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</si>
  <si>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</si>
  <si>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</si>
  <si>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</si>
  <si>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</si>
  <si>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</si>
  <si>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</si>
  <si>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</si>
  <si>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</si>
  <si>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</si>
  <si>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</si>
  <si>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</si>
  <si>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</si>
  <si>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</si>
  <si>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</si>
  <si>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</si>
  <si>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</si>
  <si>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</si>
  <si>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</si>
  <si>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</si>
  <si>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</si>
  <si>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</si>
  <si>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</si>
  <si>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</si>
  <si>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</si>
  <si>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</si>
  <si>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</si>
  <si>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</si>
  <si>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</si>
  <si>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</si>
  <si>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</si>
  <si>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</si>
  <si>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</si>
  <si>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</si>
  <si>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</si>
  <si>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</si>
  <si>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</si>
  <si>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</si>
  <si>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</si>
  <si>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</si>
  <si>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</si>
  <si>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</si>
  <si>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</si>
  <si>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</si>
  <si>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</si>
  <si>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</si>
  <si>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</si>
  <si>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</si>
  <si>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</si>
  <si>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</si>
  <si>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</si>
  <si>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</si>
  <si>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</si>
  <si>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</si>
  <si>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</si>
  <si>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</si>
  <si>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</si>
  <si>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</si>
  <si>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</si>
  <si>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</si>
  <si>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</si>
  <si>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</si>
  <si>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</si>
  <si>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</si>
  <si>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</si>
  <si>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</si>
  <si>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</si>
  <si>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</si>
  <si>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</si>
  <si>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</si>
  <si>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</si>
  <si>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</si>
  <si>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</si>
  <si>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</si>
  <si>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</si>
  <si>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</si>
  <si>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</si>
  <si>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</si>
  <si>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</si>
  <si>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</si>
  <si>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</si>
  <si>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</si>
  <si>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</si>
  <si>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</si>
  <si>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</si>
  <si>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</si>
  <si>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</si>
  <si>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</si>
  <si>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</si>
  <si>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</si>
  <si>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</si>
  <si>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</si>
  <si>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</si>
  <si>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</si>
  <si>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</si>
  <si>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</si>
  <si>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</si>
  <si>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</si>
  <si>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</si>
  <si>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</si>
  <si>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</si>
  <si>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</si>
  <si>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</si>
  <si>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</si>
  <si>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</si>
  <si>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</si>
  <si>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</si>
  <si>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</si>
  <si>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</si>
  <si>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</si>
  <si>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</si>
  <si>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</si>
  <si>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</si>
  <si>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</si>
  <si>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</si>
  <si>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</si>
  <si>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</si>
  <si>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</si>
  <si>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</si>
  <si>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</si>
  <si>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</si>
  <si>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</si>
  <si>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</si>
  <si>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</si>
  <si>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</si>
  <si>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</si>
  <si>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</si>
  <si>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</si>
  <si>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</si>
  <si>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</si>
  <si>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</si>
  <si>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</si>
  <si>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</si>
  <si>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</si>
  <si>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</si>
  <si>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</si>
  <si>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</si>
  <si>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</si>
  <si>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</si>
  <si>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</si>
  <si>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</si>
  <si>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</si>
  <si>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</si>
  <si>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</si>
  <si>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</si>
  <si>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</si>
  <si>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</si>
  <si>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</si>
  <si>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</si>
  <si>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</si>
  <si>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</si>
  <si>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</si>
  <si>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</si>
  <si>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</si>
  <si>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</si>
  <si>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</si>
  <si>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</si>
  <si>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</si>
  <si>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</si>
  <si>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</si>
  <si>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</si>
  <si>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</si>
  <si>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</si>
  <si>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</si>
  <si>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</si>
  <si>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</si>
  <si>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</si>
  <si>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</si>
  <si>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</si>
  <si>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</si>
  <si>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</si>
  <si>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</si>
  <si>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</si>
  <si>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</si>
  <si>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</si>
  <si>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</si>
  <si>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</si>
  <si>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</si>
  <si>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</si>
  <si>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</si>
  <si>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</si>
  <si>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</si>
  <si>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</si>
  <si>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</si>
  <si>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</si>
  <si>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</si>
  <si>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</si>
  <si>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</si>
  <si>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</si>
  <si>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</si>
  <si>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</si>
  <si>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</si>
  <si>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</si>
  <si>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</si>
  <si>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</si>
  <si>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</si>
  <si>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</si>
  <si>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</si>
  <si>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</si>
  <si>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</si>
  <si>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</si>
  <si>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</si>
  <si>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</si>
  <si>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</si>
  <si>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</si>
  <si>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</si>
  <si>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</si>
  <si>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</si>
  <si>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</si>
  <si>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</si>
  <si>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</si>
  <si>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</si>
  <si>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</si>
  <si>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</si>
  <si>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</si>
  <si>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</si>
  <si>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</si>
  <si>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</si>
  <si>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</si>
  <si>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</si>
  <si>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</si>
  <si>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</si>
  <si>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</si>
  <si>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</si>
  <si>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</si>
  <si>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</si>
  <si>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</si>
  <si>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</si>
  <si>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</si>
  <si>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</si>
  <si>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</si>
  <si>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</si>
  <si>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</si>
  <si>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</si>
  <si>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</si>
  <si>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</si>
  <si>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</si>
  <si>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</si>
  <si>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</si>
  <si>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</si>
  <si>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</si>
  <si>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</si>
  <si>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</si>
  <si>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</si>
  <si>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</si>
  <si>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</si>
  <si>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</si>
  <si>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</si>
  <si>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</si>
  <si>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</si>
  <si>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</si>
  <si>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</si>
  <si>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</si>
  <si>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</si>
  <si>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</si>
  <si>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</si>
  <si>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</si>
  <si>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</si>
  <si>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</si>
  <si>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</si>
  <si>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</si>
  <si>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</si>
  <si>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</si>
  <si>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</si>
  <si>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</si>
  <si>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</si>
  <si>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</si>
  <si>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</si>
  <si>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</si>
  <si>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</si>
  <si>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</si>
  <si>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</si>
  <si>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</si>
  <si>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</si>
  <si>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</si>
  <si>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</si>
  <si>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</si>
  <si>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</si>
  <si>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</si>
  <si>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</si>
  <si>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</si>
  <si>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</si>
  <si>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</si>
  <si>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</si>
  <si>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</si>
  <si>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</si>
  <si>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</si>
  <si>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</si>
  <si>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</si>
  <si>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</si>
  <si>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</si>
  <si>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</si>
  <si>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</si>
  <si>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</si>
  <si>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</si>
  <si>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</si>
  <si>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</si>
  <si>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</si>
  <si>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</si>
  <si>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</si>
  <si>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</si>
  <si>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</si>
  <si>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</si>
  <si>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</si>
  <si>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</si>
  <si>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</si>
  <si>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</si>
  <si>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</si>
  <si>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</si>
  <si>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</si>
  <si>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</si>
  <si>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</si>
  <si>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</si>
  <si>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</si>
  <si>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</si>
  <si>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</si>
  <si>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</si>
  <si>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</si>
  <si>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</si>
  <si>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</si>
  <si>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</si>
  <si>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</si>
  <si>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</si>
  <si>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</si>
  <si>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</si>
  <si>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</si>
  <si>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</si>
  <si>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</si>
  <si>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</si>
  <si>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</si>
  <si>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</si>
  <si>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</si>
  <si>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</si>
  <si>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</si>
  <si>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</si>
  <si>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</si>
  <si>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</si>
  <si>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</si>
  <si>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</si>
  <si>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</si>
  <si>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</si>
  <si>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</si>
  <si>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</si>
  <si>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</si>
  <si>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</si>
  <si>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</si>
  <si>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</si>
  <si>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</si>
  <si>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</si>
  <si>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</si>
  <si>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</si>
  <si>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</si>
  <si>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</si>
  <si>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</si>
  <si>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</si>
  <si>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</si>
  <si>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</si>
  <si>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</si>
  <si>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</si>
  <si>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</si>
  <si>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</si>
  <si>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</si>
  <si>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</si>
  <si>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</si>
  <si>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</si>
  <si>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</si>
  <si>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</si>
  <si>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</si>
  <si>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</si>
  <si>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</si>
  <si>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</si>
  <si>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</si>
  <si>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</si>
  <si>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</si>
  <si>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</si>
  <si>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</si>
  <si>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</si>
  <si>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</si>
  <si>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</si>
  <si>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</si>
  <si>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</si>
  <si>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</si>
  <si>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</si>
  <si>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</si>
  <si>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</si>
  <si>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</si>
  <si>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</si>
  <si>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</si>
  <si>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</si>
  <si>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</si>
  <si>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</si>
  <si>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</si>
  <si>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</si>
  <si>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</si>
  <si>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</si>
  <si>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</si>
  <si>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</si>
  <si>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</si>
  <si>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</si>
  <si>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</si>
  <si>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</si>
  <si>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</si>
  <si>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</si>
  <si>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</si>
  <si>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</si>
  <si>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</si>
  <si>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</si>
  <si>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</si>
  <si>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</si>
  <si>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</si>
  <si>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</si>
  <si>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</si>
  <si>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</si>
  <si>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</si>
  <si>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</si>
  <si>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</si>
  <si>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</si>
  <si>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</si>
  <si>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</si>
  <si>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</si>
  <si>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</si>
  <si>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</si>
  <si>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</si>
  <si>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</si>
  <si>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</si>
  <si>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</si>
  <si>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</si>
  <si>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</si>
  <si>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</si>
  <si>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</si>
  <si>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</si>
  <si>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</si>
  <si>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</si>
  <si>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</si>
  <si>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</si>
  <si>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</si>
  <si>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</si>
  <si>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</si>
  <si>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</si>
  <si>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</si>
  <si>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</si>
  <si>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</si>
  <si>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</si>
  <si>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</si>
  <si>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</si>
  <si>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</si>
  <si>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</si>
  <si>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</si>
  <si>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</si>
  <si>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</si>
  <si>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</si>
  <si>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</si>
  <si>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</si>
  <si>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</si>
  <si>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</si>
  <si>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</si>
  <si>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</si>
  <si>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</si>
  <si>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</si>
  <si>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</si>
  <si>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</si>
  <si>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</si>
  <si>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</si>
  <si>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</si>
  <si>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</si>
  <si>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</si>
  <si>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</si>
  <si>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</si>
  <si>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</si>
  <si>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</si>
  <si>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</si>
  <si>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</si>
  <si>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</si>
  <si>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</si>
  <si>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</si>
  <si>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</si>
  <si>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</si>
  <si>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</si>
  <si>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</si>
  <si>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</si>
  <si>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</si>
  <si>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</si>
  <si>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</si>
  <si>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</si>
  <si>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</si>
  <si>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</si>
  <si>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</si>
  <si>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</si>
  <si>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</si>
  <si>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</si>
  <si>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</si>
  <si>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</si>
  <si>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</si>
  <si>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</si>
  <si>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</si>
  <si>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</si>
  <si>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</si>
  <si>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</si>
  <si>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</si>
  <si>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</si>
  <si>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</si>
  <si>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</si>
  <si>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</si>
  <si>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</si>
  <si>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</si>
  <si>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</si>
  <si>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</si>
  <si>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</si>
  <si>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</si>
  <si>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</si>
  <si>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</si>
  <si>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</si>
  <si>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</si>
  <si>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</si>
  <si>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</si>
  <si>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</si>
  <si>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</si>
  <si>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</si>
  <si>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</si>
  <si>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</si>
  <si>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</si>
  <si>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</si>
  <si>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</si>
  <si>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</si>
  <si>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</si>
  <si>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</si>
  <si>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</si>
  <si>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</si>
  <si>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</si>
  <si>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</si>
  <si>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</si>
  <si>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</si>
  <si>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</si>
  <si>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</si>
  <si>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</si>
  <si>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</si>
  <si>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</si>
  <si>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</si>
  <si>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</si>
  <si>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</si>
  <si>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</si>
  <si>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</si>
  <si>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</si>
  <si>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</si>
  <si>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</si>
  <si>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</si>
  <si>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</si>
  <si>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</si>
  <si>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</si>
  <si>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</si>
  <si>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</si>
  <si>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</si>
  <si>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</si>
  <si>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</si>
  <si>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</si>
  <si>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</si>
  <si>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</si>
  <si>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</si>
  <si>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</si>
  <si>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</si>
  <si>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</si>
  <si>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</si>
  <si>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</si>
  <si>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</si>
  <si>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</si>
  <si>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</si>
  <si>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</si>
  <si>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</si>
  <si>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</si>
  <si>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</si>
  <si>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</si>
  <si>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</si>
  <si>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</si>
  <si>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</si>
  <si>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</si>
  <si>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</si>
  <si>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</si>
  <si>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</si>
  <si>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</si>
  <si>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</si>
  <si>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</si>
  <si>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</si>
  <si>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</si>
  <si>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</si>
  <si>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</si>
  <si>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</si>
  <si>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</si>
  <si>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</si>
  <si>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</si>
  <si>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</si>
  <si>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</si>
  <si>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</si>
  <si>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</si>
  <si>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</si>
  <si>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</si>
  <si>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</si>
  <si>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</si>
  <si>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</si>
  <si>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</si>
  <si>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</si>
  <si>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</si>
  <si>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</si>
  <si>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</si>
  <si>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</si>
  <si>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</si>
  <si>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</si>
  <si>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</si>
  <si>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</si>
  <si>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</si>
  <si>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</si>
  <si>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</si>
  <si>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</si>
  <si>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</si>
  <si>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</si>
  <si>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</si>
  <si>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</si>
  <si>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</si>
  <si>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</si>
  <si>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</si>
  <si>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</si>
  <si>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</si>
  <si>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</si>
  <si>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</si>
  <si>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</si>
  <si>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</si>
  <si>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</si>
  <si>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</si>
  <si>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</si>
  <si>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</si>
  <si>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</si>
  <si>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</si>
  <si>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</si>
  <si>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</si>
  <si>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</si>
  <si>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</si>
  <si>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</si>
  <si>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</si>
  <si>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</si>
  <si>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</si>
  <si>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</si>
  <si>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</si>
  <si>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</si>
  <si>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</si>
  <si>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</si>
  <si>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</si>
  <si>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</si>
  <si>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</si>
  <si>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</si>
  <si>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</si>
  <si>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</si>
  <si>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</si>
  <si>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</si>
  <si>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</si>
  <si>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</si>
  <si>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</si>
  <si>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</si>
  <si>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</si>
  <si>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</si>
  <si>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</si>
  <si>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</si>
  <si>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</si>
  <si>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</si>
  <si>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</si>
  <si>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</si>
  <si>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</si>
  <si>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</si>
  <si>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</si>
  <si>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</si>
  <si>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</si>
  <si>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</si>
  <si>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</si>
  <si>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</si>
  <si>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</si>
  <si>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</si>
  <si>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</si>
  <si>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</si>
  <si>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</si>
  <si>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</si>
  <si>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</si>
  <si>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</si>
  <si>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</si>
  <si>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</si>
  <si>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</si>
  <si>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</si>
  <si>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</si>
  <si>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</si>
  <si>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</si>
  <si>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</si>
  <si>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</si>
  <si>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</si>
  <si>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</si>
  <si>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</si>
  <si>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</si>
  <si>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</si>
  <si>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</si>
  <si>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</si>
  <si>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</si>
  <si>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</si>
  <si>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</si>
  <si>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</si>
  <si>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</si>
  <si>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</si>
  <si>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</si>
  <si>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</si>
  <si>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</si>
  <si>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</si>
  <si>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</si>
  <si>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</si>
  <si>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</si>
  <si>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</si>
  <si>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</si>
  <si>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</si>
  <si>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</si>
  <si>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</si>
  <si>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</si>
  <si>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</si>
  <si>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</si>
  <si>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</si>
  <si>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</si>
  <si>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</si>
  <si>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</si>
  <si>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</si>
  <si>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</si>
  <si>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</si>
  <si>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</si>
  <si>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</si>
  <si>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</si>
  <si>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</si>
  <si>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</si>
  <si>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</si>
  <si>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</si>
  <si>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</si>
  <si>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</si>
  <si>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</si>
  <si>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</si>
  <si>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</si>
  <si>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</si>
  <si>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</si>
  <si>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</si>
  <si>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</si>
  <si>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</si>
  <si>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</si>
  <si>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</si>
  <si>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</si>
  <si>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</si>
  <si>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</si>
  <si>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</si>
  <si>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</si>
  <si>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</si>
  <si>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</si>
  <si>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</si>
  <si>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</si>
  <si>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</si>
  <si>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</si>
  <si>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</si>
  <si>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</si>
  <si>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</si>
  <si>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</si>
  <si>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</si>
  <si>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</si>
  <si>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</si>
  <si>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</si>
  <si>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</si>
  <si>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</si>
  <si>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</si>
  <si>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</si>
  <si>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</si>
  <si>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</si>
  <si>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</si>
  <si>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</si>
  <si>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</si>
  <si>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</si>
  <si>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</si>
  <si>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</si>
  <si>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</si>
  <si>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</si>
  <si>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</si>
  <si>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</si>
  <si>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</si>
  <si>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</si>
  <si>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</si>
  <si>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</si>
  <si>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</si>
  <si>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</si>
  <si>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</si>
  <si>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</si>
  <si>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</si>
  <si>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</si>
  <si>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</si>
  <si>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</si>
  <si>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</si>
  <si>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</si>
  <si>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</si>
  <si>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</si>
  <si>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</si>
  <si>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</si>
  <si>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</si>
  <si>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</si>
  <si>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</si>
  <si>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</si>
  <si>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</si>
  <si>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</si>
  <si>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</si>
  <si>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</si>
  <si>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</si>
  <si>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</si>
  <si>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</si>
  <si>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</si>
  <si>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</si>
  <si>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</si>
  <si>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</si>
  <si>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</si>
  <si>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</si>
  <si>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</si>
  <si>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</si>
  <si>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</si>
  <si>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</si>
  <si>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</si>
  <si>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</si>
  <si>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</si>
  <si>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</si>
  <si>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</si>
  <si>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</si>
  <si>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</si>
  <si>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</si>
  <si>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</si>
  <si>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</si>
  <si>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</si>
  <si>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</si>
  <si>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</si>
  <si>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</si>
  <si>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</si>
  <si>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</si>
  <si>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</si>
  <si>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</si>
  <si>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</si>
  <si>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</si>
  <si>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</si>
  <si>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</si>
  <si>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</si>
  <si>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</si>
  <si>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</si>
  <si>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</si>
  <si>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</si>
  <si>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</si>
  <si>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</si>
  <si>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</si>
  <si>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</si>
  <si>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</si>
  <si>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</si>
  <si>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</si>
  <si>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</si>
  <si>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</si>
  <si>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</si>
  <si>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</si>
  <si>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</si>
  <si>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</si>
  <si>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</si>
  <si>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</si>
  <si>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</si>
  <si>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</si>
  <si>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</si>
  <si>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</si>
  <si>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</si>
  <si>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</si>
  <si>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</si>
  <si>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</si>
  <si>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</si>
  <si>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</si>
  <si>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</si>
  <si>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</si>
  <si>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</si>
  <si>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</si>
  <si>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</si>
  <si>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</si>
  <si>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</si>
  <si>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</si>
  <si>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</si>
  <si>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</si>
  <si>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</si>
  <si>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</si>
  <si>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</si>
  <si>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</si>
  <si>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</si>
  <si>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</si>
  <si>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</si>
  <si>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</si>
  <si>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</si>
  <si>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</si>
  <si>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</si>
  <si>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</si>
  <si>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</si>
  <si>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</si>
  <si>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</si>
  <si>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</si>
  <si>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</si>
  <si>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</si>
  <si>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</si>
  <si>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</si>
  <si>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</si>
  <si>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</si>
  <si>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</si>
  <si>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</si>
  <si>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</si>
  <si>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</si>
  <si>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</si>
  <si>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</si>
  <si>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</si>
  <si>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</si>
  <si>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</si>
  <si>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</si>
  <si>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</si>
  <si>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</si>
  <si>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</si>
  <si>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</si>
  <si>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</si>
  <si>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</si>
  <si>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</si>
  <si>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</si>
  <si>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</si>
  <si>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</si>
  <si>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</si>
  <si>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</si>
  <si>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</si>
  <si>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</si>
  <si>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</si>
  <si>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</si>
  <si>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</si>
  <si>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</si>
  <si>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</si>
  <si>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</si>
  <si>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</si>
  <si>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</si>
  <si>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</si>
  <si>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</si>
  <si>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</si>
  <si>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</si>
  <si>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</si>
  <si>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</si>
  <si>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</si>
  <si>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</si>
  <si>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</si>
  <si>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</si>
  <si>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</si>
  <si>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</si>
  <si>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</si>
  <si>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</si>
  <si>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</si>
  <si>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</si>
  <si>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</si>
  <si>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</si>
  <si>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</si>
  <si>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</si>
  <si>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</si>
  <si>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</si>
  <si>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</si>
  <si>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</si>
  <si>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</si>
  <si>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</si>
  <si>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</si>
  <si>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</si>
  <si>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</si>
  <si>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</si>
  <si>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</si>
  <si>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</si>
  <si>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</si>
  <si>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</si>
  <si>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</si>
  <si>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</si>
  <si>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</si>
  <si>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</si>
  <si>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</si>
  <si>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</si>
  <si>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</si>
  <si>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</si>
  <si>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</si>
  <si>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</si>
  <si>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</si>
  <si>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</si>
  <si>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</si>
  <si>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</si>
  <si>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</si>
  <si>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</si>
  <si>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</si>
  <si>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</si>
  <si>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</si>
  <si>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</si>
  <si>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</si>
  <si>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</si>
  <si>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</si>
  <si>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</si>
  <si>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</si>
  <si>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</si>
  <si>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</si>
  <si>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</si>
  <si>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</si>
  <si>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</si>
  <si>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</si>
  <si>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</si>
  <si>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</si>
  <si>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</si>
  <si>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</si>
  <si>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</si>
  <si>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</si>
  <si>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</si>
  <si>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</si>
  <si>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</si>
  <si>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</si>
  <si>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</si>
  <si>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</si>
  <si>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</si>
  <si>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</si>
  <si>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</si>
  <si>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</si>
  <si>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</si>
  <si>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</si>
  <si>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</si>
  <si>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</si>
  <si>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</si>
  <si>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</si>
  <si>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</si>
  <si>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</si>
  <si>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</si>
  <si>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</si>
  <si>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</si>
  <si>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</si>
  <si>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</si>
  <si>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</si>
  <si>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</si>
  <si>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</si>
  <si>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</si>
  <si>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</si>
  <si>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</si>
  <si>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</si>
  <si>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</si>
  <si>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</si>
  <si>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</si>
  <si>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</si>
  <si>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</si>
  <si>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</si>
  <si>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</si>
  <si>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</si>
  <si>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</si>
  <si>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</si>
  <si>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</si>
  <si>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</si>
  <si>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</si>
  <si>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</si>
  <si>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</si>
  <si>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</si>
  <si>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</si>
  <si>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</si>
  <si>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</si>
  <si>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</si>
  <si>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</si>
  <si>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</si>
  <si>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</si>
  <si>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</si>
  <si>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</si>
  <si>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</si>
  <si>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</si>
  <si>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</si>
  <si>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</si>
  <si>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</si>
  <si>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</si>
  <si>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</si>
  <si>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</si>
  <si>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</si>
  <si>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</si>
  <si>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</si>
  <si>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</si>
  <si>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</si>
  <si>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</si>
  <si>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</si>
  <si>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</si>
  <si>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</si>
  <si>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</si>
  <si>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</si>
  <si>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</si>
  <si>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</si>
  <si>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</si>
  <si>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</si>
  <si>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</si>
  <si>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</si>
  <si>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</si>
  <si>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</si>
  <si>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</si>
  <si>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</si>
  <si>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</si>
  <si>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</si>
  <si>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</si>
  <si>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</si>
  <si>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</si>
  <si>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</si>
  <si>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</si>
  <si>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</si>
  <si>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</si>
  <si>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</si>
  <si>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</si>
  <si>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</si>
  <si>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</si>
  <si>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</si>
  <si>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</si>
  <si>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</si>
  <si>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</si>
  <si>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</si>
  <si>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</si>
  <si>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</si>
  <si>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</si>
  <si>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</si>
  <si>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</si>
  <si>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</si>
  <si>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</si>
  <si>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</si>
  <si>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</si>
  <si>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</si>
  <si>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</si>
  <si>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</si>
  <si>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</si>
  <si>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</si>
  <si>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</si>
  <si>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</si>
  <si>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</si>
  <si>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</si>
  <si>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</si>
  <si>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</si>
  <si>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</si>
  <si>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</si>
  <si>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</si>
  <si>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</si>
  <si>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</si>
  <si>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</si>
  <si>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</si>
  <si>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</si>
  <si>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</si>
  <si>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</si>
  <si>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</si>
  <si>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</si>
  <si>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</si>
  <si>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</si>
  <si>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</si>
  <si>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</si>
  <si>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</si>
  <si>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</si>
  <si>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</si>
  <si>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</si>
  <si>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</si>
  <si>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</si>
  <si>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</si>
  <si>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</si>
  <si>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</si>
  <si>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</si>
  <si>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</si>
  <si>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</si>
  <si>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</si>
  <si>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</si>
  <si>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</si>
  <si>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</si>
  <si>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</si>
  <si>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</si>
  <si>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</si>
  <si>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</si>
  <si>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</si>
  <si>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</si>
  <si>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</si>
  <si>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</si>
  <si>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</si>
  <si>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</si>
  <si>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</si>
  <si>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</si>
  <si>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</si>
  <si>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</si>
  <si>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</si>
  <si>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</si>
  <si>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</si>
  <si>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</si>
  <si>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</si>
  <si>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</si>
  <si>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</si>
  <si>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</si>
  <si>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</si>
  <si>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</si>
  <si>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</si>
  <si>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</si>
  <si>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</si>
  <si>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</si>
  <si>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</si>
  <si>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</si>
  <si>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</si>
  <si>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</si>
  <si>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</si>
  <si>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</si>
  <si>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</si>
  <si>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</si>
  <si>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</si>
  <si>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</si>
  <si>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</si>
  <si>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</si>
  <si>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</si>
  <si>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</si>
  <si>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</si>
  <si>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</si>
  <si>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</si>
  <si>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</si>
  <si>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</si>
  <si>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</si>
  <si>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</si>
  <si>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</si>
  <si>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</si>
  <si>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</si>
  <si>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</si>
  <si>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</si>
  <si>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</si>
  <si>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</si>
  <si>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</si>
  <si>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</si>
  <si>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</si>
  <si>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</si>
  <si>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</si>
  <si>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</si>
  <si>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</si>
  <si>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</si>
  <si>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</si>
  <si>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</si>
  <si>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</si>
  <si>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</si>
  <si>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</si>
  <si>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</si>
  <si>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</si>
  <si>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</si>
  <si>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</si>
  <si>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</si>
  <si>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</si>
  <si>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</si>
  <si>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</si>
  <si>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</si>
  <si>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</si>
  <si>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</si>
  <si>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</si>
  <si>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</si>
  <si>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</si>
  <si>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</si>
  <si>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</si>
  <si>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</si>
  <si>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</si>
  <si>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</si>
  <si>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</si>
  <si>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</si>
  <si>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</si>
  <si>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</si>
  <si>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</si>
  <si>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</si>
  <si>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</si>
  <si>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</si>
  <si>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</si>
  <si>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</si>
  <si>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</si>
  <si>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</si>
  <si>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</si>
  <si>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</si>
  <si>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</si>
  <si>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</si>
  <si>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</si>
  <si>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</si>
  <si>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</si>
  <si>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</si>
  <si>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</si>
  <si>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</si>
  <si>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</si>
  <si>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</si>
  <si>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</si>
  <si>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</si>
  <si>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</si>
  <si>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</si>
  <si>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</si>
  <si>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</si>
  <si>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</si>
  <si>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</si>
  <si>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</si>
  <si>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</si>
  <si>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</si>
  <si>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</si>
  <si>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</si>
  <si>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</si>
  <si>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</si>
  <si>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</si>
  <si>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</si>
  <si>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</si>
  <si>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</si>
  <si>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</si>
  <si>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</si>
  <si>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</si>
  <si>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</si>
  <si>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</si>
  <si>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</si>
  <si>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</si>
  <si>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</si>
  <si>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</si>
  <si>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</si>
  <si>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</si>
  <si>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</si>
  <si>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</si>
  <si>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</si>
  <si>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</si>
  <si>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</si>
  <si>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</si>
  <si>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</si>
  <si>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</si>
  <si>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</si>
  <si>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</si>
  <si>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</si>
  <si>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</si>
  <si>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</si>
  <si>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</si>
  <si>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</si>
  <si>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</si>
  <si>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</si>
  <si>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</si>
  <si>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</si>
  <si>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</si>
  <si>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</si>
  <si>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</si>
  <si>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</si>
  <si>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</si>
  <si>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</si>
  <si>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</si>
  <si>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</si>
  <si>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</si>
  <si>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</si>
  <si>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</si>
  <si>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</si>
  <si>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</si>
  <si>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</si>
  <si>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</si>
  <si>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</si>
  <si>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</si>
  <si>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</si>
  <si>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</si>
  <si>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</si>
  <si>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</si>
  <si>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</si>
  <si>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</si>
  <si>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</si>
  <si>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</si>
  <si>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</si>
  <si>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</si>
  <si>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</si>
  <si>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</si>
  <si>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</si>
  <si>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</si>
  <si>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</si>
  <si>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</si>
  <si>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</si>
  <si>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</si>
  <si>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</si>
  <si>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</si>
  <si>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</si>
  <si>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</si>
  <si>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</si>
  <si>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</si>
  <si>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</si>
  <si>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</si>
  <si>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</si>
  <si>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</si>
  <si>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</si>
  <si>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</si>
  <si>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</si>
  <si>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</si>
  <si>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</si>
  <si>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</si>
  <si>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</si>
  <si>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</si>
  <si>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</si>
  <si>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</si>
  <si>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</si>
  <si>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</si>
  <si>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</si>
  <si>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</si>
  <si>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</si>
  <si>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</si>
  <si>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</si>
  <si>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</si>
  <si>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</si>
  <si>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</si>
  <si>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</si>
  <si>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</si>
  <si>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</si>
  <si>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</si>
  <si>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</si>
  <si>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</si>
  <si>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</si>
  <si>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</si>
  <si>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</si>
  <si>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</si>
  <si>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</si>
  <si>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</si>
  <si>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</si>
  <si>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</si>
  <si>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</si>
  <si>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</si>
  <si>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</si>
  <si>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</si>
  <si>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</si>
  <si>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</si>
  <si>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</si>
  <si>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</si>
  <si>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</si>
  <si>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</si>
  <si>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</si>
  <si>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</si>
  <si>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</si>
  <si>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</si>
  <si>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</si>
  <si>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</si>
  <si>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</si>
  <si>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</si>
  <si>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</si>
  <si>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</si>
  <si>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</si>
  <si>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</si>
  <si>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</si>
  <si>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</si>
  <si>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</si>
  <si>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</si>
  <si>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</si>
  <si>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</si>
  <si>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</si>
  <si>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</si>
  <si>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</si>
  <si>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</si>
  <si>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</si>
  <si>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</si>
  <si>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</si>
  <si>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</si>
  <si>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</si>
  <si>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</si>
  <si>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</si>
  <si>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</si>
  <si>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</si>
  <si>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</si>
  <si>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</si>
  <si>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</si>
  <si>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</si>
  <si>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</si>
  <si>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</si>
  <si>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</si>
  <si>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</si>
  <si>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</si>
  <si>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</si>
  <si>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</si>
  <si>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</si>
  <si>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</si>
  <si>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</si>
  <si>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</si>
  <si>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</si>
  <si>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</si>
  <si>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</si>
  <si>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</si>
  <si>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</si>
  <si>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</si>
  <si>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</si>
  <si>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</si>
  <si>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</si>
  <si>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</si>
  <si>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</si>
  <si>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</si>
  <si>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</si>
  <si>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</si>
  <si>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</si>
  <si>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</si>
  <si>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</si>
  <si>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</si>
  <si>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</si>
  <si>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</si>
  <si>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</si>
  <si>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</si>
  <si>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</si>
  <si>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</si>
  <si>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</si>
  <si>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</si>
  <si>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</si>
  <si>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</si>
  <si>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</si>
  <si>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</si>
  <si>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</si>
  <si>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</si>
  <si>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</si>
  <si>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</si>
  <si>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</si>
  <si>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</si>
  <si>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</si>
  <si>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</si>
  <si>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</si>
  <si>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</si>
  <si>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</si>
  <si>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</si>
  <si>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</si>
  <si>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</si>
  <si>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</si>
  <si>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</si>
  <si>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</si>
  <si>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</si>
  <si>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</si>
  <si>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</si>
  <si>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</si>
  <si>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</si>
  <si>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</si>
  <si>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</si>
  <si>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</si>
  <si>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</si>
  <si>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</si>
  <si>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</si>
  <si>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</si>
  <si>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</si>
  <si>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</si>
  <si>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</si>
  <si>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</si>
  <si>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</si>
  <si>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</si>
  <si>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</si>
  <si>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</si>
  <si>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</si>
  <si>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</si>
  <si>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</si>
  <si>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</si>
  <si>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</si>
  <si>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</si>
  <si>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</si>
  <si>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</si>
  <si>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</si>
  <si>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</si>
  <si>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</si>
  <si>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</si>
  <si>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</si>
  <si>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</si>
  <si>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</si>
  <si>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</si>
  <si>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</si>
  <si>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</si>
  <si>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</si>
  <si>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</si>
  <si>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</si>
  <si>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</si>
  <si>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</si>
  <si>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</si>
  <si>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</si>
  <si>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</si>
  <si>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</si>
  <si>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</si>
  <si>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</si>
  <si>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</si>
  <si>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</si>
  <si>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</si>
  <si>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</si>
  <si>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</si>
  <si>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</si>
  <si>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</si>
  <si>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</si>
  <si>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</si>
  <si>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</si>
  <si>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</si>
  <si>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</si>
  <si>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</si>
  <si>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</si>
  <si>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</si>
  <si>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</si>
  <si>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</si>
  <si>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</si>
  <si>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</si>
  <si>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</si>
  <si>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</si>
  <si>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</si>
  <si>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</si>
  <si>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</si>
  <si>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</si>
  <si>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</si>
  <si>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</si>
  <si>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</si>
  <si>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</si>
  <si>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</si>
  <si>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</si>
  <si>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</si>
  <si>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</si>
  <si>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</si>
  <si>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</si>
  <si>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</si>
  <si>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</si>
  <si>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</si>
  <si>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</si>
  <si>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</si>
  <si>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</si>
  <si>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</si>
  <si>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</si>
  <si>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</si>
  <si>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</si>
  <si>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</si>
  <si>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</si>
  <si>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</si>
  <si>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</si>
  <si>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</si>
  <si>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</si>
  <si>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</si>
  <si>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</si>
  <si>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</si>
  <si>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</si>
  <si>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</si>
  <si>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</si>
  <si>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</si>
  <si>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</si>
  <si>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</si>
  <si>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</si>
  <si>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</si>
  <si>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</si>
  <si>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</si>
  <si>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</si>
  <si>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</si>
  <si>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</si>
  <si>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</si>
  <si>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</si>
  <si>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</si>
  <si>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</si>
  <si>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</si>
  <si>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</si>
  <si>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</si>
  <si>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</si>
  <si>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</si>
  <si>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</si>
  <si>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</si>
  <si>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</si>
  <si>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</si>
  <si>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</si>
  <si>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</si>
  <si>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</si>
  <si>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</si>
  <si>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</si>
  <si>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</si>
  <si>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</si>
  <si>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</si>
  <si>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</si>
  <si>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</si>
  <si>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</si>
  <si>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</si>
  <si>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</si>
  <si>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</si>
  <si>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</si>
  <si>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</si>
  <si>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</si>
  <si>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</si>
  <si>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</si>
  <si>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</si>
  <si>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</si>
  <si>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</si>
  <si>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</si>
  <si>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</si>
  <si>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</si>
  <si>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</si>
  <si>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</si>
  <si>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</si>
  <si>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</si>
  <si>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</si>
  <si>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</si>
  <si>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</si>
  <si>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</si>
  <si>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</si>
  <si>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</si>
  <si>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</si>
  <si>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</si>
  <si>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</si>
  <si>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</si>
  <si>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</si>
  <si>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</si>
  <si>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</si>
  <si>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</si>
  <si>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</si>
  <si>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</si>
  <si>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</si>
  <si>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</si>
  <si>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</si>
  <si>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</si>
  <si>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</si>
  <si>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</si>
  <si>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</si>
  <si>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</si>
  <si>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</si>
  <si>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</si>
  <si>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</si>
  <si>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</si>
  <si>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</si>
  <si>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</si>
  <si>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</si>
  <si>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</si>
  <si>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</si>
  <si>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</si>
  <si>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</si>
  <si>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</si>
  <si>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</si>
  <si>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</si>
  <si>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</si>
  <si>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</si>
  <si>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</si>
  <si>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</si>
  <si>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</si>
  <si>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</si>
  <si>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</si>
  <si>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</si>
  <si>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</si>
  <si>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</si>
  <si>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</si>
  <si>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</si>
  <si>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</si>
  <si>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</si>
  <si>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</si>
  <si>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</si>
  <si>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</si>
  <si>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</si>
  <si>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</si>
  <si>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</si>
  <si>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</si>
  <si>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</si>
  <si>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</si>
  <si>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</si>
  <si>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</si>
  <si>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</si>
  <si>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</si>
  <si>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</si>
  <si>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</si>
  <si>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</si>
  <si>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</si>
  <si>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</si>
  <si>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</si>
  <si>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</si>
  <si>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</si>
  <si>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</si>
  <si>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</si>
  <si>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</si>
  <si>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</si>
  <si>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</si>
  <si>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</si>
  <si>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</si>
  <si>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</si>
  <si>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</si>
  <si>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</si>
  <si>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</si>
  <si>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</si>
  <si>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</si>
  <si>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</si>
  <si>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</si>
  <si>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</si>
  <si>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</si>
  <si>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</si>
  <si>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</si>
  <si>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</si>
  <si>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</si>
  <si>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</si>
  <si>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</si>
  <si>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</si>
  <si>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</si>
  <si>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</si>
  <si>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</si>
  <si>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</si>
  <si>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</si>
  <si>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</si>
  <si>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</si>
  <si>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</si>
  <si>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</si>
  <si>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</si>
  <si>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</si>
  <si>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</si>
  <si>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</si>
  <si>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</si>
  <si>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</si>
  <si>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</si>
  <si>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</si>
  <si>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</si>
  <si>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</si>
  <si>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</si>
  <si>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</si>
  <si>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</si>
  <si>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</si>
  <si>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</si>
  <si>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</si>
  <si>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</si>
  <si>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</si>
  <si>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</si>
  <si>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</si>
  <si>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</si>
  <si>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</si>
  <si>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</si>
  <si>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</si>
  <si>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</si>
  <si>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</si>
  <si>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</si>
  <si>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</si>
  <si>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</si>
  <si>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</si>
  <si>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</si>
  <si>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</si>
  <si>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</si>
  <si>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</si>
  <si>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</si>
  <si>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</si>
  <si>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</si>
  <si>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</si>
  <si>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</si>
  <si>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</si>
  <si>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</si>
  <si>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</si>
  <si>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</si>
  <si>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</si>
  <si>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</si>
  <si>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</si>
  <si>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</si>
  <si>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</si>
  <si>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</si>
  <si>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</si>
  <si>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</si>
  <si>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</si>
  <si>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</si>
  <si>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</si>
  <si>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</si>
  <si>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</si>
  <si>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</si>
  <si>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</si>
  <si>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</si>
  <si>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</si>
  <si>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</si>
  <si>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</si>
  <si>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</si>
  <si>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</si>
  <si>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</si>
  <si>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</si>
  <si>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</si>
  <si>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</si>
  <si>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</si>
  <si>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</si>
  <si>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</si>
  <si>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</si>
  <si>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</si>
  <si>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</si>
  <si>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</si>
  <si>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</si>
  <si>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</si>
  <si>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</si>
  <si>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</si>
  <si>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</si>
  <si>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</si>
  <si>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</si>
  <si>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</si>
  <si>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</si>
  <si>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</si>
  <si>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</si>
  <si>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</si>
  <si>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</si>
  <si>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</si>
  <si>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</si>
  <si>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</si>
  <si>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</si>
  <si>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</si>
  <si>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</si>
  <si>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</si>
  <si>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</si>
  <si>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</si>
  <si>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</si>
  <si>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</si>
  <si>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</si>
  <si>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</si>
  <si>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</si>
  <si>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</si>
  <si>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</si>
  <si>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</si>
  <si>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</si>
  <si>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</si>
  <si>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</si>
  <si>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</si>
  <si>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</si>
  <si>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</si>
  <si>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</si>
  <si>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</si>
  <si>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</si>
  <si>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</si>
  <si>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</si>
  <si>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</si>
  <si>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</si>
  <si>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</si>
  <si>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</si>
  <si>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</si>
  <si>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</si>
  <si>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</si>
  <si>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</si>
  <si>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</si>
  <si>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</si>
  <si>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</si>
  <si>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</si>
  <si>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</si>
  <si>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</si>
  <si>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</si>
  <si>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</si>
  <si>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</si>
  <si>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</si>
  <si>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</si>
  <si>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</si>
  <si>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</si>
  <si>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</si>
  <si>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</si>
  <si>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</si>
  <si>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</si>
  <si>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</si>
  <si>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</si>
  <si>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</si>
  <si>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</si>
  <si>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</si>
  <si>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</si>
  <si>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</si>
  <si>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</si>
  <si>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</si>
  <si>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</si>
  <si>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</si>
  <si>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</si>
  <si>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</si>
  <si>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</si>
  <si>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</si>
  <si>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</si>
  <si>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</si>
  <si>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</si>
  <si>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</si>
  <si>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</si>
  <si>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</si>
  <si>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</si>
  <si>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</si>
  <si>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</si>
  <si>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</si>
  <si>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</si>
  <si>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</si>
  <si>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</si>
  <si>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</si>
  <si>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</si>
  <si>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</si>
  <si>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</si>
  <si>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</si>
  <si>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</si>
  <si>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</si>
  <si>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</si>
  <si>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</si>
  <si>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</si>
  <si>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</si>
  <si>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</si>
  <si>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</si>
  <si>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</si>
  <si>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</si>
  <si>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</si>
  <si>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</si>
  <si>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</si>
  <si>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</si>
  <si>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</si>
  <si>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</si>
  <si>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</si>
  <si>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</si>
  <si>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</si>
  <si>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</si>
  <si>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</si>
  <si>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</si>
  <si>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</si>
  <si>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</si>
  <si>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</si>
  <si>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</si>
  <si>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</si>
  <si>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</si>
  <si>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</si>
  <si>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</si>
  <si>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</si>
  <si>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</si>
  <si>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</si>
  <si>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</si>
  <si>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</si>
  <si>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</si>
  <si>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</si>
  <si>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</si>
  <si>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</si>
  <si>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</si>
  <si>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</si>
  <si>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</si>
  <si>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</si>
  <si>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</si>
  <si>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</si>
  <si>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</si>
  <si>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</si>
  <si>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</si>
  <si>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</si>
  <si>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</si>
  <si>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</si>
  <si>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</si>
  <si>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</si>
  <si>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</si>
  <si>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</si>
  <si>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</si>
  <si>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</si>
  <si>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</si>
  <si>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</si>
  <si>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</si>
  <si>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</si>
  <si>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</si>
  <si>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</si>
  <si>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</si>
  <si>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</si>
  <si>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</si>
  <si>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</si>
  <si>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</si>
  <si>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</si>
  <si>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</si>
  <si>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</si>
  <si>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</si>
  <si>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</si>
  <si>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</si>
  <si>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</si>
  <si>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</si>
  <si>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</si>
  <si>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</si>
  <si>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</si>
  <si>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</si>
  <si>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</si>
  <si>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</si>
  <si>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</si>
  <si>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</si>
  <si>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</si>
  <si>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</si>
  <si>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</si>
  <si>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</si>
  <si>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</si>
  <si>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</si>
  <si>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</si>
  <si>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</si>
  <si>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</si>
  <si>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</si>
  <si>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</si>
  <si>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</si>
  <si>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</si>
  <si>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</si>
  <si>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</si>
  <si>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</si>
  <si>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</si>
  <si>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</si>
  <si>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</si>
  <si>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</si>
  <si>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</si>
  <si>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</si>
  <si>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</si>
  <si>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</si>
  <si>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</si>
  <si>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</si>
  <si>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</si>
  <si>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</si>
  <si>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</si>
  <si>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</si>
  <si>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</si>
  <si>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</si>
  <si>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</si>
  <si>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</si>
  <si>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</si>
  <si>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</si>
  <si>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</si>
  <si>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</si>
  <si>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</si>
  <si>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</si>
  <si>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</si>
  <si>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</si>
  <si>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</si>
  <si>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</si>
  <si>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</si>
  <si>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</si>
  <si>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</si>
  <si>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</si>
  <si>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</si>
  <si>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</si>
  <si>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</si>
  <si>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</si>
  <si>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</si>
  <si>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</si>
  <si>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</si>
  <si>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</si>
  <si>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</si>
  <si>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</si>
  <si>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</si>
  <si>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</si>
  <si>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</si>
  <si>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</si>
  <si>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</si>
  <si>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</si>
  <si>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</si>
  <si>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</si>
  <si>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</si>
  <si>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</si>
  <si>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</si>
  <si>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</si>
  <si>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</si>
  <si>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</si>
  <si>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</si>
  <si>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</si>
  <si>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</si>
  <si>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</si>
  <si>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</si>
  <si>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</si>
  <si>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</si>
  <si>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</si>
  <si>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</si>
  <si>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</si>
  <si>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</si>
  <si>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</si>
  <si>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</si>
  <si>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</si>
  <si>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</si>
  <si>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</si>
  <si>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</si>
  <si>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</si>
  <si>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</si>
  <si>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</si>
  <si>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</si>
  <si>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</si>
  <si>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</si>
  <si>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</si>
  <si>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</si>
  <si>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</si>
  <si>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</si>
  <si>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</si>
  <si>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</si>
  <si>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</si>
  <si>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</si>
  <si>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</si>
  <si>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</si>
  <si>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</si>
  <si>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</si>
  <si>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</si>
  <si>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</si>
  <si>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</si>
  <si>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</si>
  <si>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</si>
  <si>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</si>
  <si>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</si>
  <si>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</si>
  <si>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</si>
  <si>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</si>
  <si>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</si>
  <si>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</si>
  <si>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</si>
  <si>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</si>
  <si>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</si>
  <si>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</si>
  <si>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</si>
  <si>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</si>
  <si>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</si>
  <si>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</si>
  <si>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</si>
  <si>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</si>
  <si>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</si>
  <si>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</si>
  <si>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</si>
  <si>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</si>
  <si>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</si>
  <si>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</si>
  <si>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</si>
  <si>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</si>
  <si>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</si>
  <si>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</si>
  <si>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</si>
  <si>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</si>
  <si>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</si>
  <si>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</si>
  <si>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</si>
  <si>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</si>
  <si>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</si>
  <si>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</si>
  <si>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</si>
  <si>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</si>
  <si>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</si>
  <si>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</si>
  <si>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</si>
  <si>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</si>
  <si>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</si>
  <si>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</si>
  <si>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</si>
  <si>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</si>
  <si>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</si>
  <si>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</si>
  <si>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</si>
  <si>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</si>
  <si>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</si>
  <si>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</si>
  <si>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</si>
  <si>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</si>
  <si>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</si>
  <si>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</si>
  <si>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</si>
  <si>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</si>
  <si>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</si>
  <si>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</si>
  <si>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</si>
  <si>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</si>
  <si>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</si>
  <si>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</si>
  <si>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</si>
  <si>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</si>
  <si>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</si>
  <si>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</si>
  <si>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</si>
  <si>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</si>
  <si>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</si>
  <si>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</si>
  <si>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</si>
  <si>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</si>
  <si>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</si>
  <si>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</si>
  <si>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</si>
  <si>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</si>
  <si>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</si>
  <si>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</si>
  <si>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</si>
  <si>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</si>
  <si>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</si>
  <si>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</si>
  <si>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</si>
  <si>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</si>
  <si>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</si>
  <si>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</si>
  <si>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</si>
  <si>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</si>
  <si>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</si>
  <si>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</si>
  <si>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</si>
  <si>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</si>
  <si>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</si>
  <si>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</si>
  <si>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</si>
  <si>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</si>
  <si>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</si>
  <si>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</si>
  <si>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</si>
  <si>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</si>
  <si>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</si>
  <si>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</si>
  <si>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</si>
  <si>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</si>
  <si>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</si>
  <si>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</si>
  <si>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</si>
  <si>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</si>
  <si>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</si>
  <si>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</si>
  <si>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</si>
  <si>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</si>
  <si>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</si>
  <si>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</si>
  <si>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</si>
  <si>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</si>
  <si>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</si>
  <si>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</si>
  <si>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</si>
  <si>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</si>
  <si>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</si>
  <si>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</si>
  <si>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</si>
  <si>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</si>
  <si>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</si>
  <si>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</si>
  <si>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</si>
  <si>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</si>
  <si>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</si>
  <si>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</si>
  <si>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</si>
  <si>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</si>
  <si>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</si>
  <si>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</si>
  <si>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</si>
  <si>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</si>
  <si>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</si>
  <si>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</si>
  <si>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</si>
  <si>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</si>
  <si>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</si>
  <si>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</si>
  <si>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</si>
  <si>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</si>
  <si>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</si>
  <si>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</si>
  <si>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</si>
  <si>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</si>
  <si>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</si>
  <si>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</si>
  <si>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</si>
  <si>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</si>
  <si>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</si>
  <si>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</si>
  <si>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</si>
  <si>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</si>
  <si>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</si>
  <si>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</si>
  <si>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</si>
  <si>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</si>
  <si>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</si>
  <si>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</si>
  <si>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</si>
  <si>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</si>
  <si>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</si>
  <si>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</si>
  <si>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</si>
  <si>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</si>
  <si>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</si>
  <si>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</si>
  <si>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</si>
  <si>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</si>
  <si>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</si>
  <si>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</si>
  <si>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</si>
  <si>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</si>
  <si>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</si>
  <si>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</si>
  <si>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</si>
  <si>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</si>
  <si>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</si>
  <si>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</si>
  <si>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</si>
  <si>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</si>
  <si>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</si>
  <si>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</si>
  <si>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</si>
  <si>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</si>
  <si>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</si>
  <si>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</si>
  <si>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</si>
  <si>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</si>
  <si>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</si>
  <si>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</si>
  <si>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</si>
  <si>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</si>
  <si>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</si>
  <si>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</si>
  <si>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</si>
  <si>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</si>
  <si>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</si>
  <si>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</si>
  <si>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</si>
  <si>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</si>
  <si>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</si>
  <si>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</si>
  <si>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</si>
  <si>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</si>
  <si>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</si>
  <si>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</si>
  <si>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</si>
  <si>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</si>
  <si>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</si>
  <si>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</si>
  <si>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</si>
  <si>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</si>
  <si>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</si>
  <si>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</si>
  <si>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</si>
  <si>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</si>
  <si>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</si>
  <si>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</si>
  <si>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</si>
  <si>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</si>
  <si>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</si>
  <si>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</si>
  <si>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</si>
  <si>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</si>
  <si>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</si>
  <si>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</si>
  <si>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</si>
  <si>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</si>
  <si>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</si>
  <si>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</si>
  <si>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</si>
  <si>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</si>
  <si>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</si>
  <si>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</si>
  <si>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</si>
  <si>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</si>
  <si>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</si>
  <si>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</si>
  <si>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</si>
  <si>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</si>
  <si>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</si>
  <si>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</si>
  <si>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</si>
  <si>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</si>
  <si>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</si>
  <si>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</si>
  <si>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</si>
  <si>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</si>
  <si>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</si>
  <si>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</si>
  <si>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</si>
  <si>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</si>
  <si>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</si>
  <si>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</si>
  <si>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</si>
  <si>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</si>
  <si>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</si>
  <si>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</si>
  <si>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</si>
  <si>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</si>
  <si>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</si>
  <si>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</si>
  <si>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</si>
  <si>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</si>
  <si>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</si>
  <si>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</si>
  <si>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</si>
  <si>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</si>
  <si>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</si>
  <si>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</si>
  <si>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</si>
  <si>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</si>
  <si>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</si>
  <si>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</si>
  <si>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</si>
  <si>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</si>
  <si>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</si>
  <si>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</si>
  <si>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</si>
  <si>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</si>
  <si>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</si>
  <si>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</si>
  <si>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</si>
  <si>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</si>
  <si>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</si>
  <si>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</si>
  <si>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</si>
  <si>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</si>
  <si>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</si>
  <si>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</si>
  <si>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</si>
  <si>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</si>
  <si>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</si>
  <si>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</si>
  <si>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</si>
  <si>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</si>
  <si>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</si>
  <si>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</si>
  <si>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</si>
  <si>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</si>
  <si>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</si>
  <si>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</si>
  <si>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</si>
  <si>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</si>
  <si>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</si>
  <si>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</si>
  <si>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</si>
  <si>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</si>
  <si>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</si>
  <si>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</si>
  <si>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</si>
  <si>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</si>
  <si>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</si>
  <si>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</si>
  <si>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</si>
  <si>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</si>
  <si>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</si>
  <si>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</si>
  <si>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</si>
  <si>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</si>
  <si>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</si>
  <si>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</si>
  <si>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</si>
  <si>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</si>
  <si>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</si>
  <si>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</si>
  <si>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</si>
  <si>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</si>
  <si>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</si>
  <si>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</si>
  <si>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</si>
  <si>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</si>
  <si>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</si>
  <si>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</si>
  <si>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</si>
  <si>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</si>
  <si>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</si>
  <si>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</si>
  <si>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</si>
  <si>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</si>
  <si>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</si>
  <si>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</si>
  <si>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</si>
  <si>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</si>
  <si>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</si>
  <si>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</si>
  <si>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</si>
  <si>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</si>
  <si>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</si>
  <si>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</si>
  <si>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</si>
  <si>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</si>
  <si>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</si>
  <si>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</si>
  <si>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</si>
  <si>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</si>
  <si>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</si>
  <si>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</si>
  <si>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</si>
  <si>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</si>
  <si>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</si>
  <si>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</si>
  <si>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</si>
  <si>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</si>
  <si>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</si>
  <si>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</si>
  <si>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</si>
  <si>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</si>
  <si>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</si>
  <si>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</si>
  <si>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</si>
  <si>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</si>
  <si>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</si>
  <si>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</si>
  <si>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</si>
  <si>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</si>
  <si>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</si>
  <si>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</si>
  <si>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</si>
  <si>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</si>
  <si>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</si>
  <si>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</si>
  <si>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</si>
  <si>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</si>
  <si>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</si>
  <si>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</si>
  <si>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</si>
  <si>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</si>
  <si>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</si>
  <si>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</si>
  <si>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</si>
  <si>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</si>
  <si>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</si>
  <si>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</si>
  <si>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</si>
  <si>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</si>
  <si>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</si>
  <si>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</si>
  <si>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</si>
  <si>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</si>
  <si>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</si>
  <si>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</si>
  <si>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</si>
  <si>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</si>
  <si>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</si>
  <si>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</si>
  <si>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</si>
  <si>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</si>
  <si>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</si>
  <si>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</si>
  <si>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</si>
  <si>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</si>
  <si>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</si>
  <si>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</si>
  <si>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</si>
  <si>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</si>
  <si>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</si>
  <si>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</si>
  <si>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</si>
  <si>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</si>
  <si>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</si>
  <si>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</si>
  <si>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</si>
  <si>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</si>
  <si>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</si>
  <si>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</si>
  <si>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</si>
  <si>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</si>
  <si>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</si>
  <si>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</si>
  <si>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</si>
  <si>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</si>
  <si>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</si>
  <si>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</si>
  <si>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</si>
  <si>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</si>
  <si>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</si>
  <si>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</si>
  <si>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</si>
  <si>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</si>
  <si>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</si>
  <si>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</si>
  <si>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</si>
  <si>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</si>
  <si>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</si>
  <si>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</si>
  <si>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</si>
  <si>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</si>
  <si>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</si>
  <si>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</si>
  <si>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</si>
  <si>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</si>
  <si>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</si>
  <si>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</si>
  <si>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</si>
  <si>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</si>
  <si>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</si>
  <si>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</si>
  <si>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</si>
  <si>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</si>
  <si>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</si>
  <si>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</si>
  <si>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</si>
  <si>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</si>
  <si>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</si>
  <si>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</si>
  <si>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</si>
  <si>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</si>
  <si>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</si>
  <si>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</si>
  <si>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</si>
  <si>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</si>
  <si>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</si>
  <si>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</si>
  <si>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</si>
  <si>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</si>
  <si>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</si>
  <si>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</si>
  <si>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</si>
  <si>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</si>
  <si>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</si>
  <si>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</si>
  <si>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</si>
  <si>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</si>
  <si>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</si>
  <si>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</si>
  <si>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</si>
  <si>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</si>
  <si>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</si>
  <si>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</si>
  <si>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</si>
  <si>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</si>
  <si>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</si>
  <si>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</si>
  <si>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</si>
  <si>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</si>
  <si>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</si>
  <si>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</si>
  <si>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</si>
  <si>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</si>
  <si>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</si>
  <si>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</si>
  <si>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</si>
  <si>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</si>
  <si>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</si>
  <si>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</si>
  <si>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</si>
  <si>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</si>
  <si>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</si>
  <si>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</si>
  <si>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</si>
  <si>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</si>
  <si>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</si>
  <si>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</si>
  <si>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</si>
  <si>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</si>
  <si>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</si>
  <si>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</si>
  <si>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</si>
  <si>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</si>
  <si>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</si>
  <si>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</si>
  <si>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</si>
  <si>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</si>
  <si>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</si>
  <si>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</si>
  <si>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</si>
  <si>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</si>
  <si>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</si>
  <si>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</si>
  <si>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</si>
  <si>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</si>
  <si>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</si>
  <si>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</si>
  <si>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</si>
  <si>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</si>
  <si>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</si>
  <si>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</si>
  <si>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</si>
  <si>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</si>
  <si>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</si>
  <si>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</si>
  <si>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</si>
  <si>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</si>
  <si>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</si>
  <si>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</si>
  <si>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</si>
  <si>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</si>
  <si>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</si>
  <si>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</si>
  <si>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</si>
  <si>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</si>
  <si>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</si>
  <si>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</si>
  <si>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</si>
  <si>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</si>
  <si>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</si>
  <si>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</si>
  <si>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</si>
  <si>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</si>
  <si>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</si>
  <si>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</si>
  <si>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</si>
  <si>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</si>
  <si>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</si>
  <si>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</si>
  <si>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</si>
  <si>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</si>
  <si>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</si>
  <si>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</si>
  <si>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</si>
  <si>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</si>
  <si>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</si>
  <si>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</si>
  <si>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</si>
  <si>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</si>
  <si>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</si>
  <si>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</si>
  <si>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</si>
  <si>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</si>
  <si>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</si>
  <si>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</si>
  <si>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</si>
  <si>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</si>
  <si>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</si>
  <si>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</si>
  <si>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</si>
  <si>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</si>
  <si>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</si>
  <si>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</si>
  <si>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</si>
  <si>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</si>
  <si>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</si>
  <si>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</si>
  <si>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</si>
  <si>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</si>
  <si>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</si>
  <si>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</si>
  <si>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</si>
  <si>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</si>
  <si>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</si>
  <si>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</si>
  <si>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</si>
  <si>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</si>
  <si>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</si>
  <si>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</si>
  <si>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</si>
  <si>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</si>
  <si>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</si>
  <si>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</si>
  <si>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</si>
  <si>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</si>
  <si>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</si>
  <si>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</si>
  <si>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</si>
  <si>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</si>
  <si>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</si>
  <si>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</si>
  <si>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</si>
  <si>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</si>
  <si>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</si>
  <si>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</si>
  <si>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</si>
  <si>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</si>
  <si>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</si>
  <si>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</si>
  <si>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</si>
  <si>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</si>
  <si>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</si>
  <si>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</si>
  <si>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</si>
  <si>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</si>
  <si>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</si>
  <si>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</si>
  <si>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</si>
  <si>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</si>
  <si>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</si>
  <si>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</si>
  <si>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</si>
  <si>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</si>
  <si>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</si>
  <si>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</si>
  <si>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</si>
  <si>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</si>
  <si>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</si>
  <si>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</si>
  <si>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</si>
  <si>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</si>
  <si>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</si>
  <si>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</si>
  <si>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</si>
  <si>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</si>
  <si>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</si>
  <si>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</si>
  <si>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</si>
  <si>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</si>
  <si>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</si>
  <si>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</si>
  <si>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</si>
  <si>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</si>
  <si>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</si>
  <si>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</si>
  <si>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</si>
  <si>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</si>
  <si>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</si>
  <si>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</si>
  <si>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</si>
  <si>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</si>
  <si>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</si>
  <si>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</si>
  <si>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</si>
  <si>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</si>
  <si>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</si>
  <si>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</si>
  <si>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</si>
  <si>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</si>
  <si>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</si>
  <si>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</si>
  <si>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</si>
  <si>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</si>
  <si>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</si>
  <si>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</si>
  <si>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</si>
  <si>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</si>
  <si>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</si>
  <si>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</si>
  <si>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</si>
  <si>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</si>
  <si>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</si>
  <si>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</si>
  <si>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</si>
  <si>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</si>
  <si>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</si>
  <si>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</si>
  <si>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</si>
  <si>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</si>
  <si>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</si>
  <si>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</si>
  <si>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</si>
  <si>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</si>
  <si>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</si>
  <si>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</si>
  <si>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</si>
  <si>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</si>
  <si>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</si>
  <si>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</si>
  <si>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</si>
  <si>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</si>
  <si>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</si>
  <si>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</si>
  <si>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</si>
  <si>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</si>
  <si>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</si>
  <si>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</si>
  <si>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</si>
  <si>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</si>
  <si>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</si>
  <si>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</si>
  <si>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</si>
  <si>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</si>
  <si>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</si>
  <si>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</si>
  <si>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</si>
  <si>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</si>
  <si>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</si>
  <si>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</si>
  <si>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</si>
  <si>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</si>
  <si>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</si>
  <si>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</si>
  <si>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</si>
  <si>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</si>
  <si>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</si>
  <si>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</si>
  <si>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</si>
  <si>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</si>
  <si>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</si>
  <si>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</si>
  <si>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</si>
  <si>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</si>
  <si>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</si>
  <si>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</si>
  <si>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</si>
  <si>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</si>
  <si>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</si>
  <si>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</si>
  <si>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</si>
  <si>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</si>
  <si>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</si>
  <si>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</si>
  <si>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</si>
  <si>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</si>
  <si>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</si>
  <si>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</si>
  <si>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</si>
  <si>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</si>
  <si>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</si>
  <si>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</si>
  <si>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</si>
  <si>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</si>
  <si>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</si>
  <si>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</si>
  <si>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</si>
  <si>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</si>
  <si>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</si>
  <si>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</si>
  <si>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</si>
  <si>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</si>
  <si>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</si>
  <si>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</si>
  <si>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</si>
  <si>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</si>
  <si>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</si>
  <si>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</si>
  <si>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</si>
  <si>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</si>
  <si>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</si>
  <si>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</si>
  <si>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</si>
  <si>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</si>
  <si>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</si>
  <si>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</si>
  <si>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</si>
  <si>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</si>
  <si>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</si>
  <si>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</si>
  <si>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</si>
  <si>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</si>
  <si>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</si>
  <si>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</si>
  <si>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</si>
  <si>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</si>
  <si>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</si>
  <si>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</si>
  <si>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</si>
  <si>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</si>
  <si>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</si>
  <si>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</si>
  <si>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</si>
  <si>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</si>
  <si>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</si>
  <si>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</si>
  <si>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</si>
  <si>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</si>
  <si>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</si>
  <si>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</si>
  <si>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</si>
  <si>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</si>
  <si>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</si>
  <si>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</si>
  <si>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</si>
  <si>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</si>
  <si>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</si>
  <si>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</si>
  <si>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</si>
  <si>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</si>
  <si>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</si>
  <si>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</si>
  <si>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</si>
  <si>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</si>
  <si>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</si>
  <si>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</si>
  <si>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</si>
  <si>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</si>
  <si>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</si>
  <si>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</si>
  <si>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</si>
  <si>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</si>
  <si>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</si>
  <si>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</si>
  <si>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</si>
  <si>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</si>
  <si>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</si>
  <si>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</si>
  <si>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</si>
  <si>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</si>
  <si>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</si>
  <si>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</si>
  <si>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</si>
  <si>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</si>
  <si>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</si>
  <si>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</si>
  <si>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</si>
  <si>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</si>
  <si>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</si>
  <si>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</si>
  <si>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</si>
  <si>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</si>
  <si>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</si>
  <si>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</si>
  <si>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</si>
  <si>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</si>
  <si>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</si>
  <si>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</si>
  <si>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</si>
  <si>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</si>
  <si>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</si>
  <si>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</si>
  <si>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</si>
  <si>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</si>
  <si>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</si>
  <si>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</si>
  <si>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</si>
  <si>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</si>
  <si>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</si>
  <si>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</si>
  <si>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</si>
  <si>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</si>
  <si>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</si>
  <si>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</si>
  <si>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</si>
  <si>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</si>
  <si>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</si>
  <si>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</si>
  <si>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</si>
  <si>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</si>
  <si>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</si>
  <si>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</si>
  <si>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2024-2</t>
    <phoneticPr fontId="3" type="noConversion"/>
  </si>
  <si>
    <t>2024-1</t>
    <phoneticPr fontId="3" type="noConversion"/>
  </si>
  <si>
    <t>商业</t>
    <phoneticPr fontId="224" type="noConversion"/>
  </si>
  <si>
    <t>地上</t>
  </si>
  <si>
    <t>办公自持</t>
    <phoneticPr fontId="14" type="noConversion"/>
  </si>
  <si>
    <t>商业自持</t>
    <phoneticPr fontId="14" type="noConversion"/>
  </si>
  <si>
    <t>自定义容积率</t>
  </si>
  <si>
    <t>不临65条商业街</t>
  </si>
  <si>
    <t>与级别开发程度不一致</t>
  </si>
  <si>
    <t>中心城区以外</t>
  </si>
  <si>
    <t>较好</t>
  </si>
  <si>
    <t>一般</t>
  </si>
  <si>
    <t>好</t>
  </si>
  <si>
    <t>期日</t>
    <phoneticPr fontId="224" type="noConversion"/>
  </si>
  <si>
    <t>年期</t>
    <phoneticPr fontId="224" type="noConversion"/>
  </si>
  <si>
    <t>容积率</t>
    <phoneticPr fontId="224" type="noConversion"/>
  </si>
  <si>
    <t>商务金融用地</t>
  </si>
  <si>
    <t>比例</t>
    <phoneticPr fontId="224" type="noConversion"/>
  </si>
  <si>
    <t>基准价</t>
    <phoneticPr fontId="224" type="noConversion"/>
  </si>
  <si>
    <t>修正后</t>
    <phoneticPr fontId="224" type="noConversion"/>
  </si>
  <si>
    <t>编号</t>
  </si>
  <si>
    <t>项目名</t>
  </si>
  <si>
    <t>2021-1-0690</t>
  </si>
  <si>
    <t>2021-1-0691</t>
  </si>
  <si>
    <t>2021-1-0692</t>
  </si>
  <si>
    <t>2021-1-0693</t>
  </si>
  <si>
    <t>北京城市副中心站综合交通枢纽FZX-0101-0303、0306、0307地块F3其他类多功能用地</t>
    <phoneticPr fontId="224" type="noConversion"/>
  </si>
  <si>
    <t>北京城市副中心站综合交通枢纽FZX-0101-0401、0404地块F3其他类多功能用地</t>
    <phoneticPr fontId="224" type="noConversion"/>
  </si>
  <si>
    <t>北京城市副中心站综合交通枢纽FZX-0101-0702、0704、0705、0706、0707、0708地块F3其他类多功能用地</t>
    <phoneticPr fontId="224" type="noConversion"/>
  </si>
  <si>
    <t>北京城市副中心站综合交通枢纽FZX-0101-0501地块F3其他类多功能用地</t>
    <phoneticPr fontId="224" type="noConversion"/>
  </si>
  <si>
    <t>办公商务公寓</t>
    <phoneticPr fontId="224" type="noConversion"/>
  </si>
  <si>
    <t>——</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</si>
</sst>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9" fontId="141" fillId="0" borderId="0" applyFont="0" applyFill="0" applyBorder="0" applyAlignment="0" applyProtection="0">
      <alignment vertical="center"/>
    </xf>
  </cellStyleXfs>
  <cellXfs count="40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0" fillId="0" borderId="0" xfId="0" applyAlignment="1">
      <alignment horizontal="center" vertical="center"/>
    </xf>
    <xf numFmtId="0" fontId="141" fillId="0" borderId="0" xfId="0" applyFont="1" applyAlignment="1">
      <alignment horizontal="center" vertical="center"/>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0" fillId="0" borderId="2" xfId="0" applyBorder="1" applyAlignment="1">
      <alignment horizontal="center" vertical="center"/>
    </xf>
    <xf numFmtId="0" fontId="141" fillId="0" borderId="2" xfId="1" applyBorder="1" applyAlignment="1">
      <alignment horizontal="center" vertical="center"/>
    </xf>
    <xf numFmtId="0" fontId="141" fillId="0" borderId="2" xfId="1" applyFont="1" applyBorder="1" applyAlignment="1">
      <alignment horizontal="center" vertical="center" wrapText="1"/>
    </xf>
    <xf numFmtId="0" fontId="141" fillId="0" borderId="2" xfId="1" applyFont="1" applyFill="1" applyBorder="1" applyAlignment="1">
      <alignment horizontal="center" vertical="center"/>
    </xf>
    <xf numFmtId="0" fontId="141" fillId="0" borderId="2" xfId="1" applyFont="1" applyBorder="1" applyAlignment="1">
      <alignment horizontal="center" vertical="center"/>
    </xf>
    <xf numFmtId="0" fontId="141" fillId="6" borderId="2" xfId="1" applyFont="1" applyFill="1" applyBorder="1" applyAlignment="1">
      <alignment horizontal="center" vertical="center"/>
    </xf>
    <xf numFmtId="0" fontId="141" fillId="6" borderId="2" xfId="1" applyFont="1" applyFill="1" applyBorder="1" applyAlignment="1">
      <alignment horizontal="center" vertical="center" wrapText="1"/>
    </xf>
    <xf numFmtId="0" fontId="141" fillId="6" borderId="2" xfId="1" applyFill="1" applyBorder="1" applyAlignment="1">
      <alignment horizontal="center" vertical="center"/>
    </xf>
    <xf numFmtId="0" fontId="0" fillId="6" borderId="2" xfId="0" applyFill="1" applyBorder="1" applyAlignment="1">
      <alignment horizontal="center"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41" fillId="0" borderId="0" xfId="0" applyFont="1" applyAlignment="1">
      <alignment horizontal="center" vertical="center"/>
    </xf>
    <xf numFmtId="0" fontId="0" fillId="0" borderId="0" xfId="0" applyAlignment="1">
      <alignment horizontal="center"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百分比 3" xfId="18"/>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275076</xdr:colOff>
      <xdr:row>32</xdr:row>
      <xdr:rowOff>85029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90476" cy="5571429"/>
        </a:xfrm>
        <a:prstGeom prst="rect">
          <a:avLst/>
        </a:prstGeom>
      </xdr:spPr>
    </xdr:pic>
    <xdr:clientData/>
  </xdr:twoCellAnchor>
  <xdr:twoCellAnchor editAs="oneCell">
    <xdr:from>
      <xdr:col>0</xdr:col>
      <xdr:colOff>0</xdr:colOff>
      <xdr:row>32</xdr:row>
      <xdr:rowOff>123825</xdr:rowOff>
    </xdr:from>
    <xdr:to>
      <xdr:col>7</xdr:col>
      <xdr:colOff>685114</xdr:colOff>
      <xdr:row>52</xdr:row>
      <xdr:rowOff>18634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10225"/>
          <a:ext cx="5485714" cy="3323809"/>
        </a:xfrm>
        <a:prstGeom prst="rect">
          <a:avLst/>
        </a:prstGeom>
      </xdr:spPr>
    </xdr:pic>
    <xdr:clientData/>
  </xdr:twoCellAnchor>
  <xdr:twoCellAnchor editAs="oneCell">
    <xdr:from>
      <xdr:col>0</xdr:col>
      <xdr:colOff>0</xdr:colOff>
      <xdr:row>52</xdr:row>
      <xdr:rowOff>142875</xdr:rowOff>
    </xdr:from>
    <xdr:to>
      <xdr:col>7</xdr:col>
      <xdr:colOff>523209</xdr:colOff>
      <xdr:row>71</xdr:row>
      <xdr:rowOff>113896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58275"/>
          <a:ext cx="5323809" cy="3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2522;&#20934;&#22320;&#20215;06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2522;&#20934;&#22320;&#20215;06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8212;&#8212;&#22522;&#20934;&#22320;&#20215;069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商业）"/>
      <sheetName val="修正"/>
      <sheetName val="区片价"/>
      <sheetName val="区片价-范围"/>
      <sheetName val="容积率修正"/>
      <sheetName val="因素修正幅度"/>
      <sheetName val="地价"/>
      <sheetName val="地价-分区"/>
      <sheetName val="基准地价（汇总）"/>
      <sheetName val="基准地价（办公）"/>
      <sheetName val="基准地价（办公商务公寓）"/>
      <sheetName val="70%"/>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
          <cell r="I7">
            <v>7.34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3">
          <cell r="C33">
            <v>14309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3">
          <cell r="C33">
            <v>13325</v>
          </cell>
        </row>
      </sheetData>
      <sheetData sheetId="31">
        <row r="33">
          <cell r="C33">
            <v>14365</v>
          </cell>
        </row>
      </sheetData>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商业）"/>
      <sheetName val="修正"/>
      <sheetName val="区片价"/>
      <sheetName val="区片价-范围"/>
      <sheetName val="容积率修正"/>
      <sheetName val="因素修正幅度"/>
      <sheetName val="地价"/>
      <sheetName val="地价-分区"/>
      <sheetName val="基准地价（汇总）"/>
      <sheetName val="基准地价（办公）"/>
      <sheetName val="70%"/>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
          <cell r="I7">
            <v>5.85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3">
          <cell r="C33">
            <v>16065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3">
          <cell r="C33">
            <v>14875</v>
          </cell>
        </row>
      </sheetData>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商业）"/>
      <sheetName val="修正"/>
      <sheetName val="区片价"/>
      <sheetName val="区片价-范围"/>
      <sheetName val="容积率修正"/>
      <sheetName val="因素修正幅度"/>
      <sheetName val="地价"/>
      <sheetName val="地价-分区"/>
      <sheetName val="基准地价（汇总）"/>
      <sheetName val="基准地价（办公）"/>
      <sheetName val="70%"/>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6.35</v>
          </cell>
        </row>
      </sheetData>
      <sheetData sheetId="13"/>
      <sheetData sheetId="14"/>
      <sheetData sheetId="15"/>
      <sheetData sheetId="16"/>
      <sheetData sheetId="17"/>
      <sheetData sheetId="18"/>
      <sheetData sheetId="19"/>
      <sheetData sheetId="20"/>
      <sheetData sheetId="21">
        <row r="33">
          <cell r="C33">
            <v>13511</v>
          </cell>
        </row>
      </sheetData>
      <sheetData sheetId="22"/>
      <sheetData sheetId="23"/>
      <sheetData sheetId="24"/>
      <sheetData sheetId="25"/>
      <sheetData sheetId="26"/>
      <sheetData sheetId="27"/>
      <sheetData sheetId="28"/>
      <sheetData sheetId="29"/>
      <sheetData sheetId="30">
        <row r="33">
          <cell r="C33">
            <v>12608</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0平方米。根据《建设工程规划许可证》[]、《出让合同》[]，估价对象规划建筑面积为0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2024年7月26日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根据《国有土地使用证》[]，估价对象（分摊）出让国有建设用地使用权面积为0平方米。根据《建设工程规划许可证》[]、《出让合同》[]，估价对象规划建筑面积为0平方米。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7月25日、办公2074年7月25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2024年7月26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估价期日：2024年7月26日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0</v>
      </c>
    </row>
    <row r="44" spans="1:2">
      <c r="A44" s="2357" t="s">
        <v>2022</v>
      </c>
      <c r="B44" s="2358" t="str">
        <f>'预评函-2'!O3</f>
        <v>规划建筑面积/㎡</v>
      </c>
    </row>
    <row r="45" spans="1:2">
      <c r="A45" s="2357" t="s">
        <v>2004</v>
      </c>
      <c r="B45" s="2358">
        <f>'预评函-2'!O5</f>
        <v>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2677</v>
      </c>
      <c r="B1" s="3284"/>
      <c r="C1" s="3284"/>
      <c r="D1" s="3284"/>
      <c r="E1" s="3284"/>
      <c r="F1" s="3285"/>
    </row>
    <row r="2" spans="1:6">
      <c r="A2" s="3287"/>
      <c r="B2" s="3288"/>
      <c r="C2" s="3288"/>
      <c r="D2" s="3288"/>
      <c r="E2" s="3288"/>
      <c r="F2" s="3289"/>
    </row>
    <row r="3" spans="1:6">
      <c r="A3" s="3290" t="s">
        <v>2678</v>
      </c>
      <c r="B3" s="3291">
        <f>项目基本情况!D3</f>
        <v>45499</v>
      </c>
      <c r="C3" s="3292"/>
      <c r="D3" s="3292"/>
      <c r="E3" s="3292"/>
      <c r="F3" s="3289"/>
    </row>
    <row r="4" spans="1:6">
      <c r="A4" s="3290" t="s">
        <v>2679</v>
      </c>
      <c r="B4" s="3293" t="s">
        <v>2680</v>
      </c>
      <c r="C4" s="3293" t="s">
        <v>2681</v>
      </c>
      <c r="D4" s="3293" t="s">
        <v>2682</v>
      </c>
      <c r="E4" s="3293" t="s">
        <v>2683</v>
      </c>
      <c r="F4" s="3289"/>
    </row>
    <row r="5" spans="1:6">
      <c r="A5" s="3294"/>
      <c r="B5" s="3291"/>
      <c r="C5" s="3293">
        <f>ROUNDDOWN(MIN((B5-B3)/365,A5),2)</f>
        <v>-124.65</v>
      </c>
      <c r="D5" s="3295">
        <f>IF(ISERROR(ROUND(POWER(1+E5,A5-C5)*(POWER(1+E5,C5)-1)/(POWER(1+E5,A5)-1),3)),0,ROUND(POWER(1+E5,A5-C5)*(POWER(1+E5,C5)-1)/(POWER(1+E5,A5)-1),4))</f>
        <v>0</v>
      </c>
      <c r="E5" s="3296"/>
      <c r="F5" s="3289"/>
    </row>
    <row r="6" spans="1:6">
      <c r="A6" s="3294"/>
      <c r="B6" s="3291"/>
      <c r="C6" s="3293">
        <f>ROUNDDOWN(MIN((B6-B3)/365,A6),2)</f>
        <v>-124.65</v>
      </c>
      <c r="D6" s="3295">
        <f>IF(ISERROR(ROUND(POWER(1+E6,A6-C6)*(POWER(1+E6,C6)-1)/(POWER(1+E6,A6)-1),3)),0,ROUND(POWER(1+E6,A6-C6)*(POWER(1+E6,C6)-1)/(POWER(1+E6,A6)-1),4))</f>
        <v>0</v>
      </c>
      <c r="E6" s="3296"/>
      <c r="F6" s="3289"/>
    </row>
    <row r="7" spans="1:6">
      <c r="A7" s="3294"/>
      <c r="B7" s="3291"/>
      <c r="C7" s="3293">
        <f>ROUNDDOWN(MIN((B7-B3)/365,A7),2)</f>
        <v>-124.65</v>
      </c>
      <c r="D7" s="3295">
        <f>IF(ISERROR(ROUND(POWER(1+E7,A7-C7)*(POWER(1+E7,C7)-1)/(POWER(1+E7,A7)-1),3)),0,ROUND(POWER(1+E7,A7-C7)*(POWER(1+E7,C7)-1)/(POWER(1+E7,A7)-1),4))</f>
        <v>0</v>
      </c>
      <c r="E7" s="3296"/>
      <c r="F7" s="3289"/>
    </row>
    <row r="8" spans="1:6">
      <c r="A8" s="3287"/>
      <c r="B8" s="3288"/>
      <c r="C8" s="3288"/>
      <c r="D8" s="3288"/>
      <c r="E8" s="3288"/>
      <c r="F8" s="3289"/>
    </row>
    <row r="9" spans="1:6">
      <c r="A9" s="3290" t="s">
        <v>2684</v>
      </c>
      <c r="B9" s="3293"/>
      <c r="C9" s="3293"/>
      <c r="D9" s="3293"/>
      <c r="E9" s="3293"/>
      <c r="F9" s="3297"/>
    </row>
    <row r="10" spans="1:6">
      <c r="A10" s="3290" t="s">
        <v>2685</v>
      </c>
      <c r="B10" s="3293"/>
      <c r="C10" s="3293"/>
      <c r="D10" s="3293" t="s">
        <v>2683</v>
      </c>
      <c r="E10" s="3293"/>
      <c r="F10" s="3297" t="s">
        <v>2682</v>
      </c>
    </row>
    <row r="11" spans="1:6">
      <c r="A11" s="3290" t="s">
        <v>2686</v>
      </c>
      <c r="B11" s="3298"/>
      <c r="C11" s="3293" t="s">
        <v>2687</v>
      </c>
      <c r="D11" s="3299"/>
      <c r="E11" s="3293" t="s">
        <v>2688</v>
      </c>
      <c r="F11" s="3300">
        <f>ROUND(1-(1/(POWER(1+D11,B11))),4)</f>
        <v>0</v>
      </c>
    </row>
    <row r="12" spans="1:6">
      <c r="A12" s="3290" t="s">
        <v>2689</v>
      </c>
      <c r="B12" s="3298"/>
      <c r="C12" s="3293" t="s">
        <v>2690</v>
      </c>
      <c r="D12" s="3299"/>
      <c r="E12" s="3293" t="s">
        <v>2691</v>
      </c>
      <c r="F12" s="3300">
        <f>ROUND(1-(1/(POWER(1+D12,B12))),4)</f>
        <v>0</v>
      </c>
    </row>
    <row r="13" spans="1:6">
      <c r="A13" s="3290" t="s">
        <v>2692</v>
      </c>
      <c r="B13" s="3293"/>
      <c r="C13" s="3292"/>
      <c r="D13" s="3288"/>
      <c r="E13" s="3288"/>
      <c r="F13" s="3289"/>
    </row>
    <row r="14" spans="1:6">
      <c r="A14" s="3290" t="s">
        <v>2693</v>
      </c>
      <c r="B14" s="3298"/>
      <c r="C14" s="3292"/>
      <c r="D14" s="3288"/>
      <c r="E14" s="3288"/>
      <c r="F14" s="3289"/>
    </row>
    <row r="15" spans="1:6">
      <c r="A15" s="3290" t="s">
        <v>2694</v>
      </c>
      <c r="B15" s="3293" t="e">
        <f>ROUND(B14*F12/F11,2)</f>
        <v>#DIV/0!</v>
      </c>
      <c r="C15" s="3293" t="e">
        <f>ROUND(F12/F11,4)</f>
        <v>#DIV/0!</v>
      </c>
      <c r="D15" s="3288"/>
      <c r="E15" s="3288"/>
      <c r="F15" s="3289"/>
    </row>
    <row r="16" spans="1:6">
      <c r="A16" s="3290" t="s">
        <v>2695</v>
      </c>
      <c r="B16" s="3293"/>
      <c r="C16" s="3292"/>
      <c r="D16" s="3288"/>
      <c r="E16" s="3288"/>
      <c r="F16" s="3289"/>
    </row>
    <row r="17" spans="1:7">
      <c r="A17" s="3290" t="s">
        <v>2694</v>
      </c>
      <c r="B17" s="3299"/>
      <c r="C17" s="3292"/>
      <c r="D17" s="3288"/>
      <c r="E17" s="3288"/>
      <c r="F17" s="3289"/>
    </row>
    <row r="18" spans="1:7" ht="14.25" thickBot="1">
      <c r="A18" s="3301" t="s">
        <v>2693</v>
      </c>
      <c r="B18" s="3302" t="e">
        <f>ROUND(B17*F11/F12,2)</f>
        <v>#DIV/0!</v>
      </c>
      <c r="C18" s="3302" t="e">
        <f>ROUND(F11/F12,4)</f>
        <v>#DIV/0!</v>
      </c>
      <c r="D18" s="3303"/>
      <c r="E18" s="3303"/>
      <c r="F18" s="3304"/>
    </row>
    <row r="19" spans="1:7" ht="14.25" thickBot="1"/>
    <row r="20" spans="1:7">
      <c r="A20" s="3305" t="s">
        <v>2696</v>
      </c>
      <c r="B20" s="3306"/>
      <c r="C20" s="3306"/>
      <c r="D20" s="3306"/>
      <c r="E20" s="3306"/>
      <c r="F20" s="3306"/>
      <c r="G20" s="3307"/>
    </row>
    <row r="21" spans="1:7">
      <c r="A21" s="3308"/>
      <c r="B21" s="3309" t="s">
        <v>2697</v>
      </c>
      <c r="C21" s="3309" t="s">
        <v>2698</v>
      </c>
      <c r="D21" s="3309" t="s">
        <v>2699</v>
      </c>
      <c r="E21" s="3309" t="s">
        <v>2700</v>
      </c>
      <c r="F21" s="3309" t="s">
        <v>2701</v>
      </c>
      <c r="G21" s="3310" t="s">
        <v>2702</v>
      </c>
    </row>
    <row r="22" spans="1:7">
      <c r="A22" s="3308" t="s">
        <v>2703</v>
      </c>
      <c r="B22" s="3311">
        <v>50</v>
      </c>
      <c r="C22" s="3311">
        <v>32</v>
      </c>
      <c r="D22" s="3312">
        <v>0.05</v>
      </c>
      <c r="E22" s="3309">
        <f>ROUND(POWER(1+D22,B22-C22)*(POWER(1+D22,C22)-1)/(POWER(1+D22,B22)-1),3)</f>
        <v>0.86599999999999999</v>
      </c>
      <c r="F22" s="3312">
        <v>0.6</v>
      </c>
      <c r="G22" s="3310">
        <f>ROUND(100*(1-(1-E22)*F22),1)</f>
        <v>92</v>
      </c>
    </row>
    <row r="23" spans="1:7">
      <c r="A23" s="3313" t="s">
        <v>2704</v>
      </c>
      <c r="B23" s="3311">
        <v>50</v>
      </c>
      <c r="C23" s="3311">
        <v>35</v>
      </c>
      <c r="D23" s="3312">
        <v>0.05</v>
      </c>
      <c r="E23" s="3309">
        <f>ROUND(POWER(1+D23,B23-C23)*(POWER(1+D23,C23)-1)/(POWER(1+D23,B23)-1),3)</f>
        <v>0.89700000000000002</v>
      </c>
      <c r="F23" s="3312">
        <f>F22</f>
        <v>0.6</v>
      </c>
      <c r="G23" s="3310">
        <f>ROUND(100*(1-(1-E23)*F23),1)</f>
        <v>93.8</v>
      </c>
    </row>
    <row r="24" spans="1:7">
      <c r="A24" s="3313" t="s">
        <v>2705</v>
      </c>
      <c r="B24" s="3311">
        <v>50</v>
      </c>
      <c r="C24" s="3311">
        <v>25</v>
      </c>
      <c r="D24" s="3312">
        <v>0.05</v>
      </c>
      <c r="E24" s="3309">
        <f>ROUND(POWER(1+D24,B24-C24)*(POWER(1+D24,C24)-1)/(POWER(1+D24,B24)-1),3)</f>
        <v>0.77200000000000002</v>
      </c>
      <c r="F24" s="3312">
        <f>F23</f>
        <v>0.6</v>
      </c>
      <c r="G24" s="3310">
        <f>ROUND(100*(1-(1-E24)*F24),1)</f>
        <v>86.3</v>
      </c>
    </row>
    <row r="25" spans="1:7">
      <c r="A25" s="3313" t="s">
        <v>2706</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2707</v>
      </c>
      <c r="B27" s="3318"/>
      <c r="C27" s="3318"/>
      <c r="D27" s="3318"/>
      <c r="E27" s="3318"/>
      <c r="F27" s="3318"/>
      <c r="G27" s="3319"/>
    </row>
    <row r="28" spans="1:7">
      <c r="A28" s="3317" t="s">
        <v>2708</v>
      </c>
      <c r="B28" s="3318"/>
      <c r="C28" s="3318"/>
      <c r="D28" s="3318"/>
      <c r="E28" s="3318"/>
      <c r="F28" s="3318"/>
      <c r="G28" s="3319"/>
    </row>
    <row r="29" spans="1:7">
      <c r="A29" s="3317" t="s">
        <v>2709</v>
      </c>
      <c r="B29" s="3318"/>
      <c r="C29" s="3318"/>
      <c r="D29" s="3318"/>
      <c r="E29" s="3318"/>
      <c r="F29" s="3318"/>
      <c r="G29" s="3319"/>
    </row>
    <row r="30" spans="1:7">
      <c r="A30" s="3317" t="s">
        <v>2710</v>
      </c>
      <c r="B30" s="3318"/>
      <c r="C30" s="3318"/>
      <c r="D30" s="3318"/>
      <c r="E30" s="3318"/>
      <c r="F30" s="3318"/>
      <c r="G30" s="3319"/>
    </row>
    <row r="31" spans="1:7">
      <c r="A31" s="3317" t="s">
        <v>2711</v>
      </c>
      <c r="B31" s="3318"/>
      <c r="C31" s="3318"/>
      <c r="D31" s="3318"/>
      <c r="E31" s="3318"/>
      <c r="F31" s="3318"/>
      <c r="G31" s="3319"/>
    </row>
    <row r="32" spans="1:7">
      <c r="A32" s="3317" t="s">
        <v>2712</v>
      </c>
      <c r="B32" s="3318"/>
      <c r="C32" s="3318"/>
      <c r="D32" s="3318"/>
      <c r="E32" s="3318"/>
      <c r="F32" s="3318"/>
      <c r="G32" s="3319"/>
    </row>
    <row r="33" spans="1:7">
      <c r="A33" s="3317" t="s">
        <v>2713</v>
      </c>
      <c r="B33" s="3318"/>
      <c r="C33" s="3318"/>
      <c r="D33" s="3318"/>
      <c r="E33" s="3318"/>
      <c r="F33" s="3318"/>
      <c r="G33" s="3319"/>
    </row>
    <row r="34" spans="1:7">
      <c r="A34" s="3317" t="s">
        <v>2714</v>
      </c>
      <c r="B34" s="3318"/>
      <c r="C34" s="3318"/>
      <c r="D34" s="3318"/>
      <c r="E34" s="3318"/>
      <c r="F34" s="3318"/>
      <c r="G34" s="3319"/>
    </row>
    <row r="35" spans="1:7">
      <c r="A35" s="3317" t="s">
        <v>2715</v>
      </c>
      <c r="B35" s="3318"/>
      <c r="C35" s="3318"/>
      <c r="D35" s="3318"/>
      <c r="E35" s="3318"/>
      <c r="F35" s="3318"/>
      <c r="G35" s="3319"/>
    </row>
    <row r="36" spans="1:7">
      <c r="A36" s="3317" t="s">
        <v>2716</v>
      </c>
      <c r="B36" s="3318"/>
      <c r="C36" s="3318"/>
      <c r="D36" s="3318"/>
      <c r="E36" s="3318"/>
      <c r="F36" s="3318"/>
      <c r="G36" s="3319"/>
    </row>
    <row r="37" spans="1:7">
      <c r="A37" s="3317" t="s">
        <v>2717</v>
      </c>
      <c r="B37" s="3318"/>
      <c r="C37" s="3318"/>
      <c r="D37" s="3318"/>
      <c r="E37" s="3318"/>
      <c r="F37" s="3318"/>
      <c r="G37" s="3319"/>
    </row>
    <row r="38" spans="1:7">
      <c r="A38" s="3317" t="s">
        <v>2718</v>
      </c>
      <c r="B38" s="3318"/>
      <c r="C38" s="3318"/>
      <c r="D38" s="3318"/>
      <c r="E38" s="3318"/>
      <c r="F38" s="3318"/>
      <c r="G38" s="3319"/>
    </row>
    <row r="39" spans="1:7">
      <c r="A39" s="3317"/>
      <c r="B39" s="3318"/>
      <c r="C39" s="3318"/>
      <c r="D39" s="3318"/>
      <c r="E39" s="3318"/>
      <c r="F39" s="3318"/>
      <c r="G39" s="3319"/>
    </row>
    <row r="40" spans="1:7">
      <c r="A40" s="3320" t="s">
        <v>2719</v>
      </c>
      <c r="B40" s="3321"/>
      <c r="C40" s="3321"/>
      <c r="D40" s="3321"/>
      <c r="E40" s="3321"/>
      <c r="F40" s="3321"/>
      <c r="G40" s="3322"/>
    </row>
    <row r="41" spans="1:7">
      <c r="A41" s="3323" t="s">
        <v>2720</v>
      </c>
      <c r="B41" s="3324" t="s">
        <v>2721</v>
      </c>
      <c r="C41" s="3325" t="s">
        <v>2722</v>
      </c>
      <c r="D41" s="3325" t="s">
        <v>2723</v>
      </c>
      <c r="E41" s="3326"/>
      <c r="F41" s="3327"/>
      <c r="G41" s="3328"/>
    </row>
    <row r="42" spans="1:7">
      <c r="A42" s="3323" t="s">
        <v>2724</v>
      </c>
      <c r="B42" s="3324" t="s">
        <v>2725</v>
      </c>
      <c r="C42" s="3325" t="s">
        <v>2725</v>
      </c>
      <c r="D42" s="3329" t="s">
        <v>2726</v>
      </c>
      <c r="E42" s="3321" t="s">
        <v>2727</v>
      </c>
      <c r="F42" s="3321"/>
      <c r="G42" s="3322"/>
    </row>
    <row r="43" spans="1:7">
      <c r="A43" s="3323" t="s">
        <v>2728</v>
      </c>
      <c r="B43" s="3324" t="s">
        <v>2729</v>
      </c>
      <c r="C43" s="3325" t="s">
        <v>2730</v>
      </c>
      <c r="D43" s="3325" t="s">
        <v>2731</v>
      </c>
      <c r="E43" s="3326" t="s">
        <v>2732</v>
      </c>
      <c r="F43" s="3327"/>
      <c r="G43" s="3328"/>
    </row>
    <row r="44" spans="1:7">
      <c r="A44" s="3323" t="s">
        <v>2733</v>
      </c>
      <c r="B44" s="3324" t="s">
        <v>2734</v>
      </c>
      <c r="C44" s="3325" t="s">
        <v>2735</v>
      </c>
      <c r="D44" s="3329">
        <v>0.5</v>
      </c>
      <c r="E44" s="3326" t="s">
        <v>2736</v>
      </c>
      <c r="F44" s="3327"/>
      <c r="G44" s="3328"/>
    </row>
    <row r="45" spans="1:7" ht="14.25" thickBot="1">
      <c r="A45" s="3330" t="s">
        <v>2737</v>
      </c>
      <c r="B45" s="3331" t="s">
        <v>2725</v>
      </c>
      <c r="C45" s="3332" t="s">
        <v>2725</v>
      </c>
      <c r="D45" s="3332" t="s">
        <v>2738</v>
      </c>
      <c r="E45" s="3333" t="s">
        <v>2739</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E18" sqref="E18"/>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18" t="str">
        <f>IF(B10="北京市","北京市",C10)&amp;F10&amp;A17&amp;"国有建设用地使用权"&amp;B9&amp;"预评估"</f>
        <v>北京市出让国有建设用地使用权预评估</v>
      </c>
      <c r="C1" s="3719"/>
      <c r="D1" s="3719"/>
      <c r="E1" s="3719"/>
      <c r="F1" s="3719"/>
      <c r="G1" s="3719"/>
      <c r="H1" s="3719"/>
      <c r="I1" s="3720"/>
      <c r="J1" s="2816"/>
      <c r="K1" s="2107" t="str">
        <f>IF(B10="北京市","北京市",C10)&amp;F10&amp;A17&amp;"国有建设用地使用权"&amp;B9</f>
        <v>北京市出让国有建设用地使用权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c r="C3" s="2739" t="s">
        <v>1513</v>
      </c>
      <c r="D3" s="1465">
        <v>45499</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c r="C8" s="1474"/>
      <c r="D8" s="3724"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c r="C9" s="1477"/>
      <c r="D9" s="3725"/>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21"/>
      <c r="C12" s="3722"/>
      <c r="D12" s="3723"/>
      <c r="E12" s="1494" t="s">
        <v>1579</v>
      </c>
      <c r="F12" s="3739" t="s">
        <v>2163</v>
      </c>
      <c r="G12" s="3740"/>
      <c r="H12" s="3740"/>
      <c r="I12" s="3741"/>
      <c r="J12" s="2816"/>
      <c r="K12" s="2799"/>
      <c r="L12" s="2795"/>
      <c r="M12" s="2795"/>
      <c r="N12" s="2796"/>
      <c r="O12" s="2797"/>
      <c r="P12" s="2796"/>
      <c r="Q12" s="2796"/>
      <c r="R12" s="2796"/>
      <c r="S12" s="2796"/>
      <c r="T12" s="2796"/>
      <c r="U12" s="2796"/>
    </row>
    <row r="13" spans="1:21">
      <c r="A13" s="1485" t="s">
        <v>1577</v>
      </c>
      <c r="B13" s="3721"/>
      <c r="C13" s="3722"/>
      <c r="D13" s="3723"/>
      <c r="E13" s="1494" t="s">
        <v>1579</v>
      </c>
      <c r="F13" s="3739" t="s">
        <v>2164</v>
      </c>
      <c r="G13" s="3740"/>
      <c r="H13" s="3740"/>
      <c r="I13" s="3741"/>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2741</v>
      </c>
      <c r="J15" s="2816"/>
      <c r="K15" s="2799"/>
      <c r="L15" s="2795"/>
      <c r="M15" s="2795"/>
      <c r="N15" s="2796"/>
      <c r="O15" s="2797"/>
      <c r="P15" s="2796"/>
      <c r="Q15" s="2796"/>
      <c r="R15" s="2796"/>
      <c r="S15" s="2796"/>
      <c r="T15" s="2796"/>
      <c r="U15" s="2796"/>
    </row>
    <row r="16" spans="1:21" ht="28.5">
      <c r="A16" s="2744" t="s">
        <v>1467</v>
      </c>
      <c r="B16" s="1494" t="s">
        <v>1468</v>
      </c>
      <c r="C16" s="3282" t="s">
        <v>1469</v>
      </c>
      <c r="D16" s="1516" t="s">
        <v>2742</v>
      </c>
      <c r="E16" s="1516" t="s">
        <v>1212</v>
      </c>
      <c r="F16" s="1516" t="s">
        <v>2743</v>
      </c>
      <c r="G16" s="1516" t="s">
        <v>2744</v>
      </c>
      <c r="H16" s="1484" t="s">
        <v>776</v>
      </c>
      <c r="I16" s="1484" t="s">
        <v>2741</v>
      </c>
      <c r="J16" s="2816"/>
      <c r="K16" s="2108" t="str">
        <f>IF(D17="","",D16&amp;TEXT(D17,"yyyy年m月d日;;"))</f>
        <v>商业2064年7月25日</v>
      </c>
      <c r="L16" s="1494" t="str">
        <f>IF(OR(K16="",M16=""),"","、")</f>
        <v>、</v>
      </c>
      <c r="M16" s="2108" t="str">
        <f>IF(E17="","",E16&amp;TEXT(E17,"yyyy年m月d日;;"))</f>
        <v>办公2074年7月25日</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2745</v>
      </c>
      <c r="B17" s="2745" t="s">
        <v>1473</v>
      </c>
      <c r="C17" s="3335"/>
      <c r="D17" s="3335">
        <v>60108</v>
      </c>
      <c r="E17" s="3335">
        <v>63760</v>
      </c>
      <c r="F17" s="3335"/>
      <c r="G17" s="3335"/>
      <c r="H17" s="3335"/>
      <c r="I17" s="3335"/>
      <c r="J17" s="2816"/>
      <c r="K17" s="2794" t="str">
        <f>CONCATENATE(K16,L16,M16,N16,O16,P16,Q16,R16,S16,T16,,U16)</f>
        <v>商业2064年7月25日、办公2074年7月25日</v>
      </c>
      <c r="L17" s="2795"/>
      <c r="M17" s="2795"/>
      <c r="N17" s="2796"/>
      <c r="O17" s="2797"/>
      <c r="P17" s="2796"/>
      <c r="Q17" s="2796"/>
      <c r="R17" s="2796"/>
      <c r="S17" s="2796"/>
      <c r="T17" s="2796"/>
      <c r="U17" s="2796"/>
    </row>
    <row r="18" spans="1:21">
      <c r="A18" s="1552"/>
      <c r="B18" s="2745" t="s">
        <v>1474</v>
      </c>
      <c r="C18" s="1482"/>
      <c r="D18" s="1482">
        <v>40</v>
      </c>
      <c r="E18" s="1482">
        <v>50</v>
      </c>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40</v>
      </c>
      <c r="E19" s="1483">
        <f>IF(A17="出让",IF(E17="","",ROUNDDOWN(MIN((E17-$D$3)/365,E18),2)),E18)</f>
        <v>50</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36"/>
      <c r="E20" s="3737"/>
      <c r="F20" s="3737"/>
      <c r="G20" s="3737"/>
      <c r="H20" s="3737"/>
      <c r="I20" s="3738"/>
      <c r="J20" s="2816"/>
      <c r="K20" s="2799"/>
      <c r="L20" s="2795"/>
      <c r="M20" s="2795"/>
      <c r="N20" s="2796"/>
      <c r="O20" s="2797"/>
      <c r="P20" s="2796"/>
      <c r="Q20" s="2796"/>
      <c r="R20" s="2796"/>
      <c r="S20" s="2796"/>
      <c r="T20" s="2796"/>
      <c r="U20" s="2796"/>
    </row>
    <row r="21" spans="1:21">
      <c r="A21" s="1552" t="s">
        <v>1476</v>
      </c>
      <c r="B21" s="1553" t="s">
        <v>1477</v>
      </c>
      <c r="C21" s="1548">
        <f>'数据-汇总表'!E3</f>
        <v>0</v>
      </c>
      <c r="D21" s="1549" t="s">
        <v>1478</v>
      </c>
      <c r="E21" s="3726" t="s">
        <v>1516</v>
      </c>
      <c r="F21" s="3727"/>
      <c r="G21" s="3727"/>
      <c r="H21" s="3727"/>
      <c r="I21" s="3728"/>
      <c r="J21" s="2816"/>
      <c r="K21" s="2799"/>
      <c r="L21" s="2795"/>
      <c r="M21" s="2795"/>
      <c r="N21" s="2796"/>
      <c r="O21" s="2797"/>
      <c r="P21" s="2796"/>
      <c r="Q21" s="2796"/>
      <c r="R21" s="2796"/>
      <c r="S21" s="2796"/>
      <c r="T21" s="2796"/>
      <c r="U21" s="2796"/>
    </row>
    <row r="22" spans="1:21">
      <c r="A22" s="2556" t="s">
        <v>877</v>
      </c>
      <c r="B22" s="1464" t="s">
        <v>1479</v>
      </c>
      <c r="C22" s="1484">
        <f>'数据-汇总表'!D3</f>
        <v>0</v>
      </c>
      <c r="D22" s="1485" t="s">
        <v>1478</v>
      </c>
      <c r="E22" s="3726" t="s">
        <v>2165</v>
      </c>
      <c r="F22" s="3727"/>
      <c r="G22" s="3727"/>
      <c r="H22" s="3727"/>
      <c r="I22" s="3728"/>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9" t="s">
        <v>1484</v>
      </c>
      <c r="C24" s="3730"/>
      <c r="D24" s="3731" t="s">
        <v>1485</v>
      </c>
      <c r="E24" s="3732"/>
      <c r="F24" s="1502" t="s">
        <v>1486</v>
      </c>
      <c r="G24" s="2816"/>
      <c r="H24" s="2816"/>
      <c r="I24" s="2820"/>
      <c r="J24" s="2816"/>
      <c r="K24" s="3717"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17"/>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17"/>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44" t="s">
        <v>1519</v>
      </c>
      <c r="B31" s="1553" t="s">
        <v>1520</v>
      </c>
      <c r="C31" s="3742"/>
      <c r="D31" s="3743"/>
      <c r="E31" s="2816"/>
      <c r="F31" s="2816"/>
      <c r="G31" s="2816"/>
      <c r="H31" s="2816"/>
      <c r="I31" s="2820"/>
      <c r="J31" s="2816"/>
      <c r="K31" s="2802"/>
      <c r="L31" s="2796"/>
      <c r="M31" s="2796"/>
      <c r="N31" s="2796"/>
      <c r="O31" s="2796"/>
      <c r="P31" s="2796"/>
      <c r="Q31" s="2796"/>
      <c r="R31" s="2796"/>
      <c r="S31" s="2796"/>
      <c r="T31" s="2796"/>
      <c r="U31" s="2796"/>
    </row>
    <row r="32" spans="1:21">
      <c r="A32" s="3744"/>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44"/>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45"/>
      <c r="B34" s="1464" t="s">
        <v>1523</v>
      </c>
      <c r="C34" s="3746"/>
      <c r="D34" s="3747"/>
      <c r="E34" s="2816"/>
      <c r="F34" s="2816"/>
      <c r="G34" s="2816"/>
      <c r="H34" s="2816"/>
      <c r="I34" s="2820"/>
      <c r="J34" s="2816"/>
      <c r="K34" s="2802"/>
      <c r="L34" s="2796"/>
      <c r="M34" s="2796"/>
      <c r="N34" s="2796"/>
      <c r="O34" s="2796"/>
      <c r="P34" s="2796"/>
      <c r="Q34" s="2796"/>
      <c r="R34" s="2796"/>
      <c r="S34" s="2796"/>
      <c r="T34" s="2796"/>
      <c r="U34" s="2796"/>
    </row>
    <row r="35" spans="1:28">
      <c r="A35" s="3748" t="s">
        <v>785</v>
      </c>
      <c r="B35" s="1516"/>
      <c r="C35" s="1562" t="str">
        <f>IF(B35="场地平整","——","具体情况：")</f>
        <v>具体情况：</v>
      </c>
      <c r="D35" s="3750"/>
      <c r="E35" s="3751"/>
      <c r="F35" s="3751"/>
      <c r="G35" s="3751"/>
      <c r="H35" s="3751"/>
      <c r="I35" s="3752"/>
      <c r="J35" s="2816"/>
      <c r="K35" s="2803"/>
      <c r="L35" s="2795"/>
      <c r="M35" s="2795"/>
      <c r="N35" s="2796"/>
      <c r="O35" s="2797"/>
      <c r="P35" s="2796"/>
      <c r="Q35" s="2796"/>
      <c r="R35" s="2796"/>
      <c r="S35" s="2796"/>
      <c r="T35" s="2796"/>
      <c r="U35" s="2796"/>
    </row>
    <row r="36" spans="1:28">
      <c r="A36" s="3744"/>
      <c r="B36" s="3753" t="s">
        <v>1572</v>
      </c>
      <c r="C36" s="3754"/>
      <c r="D36" s="1578"/>
      <c r="E36" s="3755"/>
      <c r="F36" s="3755"/>
      <c r="G36" s="1485" t="str">
        <f>IF(B35="场地未平整","估价结果处理","")</f>
        <v/>
      </c>
      <c r="H36" s="3756"/>
      <c r="I36" s="3756"/>
      <c r="J36" s="2816"/>
      <c r="K36" s="2803"/>
      <c r="L36" s="2795"/>
      <c r="M36" s="2795"/>
      <c r="N36" s="2796"/>
      <c r="O36" s="2797"/>
      <c r="P36" s="2796"/>
      <c r="Q36" s="2796"/>
      <c r="R36" s="2796"/>
      <c r="S36" s="2796"/>
      <c r="T36" s="2796"/>
      <c r="U36" s="2796"/>
    </row>
    <row r="37" spans="1:28" ht="28.5">
      <c r="A37" s="3744"/>
      <c r="B37" s="3733"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44"/>
      <c r="B38" s="3734"/>
      <c r="C38" s="1472" t="s">
        <v>788</v>
      </c>
      <c r="D38" s="1577">
        <f>ROUNDDOWN(MIN(('数据-取费表'!$B$2-D37)/365,D34),1)</f>
        <v>124.6</v>
      </c>
      <c r="E38" s="1521" t="s">
        <v>789</v>
      </c>
      <c r="F38" s="2816"/>
      <c r="G38" s="2816"/>
      <c r="H38" s="2816"/>
      <c r="I38" s="2820"/>
      <c r="J38" s="2816"/>
      <c r="K38" s="2803"/>
      <c r="L38" s="2796"/>
      <c r="M38" s="2796"/>
      <c r="N38" s="2796"/>
      <c r="O38" s="2796"/>
      <c r="P38" s="2796"/>
      <c r="Q38" s="2796"/>
      <c r="R38" s="2796"/>
      <c r="S38" s="2796"/>
      <c r="T38" s="2796"/>
      <c r="U38" s="2796"/>
    </row>
    <row r="39" spans="1:28">
      <c r="A39" s="3745"/>
      <c r="B39" s="3735"/>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16" t="s">
        <v>1503</v>
      </c>
      <c r="T40" s="1525" t="str">
        <f>NUMBERSTRING(7-K40,1)&amp;"通"</f>
        <v>七通</v>
      </c>
      <c r="U40" s="2796"/>
    </row>
    <row r="41" spans="1:28">
      <c r="A41" s="1466"/>
      <c r="B41" s="3749" t="s">
        <v>1250</v>
      </c>
      <c r="C41" s="3749"/>
      <c r="D41" s="3749"/>
      <c r="E41" s="3749"/>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16"/>
      <c r="T41" s="1527" t="str">
        <f>IF(T40="一通",L41,IF(T40="二通",M41,IF(T40="三通",N41,IF(T40="四通",O41,IF(T40="五通",P41,IF(T40="六通",Q41,R41))))))</f>
        <v>、、、、、、</v>
      </c>
      <c r="U41" s="2796"/>
    </row>
    <row r="42" spans="1:28">
      <c r="A42" s="1529"/>
      <c r="B42" s="1555" t="s">
        <v>1422</v>
      </c>
      <c r="C42" s="1555" t="s">
        <v>1423</v>
      </c>
      <c r="D42" s="1555" t="s">
        <v>1424</v>
      </c>
      <c r="E42" s="3282" t="s">
        <v>2746</v>
      </c>
      <c r="F42" s="3282" t="s">
        <v>2747</v>
      </c>
      <c r="G42" s="2816"/>
      <c r="H42" s="2816"/>
      <c r="I42" s="2820"/>
      <c r="J42" s="2816"/>
      <c r="K42" s="2799"/>
      <c r="L42" s="2795"/>
      <c r="M42" s="2795"/>
      <c r="N42" s="2796"/>
      <c r="O42" s="2797"/>
      <c r="P42" s="2796"/>
      <c r="Q42" s="2796"/>
      <c r="R42" s="2796"/>
      <c r="S42" s="2796"/>
      <c r="T42" s="2796"/>
      <c r="U42" s="2796"/>
    </row>
    <row r="43" spans="1:28">
      <c r="A43" s="2767" t="s">
        <v>1235</v>
      </c>
      <c r="B43" s="1531" t="s">
        <v>853</v>
      </c>
      <c r="C43" s="1531" t="s">
        <v>853</v>
      </c>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2844</v>
      </c>
      <c r="C44" s="1531" t="s">
        <v>2844</v>
      </c>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M11" sqref="M11"/>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82982.100000000006</v>
      </c>
      <c r="B3" s="20">
        <f>IF(C3="否",G5-AT5,G5)</f>
        <v>170000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170000</v>
      </c>
      <c r="H5" s="25">
        <f t="shared" ref="H5:AT5" si="0">SUM(H13:H641)</f>
        <v>170000</v>
      </c>
      <c r="I5" s="25">
        <f t="shared" si="0"/>
        <v>62000</v>
      </c>
      <c r="J5" s="25">
        <f t="shared" si="0"/>
        <v>0</v>
      </c>
      <c r="K5" s="25">
        <f t="shared" si="0"/>
        <v>108000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82982.100000000006</v>
      </c>
      <c r="F6" s="25" t="s">
        <v>0</v>
      </c>
      <c r="G6" s="25" t="s">
        <v>1</v>
      </c>
      <c r="H6" s="31">
        <f>SUMIF(I$12:AB$12,"总值",I6:AB6)</f>
        <v>82982.100000000006</v>
      </c>
      <c r="I6" s="25">
        <f t="shared" ref="I6:AB6" si="2">ROUND($A$3*I5/$B$3,2)</f>
        <v>30264.06</v>
      </c>
      <c r="J6" s="25">
        <f t="shared" si="2"/>
        <v>0</v>
      </c>
      <c r="K6" s="25">
        <f t="shared" si="2"/>
        <v>52718.04</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3271</v>
      </c>
      <c r="J9" s="49"/>
      <c r="K9" s="2491" t="s">
        <v>3271</v>
      </c>
      <c r="L9" s="49"/>
      <c r="M9" s="2491" t="s">
        <v>3271</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1212</v>
      </c>
      <c r="J10" s="49"/>
      <c r="K10" s="2493" t="s">
        <v>2742</v>
      </c>
      <c r="L10" s="49"/>
      <c r="M10" s="2493" t="s">
        <v>1212</v>
      </c>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地上</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办公</v>
      </c>
      <c r="BC11" s="48" t="str">
        <f>K10</f>
        <v>商业</v>
      </c>
      <c r="BD11" s="48" t="str">
        <f>M10</f>
        <v>办公</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c r="E13" s="25">
        <f t="shared" ref="E13:E20" si="6">IF($C$3="是",ROUND($A$3*G13/$B$3,2),ROUND($A$3*(G13-AT13)/$B$3,2))</f>
        <v>82982.100000000006</v>
      </c>
      <c r="F13" s="78"/>
      <c r="G13" s="79">
        <f t="shared" ref="G13:G20" si="7">H13+AC13+AT13</f>
        <v>170000</v>
      </c>
      <c r="H13" s="31">
        <f t="shared" ref="H13:H20" si="8">SUMIF(I$12:AB$12,"总值",I13:AB13)</f>
        <v>170000</v>
      </c>
      <c r="I13" s="2490">
        <v>62000</v>
      </c>
      <c r="J13" s="2490"/>
      <c r="K13" s="2490">
        <v>108000</v>
      </c>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66" t="s">
        <v>169</v>
      </c>
      <c r="B2" s="3766"/>
      <c r="C2" s="3766"/>
      <c r="D2" s="1729" t="s">
        <v>170</v>
      </c>
      <c r="E2" s="102" t="s">
        <v>171</v>
      </c>
      <c r="F2" s="2825"/>
      <c r="G2" s="1096"/>
      <c r="H2" s="1097"/>
      <c r="I2" s="1098" t="s">
        <v>795</v>
      </c>
      <c r="J2" s="2825"/>
      <c r="K2" s="2825"/>
      <c r="L2" s="2825"/>
      <c r="M2" s="2825"/>
      <c r="N2" s="2825"/>
      <c r="O2" s="2825"/>
      <c r="P2" s="2825"/>
    </row>
    <row r="3" spans="1:16" ht="15.75" thickBot="1">
      <c r="A3" s="3767" t="s">
        <v>172</v>
      </c>
      <c r="B3" s="3767"/>
      <c r="C3" s="3767"/>
      <c r="D3" s="103">
        <f>'数据-基础表'!AY6</f>
        <v>0</v>
      </c>
      <c r="E3" s="103">
        <f>'数据-基础表'!AZ5</f>
        <v>0</v>
      </c>
      <c r="F3" s="2825"/>
      <c r="G3" s="271" t="s">
        <v>796</v>
      </c>
      <c r="H3" s="266" t="s">
        <v>797</v>
      </c>
      <c r="I3" s="1730">
        <f>ROUND('数据-基础表'!B3/'数据-基础表'!A3,2)</f>
        <v>2.0499999999999998</v>
      </c>
      <c r="J3" s="2825"/>
      <c r="K3" s="2825"/>
      <c r="L3" s="2825"/>
      <c r="M3" s="2825"/>
      <c r="N3" s="2825"/>
      <c r="O3" s="2825"/>
      <c r="P3" s="2825"/>
    </row>
    <row r="4" spans="1:16" ht="15">
      <c r="A4" s="3768"/>
      <c r="B4" s="3769"/>
      <c r="C4" s="3770"/>
      <c r="D4" s="104" t="s">
        <v>170</v>
      </c>
      <c r="E4" s="105" t="s">
        <v>171</v>
      </c>
      <c r="F4" s="2825"/>
      <c r="G4" s="1099"/>
      <c r="H4" s="266" t="s">
        <v>798</v>
      </c>
      <c r="I4" s="1730">
        <f>ROUND(SUMIF('数据-基础表'!I9:AS9,"地上",'数据-基础表'!I5:AS5)/'数据-基础表'!A3,2)</f>
        <v>2.0499999999999998</v>
      </c>
      <c r="J4" s="2825"/>
      <c r="K4" s="2825"/>
      <c r="L4" s="2825"/>
      <c r="M4" s="2825"/>
      <c r="N4" s="2825"/>
      <c r="O4" s="2825"/>
      <c r="P4" s="2825"/>
    </row>
    <row r="5" spans="1:16">
      <c r="A5" s="106" t="s">
        <v>173</v>
      </c>
      <c r="B5" s="3771" t="s">
        <v>196</v>
      </c>
      <c r="C5" s="3771"/>
      <c r="D5" s="107" t="e">
        <f>ROUND($D$3*E5/$E$3,2)</f>
        <v>#DIV/0!</v>
      </c>
      <c r="E5" s="108">
        <f>SUMIF('数据-基础表'!$11:$11,"住宅",'数据-基础表'!$5:$5)</f>
        <v>0</v>
      </c>
      <c r="F5" s="2825"/>
      <c r="G5" s="271" t="s">
        <v>799</v>
      </c>
      <c r="H5" s="266" t="s">
        <v>797</v>
      </c>
      <c r="I5" s="1730" t="e">
        <f>ROUND(E31/D31,2)</f>
        <v>#DIV/0!</v>
      </c>
      <c r="J5" s="2825"/>
      <c r="K5" s="2825"/>
      <c r="L5" s="2825"/>
      <c r="M5" s="2825"/>
      <c r="N5" s="2825"/>
      <c r="O5" s="2825"/>
      <c r="P5" s="2825"/>
    </row>
    <row r="6" spans="1:16" ht="15" thickBot="1">
      <c r="A6" s="109"/>
      <c r="B6" s="3771" t="s">
        <v>174</v>
      </c>
      <c r="C6" s="3771"/>
      <c r="D6" s="107" t="e">
        <f>ROUND($D$3*E6/$E$3,2)</f>
        <v>#DIV/0!</v>
      </c>
      <c r="E6" s="108">
        <f>E3-E5</f>
        <v>0</v>
      </c>
      <c r="F6" s="2825"/>
      <c r="G6" s="1099"/>
      <c r="H6" s="266" t="s">
        <v>798</v>
      </c>
      <c r="I6" s="1730" t="e">
        <f>ROUND(F31/D31,2)</f>
        <v>#DIV/0!</v>
      </c>
      <c r="J6" s="2825"/>
      <c r="K6" s="2825"/>
      <c r="L6" s="2825"/>
      <c r="M6" s="2825"/>
      <c r="N6" s="2825"/>
      <c r="O6" s="2825"/>
      <c r="P6" s="2825"/>
    </row>
    <row r="7" spans="1:16" ht="15">
      <c r="A7" s="3763"/>
      <c r="B7" s="3764"/>
      <c r="C7" s="3765"/>
      <c r="D7" s="104" t="s">
        <v>170</v>
      </c>
      <c r="E7" s="110" t="s">
        <v>197</v>
      </c>
      <c r="F7" s="2825"/>
      <c r="G7" s="1055" t="s">
        <v>1180</v>
      </c>
      <c r="H7" s="1056"/>
      <c r="I7" s="1631">
        <v>3.25</v>
      </c>
      <c r="J7" s="2825"/>
      <c r="K7" s="2825"/>
      <c r="L7" s="2825"/>
      <c r="M7" s="2825"/>
      <c r="N7" s="2825"/>
      <c r="O7" s="2825"/>
      <c r="P7" s="2825"/>
    </row>
    <row r="8" spans="1:16">
      <c r="A8" s="106" t="s">
        <v>175</v>
      </c>
      <c r="B8" s="111" t="s">
        <v>176</v>
      </c>
      <c r="C8" s="107" t="s">
        <v>177</v>
      </c>
      <c r="D8" s="107" t="e">
        <f t="shared" ref="D8:D15" si="0">ROUND($D$3*E8/$E$3,2)</f>
        <v>#DIV/0!</v>
      </c>
      <c r="E8" s="112">
        <f>SUMIF('数据-基础表'!BB10:BK10,"地上",'数据-基础表'!BB5:BK5)</f>
        <v>0</v>
      </c>
      <c r="F8" s="2825"/>
      <c r="G8" s="2826"/>
      <c r="H8" s="2826"/>
      <c r="I8" s="2825"/>
      <c r="J8" s="2825"/>
      <c r="K8" s="2825"/>
      <c r="L8" s="2825"/>
      <c r="M8" s="2825"/>
      <c r="N8" s="2825"/>
      <c r="O8" s="2825"/>
      <c r="P8" s="2825"/>
    </row>
    <row r="9" spans="1:16">
      <c r="A9" s="113"/>
      <c r="B9" s="114"/>
      <c r="C9" s="107" t="s">
        <v>178</v>
      </c>
      <c r="D9" s="107" t="e">
        <f t="shared" si="0"/>
        <v>#DIV/0!</v>
      </c>
      <c r="E9" s="115">
        <v>0</v>
      </c>
      <c r="F9" s="2825"/>
      <c r="G9" s="2826"/>
      <c r="H9" s="2826"/>
      <c r="I9" s="2825"/>
      <c r="J9" s="2825"/>
      <c r="K9" s="2825"/>
      <c r="L9" s="2825"/>
      <c r="M9" s="2825"/>
      <c r="N9" s="2825"/>
      <c r="O9" s="2825"/>
      <c r="P9" s="2825"/>
    </row>
    <row r="10" spans="1:16">
      <c r="A10" s="113"/>
      <c r="B10" s="114"/>
      <c r="C10" s="107" t="s">
        <v>179</v>
      </c>
      <c r="D10" s="107" t="e">
        <f t="shared" si="0"/>
        <v>#DIV/0!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t="e">
        <f t="shared" si="0"/>
        <v>#DIV/0!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t="e">
        <f t="shared" si="0"/>
        <v>#DIV/0!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t="e">
        <f t="shared" si="0"/>
        <v>#DIV/0!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t="e">
        <f t="shared" si="0"/>
        <v>#DIV/0!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t="e">
        <f t="shared" si="0"/>
        <v>#DIV/0!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t="e">
        <f>SUM(D8:D15)</f>
        <v>#DIV/0!</v>
      </c>
      <c r="E16" s="116">
        <f>SUM(E8:E15)</f>
        <v>0</v>
      </c>
      <c r="F16" s="2825"/>
      <c r="G16" s="2826"/>
      <c r="H16" s="930" t="s">
        <v>185</v>
      </c>
      <c r="I16" s="931"/>
      <c r="J16" s="1738"/>
      <c r="K16" s="3757" t="s">
        <v>1849</v>
      </c>
      <c r="L16" s="3758"/>
      <c r="M16" s="3758"/>
      <c r="N16" s="3758"/>
      <c r="O16" s="3758"/>
      <c r="P16" s="3759"/>
    </row>
    <row r="17" spans="1:19" ht="15">
      <c r="A17" s="117" t="s">
        <v>182</v>
      </c>
      <c r="B17" s="118" t="s">
        <v>183</v>
      </c>
      <c r="C17" s="2016" t="s">
        <v>1670</v>
      </c>
      <c r="D17" s="104" t="s">
        <v>170</v>
      </c>
      <c r="E17" s="120" t="s">
        <v>171</v>
      </c>
      <c r="F17" s="121"/>
      <c r="G17" s="1225"/>
      <c r="H17" s="932" t="s">
        <v>184</v>
      </c>
      <c r="I17" s="933" t="s">
        <v>1669</v>
      </c>
      <c r="J17" s="1738"/>
      <c r="K17" s="3760" t="s">
        <v>1850</v>
      </c>
      <c r="L17" s="3761"/>
      <c r="M17" s="3762"/>
      <c r="N17" s="3760" t="s">
        <v>1851</v>
      </c>
      <c r="O17" s="3761"/>
      <c r="P17" s="3762"/>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c r="D19" s="107" t="e">
        <f t="shared" ref="D19:D26" si="1">ROUND($D$3*E19/$E$3,2)</f>
        <v>#DIV/0!</v>
      </c>
      <c r="E19" s="130">
        <f t="shared" ref="E19:E26" si="2">SUM(F19:G19)</f>
        <v>0</v>
      </c>
      <c r="F19" s="2827"/>
      <c r="G19" s="2828"/>
      <c r="H19" s="936" t="e">
        <f>ROUND($D$3*I19/$E$3,2)</f>
        <v>#DIV/0!</v>
      </c>
      <c r="I19" s="112" t="e">
        <f>IF($I$17="自定义",P19,M19)</f>
        <v>#DIV/0!</v>
      </c>
      <c r="J19" s="1738"/>
      <c r="K19" s="2215" t="e">
        <f t="shared" ref="K19:K26" si="3">ROUND(E$28*E19/E$27,2)</f>
        <v>#DIV/0!</v>
      </c>
      <c r="L19" s="266">
        <f t="shared" ref="L19:L26" si="4">ROUND(IF(COUNTIF(C19,"*住宅*")&gt;0,E$29*E19/E$32,0),2)</f>
        <v>0</v>
      </c>
      <c r="M19" s="2216" t="e">
        <f>K19+L19</f>
        <v>#DIV/0!</v>
      </c>
      <c r="N19" s="2217"/>
      <c r="O19" s="2218"/>
      <c r="P19" s="2219">
        <f>N19+O19</f>
        <v>0</v>
      </c>
      <c r="R19" s="266" t="e">
        <f t="shared" ref="R19:S26" si="5">D19+H19</f>
        <v>#DIV/0!</v>
      </c>
      <c r="S19" s="2019" t="e">
        <f t="shared" si="5"/>
        <v>#DIV/0!</v>
      </c>
    </row>
    <row r="20" spans="1:19">
      <c r="A20" s="133"/>
      <c r="B20" s="111" t="s">
        <v>192</v>
      </c>
      <c r="C20" s="2497"/>
      <c r="D20" s="107" t="e">
        <f t="shared" si="1"/>
        <v>#DIV/0!</v>
      </c>
      <c r="E20" s="130">
        <f t="shared" si="2"/>
        <v>0</v>
      </c>
      <c r="F20" s="2827"/>
      <c r="G20" s="2828"/>
      <c r="H20" s="936" t="e">
        <f t="shared" ref="H20:H26" si="6">ROUND($D$3*I20/$E$3,2)</f>
        <v>#DIV/0!</v>
      </c>
      <c r="I20" s="112" t="e">
        <f t="shared" ref="I20:I26" si="7">IF($I$17="自定义",P20,M20)</f>
        <v>#DIV/0!</v>
      </c>
      <c r="J20" s="1738"/>
      <c r="K20" s="2215" t="e">
        <f t="shared" si="3"/>
        <v>#DIV/0!</v>
      </c>
      <c r="L20" s="266">
        <f t="shared" si="4"/>
        <v>0</v>
      </c>
      <c r="M20" s="2216" t="e">
        <f t="shared" ref="M20:M26" si="8">K20+L20</f>
        <v>#DIV/0!</v>
      </c>
      <c r="N20" s="2217"/>
      <c r="O20" s="2218"/>
      <c r="P20" s="2219">
        <f t="shared" ref="P20:P26" si="9">N20+O20</f>
        <v>0</v>
      </c>
      <c r="R20" s="266" t="e">
        <f t="shared" si="5"/>
        <v>#DIV/0!</v>
      </c>
      <c r="S20" s="2019" t="e">
        <f t="shared" si="5"/>
        <v>#DIV/0!</v>
      </c>
    </row>
    <row r="21" spans="1:19">
      <c r="A21" s="133"/>
      <c r="B21" s="111" t="s">
        <v>192</v>
      </c>
      <c r="C21" s="2497"/>
      <c r="D21" s="107" t="e">
        <f t="shared" si="1"/>
        <v>#DIV/0!</v>
      </c>
      <c r="E21" s="130">
        <f t="shared" si="2"/>
        <v>0</v>
      </c>
      <c r="F21" s="2827"/>
      <c r="G21" s="2828"/>
      <c r="H21" s="936" t="e">
        <f t="shared" si="6"/>
        <v>#DIV/0!</v>
      </c>
      <c r="I21" s="112" t="e">
        <f t="shared" si="7"/>
        <v>#DIV/0!</v>
      </c>
      <c r="J21" s="1738"/>
      <c r="K21" s="2215" t="e">
        <f t="shared" si="3"/>
        <v>#DIV/0!</v>
      </c>
      <c r="L21" s="266">
        <f t="shared" si="4"/>
        <v>0</v>
      </c>
      <c r="M21" s="2216" t="e">
        <f t="shared" si="8"/>
        <v>#DIV/0!</v>
      </c>
      <c r="N21" s="2217"/>
      <c r="O21" s="2218"/>
      <c r="P21" s="2219">
        <f t="shared" si="9"/>
        <v>0</v>
      </c>
      <c r="R21" s="266" t="e">
        <f t="shared" si="5"/>
        <v>#DIV/0!</v>
      </c>
      <c r="S21" s="2019" t="e">
        <f t="shared" si="5"/>
        <v>#DIV/0!</v>
      </c>
    </row>
    <row r="22" spans="1:19">
      <c r="A22" s="133"/>
      <c r="B22" s="111" t="s">
        <v>192</v>
      </c>
      <c r="C22" s="3338"/>
      <c r="D22" s="107" t="e">
        <f t="shared" si="1"/>
        <v>#DIV/0!</v>
      </c>
      <c r="E22" s="130">
        <f t="shared" si="2"/>
        <v>0</v>
      </c>
      <c r="F22" s="2829"/>
      <c r="G22" s="2830"/>
      <c r="H22" s="936" t="e">
        <f t="shared" si="6"/>
        <v>#DIV/0!</v>
      </c>
      <c r="I22" s="112" t="e">
        <f t="shared" si="7"/>
        <v>#DIV/0!</v>
      </c>
      <c r="J22" s="1738"/>
      <c r="K22" s="2215" t="e">
        <f t="shared" si="3"/>
        <v>#DIV/0!</v>
      </c>
      <c r="L22" s="266">
        <f t="shared" si="4"/>
        <v>0</v>
      </c>
      <c r="M22" s="2216" t="e">
        <f t="shared" si="8"/>
        <v>#DIV/0!</v>
      </c>
      <c r="N22" s="2217"/>
      <c r="O22" s="2218"/>
      <c r="P22" s="2219">
        <f t="shared" si="9"/>
        <v>0</v>
      </c>
      <c r="R22" s="266" t="e">
        <f t="shared" si="5"/>
        <v>#DIV/0!</v>
      </c>
      <c r="S22" s="2019" t="e">
        <f t="shared" si="5"/>
        <v>#DIV/0!</v>
      </c>
    </row>
    <row r="23" spans="1:19">
      <c r="A23" s="133"/>
      <c r="B23" s="111" t="s">
        <v>192</v>
      </c>
      <c r="C23" s="3338"/>
      <c r="D23" s="107" t="e">
        <f>ROUND($D$3*E23/$E$3,2)</f>
        <v>#DIV/0!</v>
      </c>
      <c r="E23" s="130">
        <f>SUM(F23:G23)</f>
        <v>0</v>
      </c>
      <c r="F23" s="2829"/>
      <c r="G23" s="2830"/>
      <c r="H23" s="936" t="e">
        <f>ROUND($D$3*I23/$E$3,2)</f>
        <v>#DIV/0!</v>
      </c>
      <c r="I23" s="112" t="e">
        <f t="shared" si="7"/>
        <v>#DIV/0!</v>
      </c>
      <c r="J23" s="1738"/>
      <c r="K23" s="2215" t="e">
        <f t="shared" si="3"/>
        <v>#DIV/0!</v>
      </c>
      <c r="L23" s="266">
        <f t="shared" si="4"/>
        <v>0</v>
      </c>
      <c r="M23" s="2216" t="e">
        <f t="shared" si="8"/>
        <v>#DIV/0!</v>
      </c>
      <c r="N23" s="2217"/>
      <c r="O23" s="2218"/>
      <c r="P23" s="2219">
        <f t="shared" si="9"/>
        <v>0</v>
      </c>
      <c r="R23" s="266" t="e">
        <f t="shared" si="5"/>
        <v>#DIV/0!</v>
      </c>
      <c r="S23" s="2019" t="e">
        <f t="shared" si="5"/>
        <v>#DIV/0!</v>
      </c>
    </row>
    <row r="24" spans="1:19">
      <c r="A24" s="133"/>
      <c r="B24" s="111" t="s">
        <v>192</v>
      </c>
      <c r="C24" s="3338"/>
      <c r="D24" s="107" t="e">
        <f>ROUND($D$3*E24/$E$3,2)</f>
        <v>#DIV/0!</v>
      </c>
      <c r="E24" s="130">
        <f>SUM(F24:G24)</f>
        <v>0</v>
      </c>
      <c r="F24" s="2829"/>
      <c r="G24" s="2830"/>
      <c r="H24" s="936" t="e">
        <f>ROUND($D$3*I24/$E$3,2)</f>
        <v>#DIV/0!</v>
      </c>
      <c r="I24" s="112" t="e">
        <f t="shared" si="7"/>
        <v>#DIV/0!</v>
      </c>
      <c r="J24" s="1738"/>
      <c r="K24" s="2215" t="e">
        <f t="shared" si="3"/>
        <v>#DIV/0!</v>
      </c>
      <c r="L24" s="266">
        <f t="shared" si="4"/>
        <v>0</v>
      </c>
      <c r="M24" s="2216" t="e">
        <f t="shared" si="8"/>
        <v>#DIV/0!</v>
      </c>
      <c r="N24" s="2217"/>
      <c r="O24" s="2218"/>
      <c r="P24" s="2219">
        <f t="shared" si="9"/>
        <v>0</v>
      </c>
      <c r="R24" s="266" t="e">
        <f t="shared" si="5"/>
        <v>#DIV/0!</v>
      </c>
      <c r="S24" s="2019" t="e">
        <f t="shared" si="5"/>
        <v>#DIV/0!</v>
      </c>
    </row>
    <row r="25" spans="1:19">
      <c r="A25" s="133"/>
      <c r="B25" s="111" t="s">
        <v>192</v>
      </c>
      <c r="C25" s="3338"/>
      <c r="D25" s="107" t="e">
        <f t="shared" si="1"/>
        <v>#DIV/0!</v>
      </c>
      <c r="E25" s="130">
        <f t="shared" si="2"/>
        <v>0</v>
      </c>
      <c r="F25" s="2829"/>
      <c r="G25" s="2830"/>
      <c r="H25" s="106" t="e">
        <f t="shared" si="6"/>
        <v>#DIV/0!</v>
      </c>
      <c r="I25" s="112" t="e">
        <f t="shared" si="7"/>
        <v>#DIV/0!</v>
      </c>
      <c r="J25" s="1738"/>
      <c r="K25" s="2215" t="e">
        <f t="shared" si="3"/>
        <v>#DIV/0!</v>
      </c>
      <c r="L25" s="266">
        <f t="shared" si="4"/>
        <v>0</v>
      </c>
      <c r="M25" s="2216" t="e">
        <f t="shared" si="8"/>
        <v>#DIV/0!</v>
      </c>
      <c r="N25" s="2217"/>
      <c r="O25" s="2218"/>
      <c r="P25" s="2219">
        <f t="shared" si="9"/>
        <v>0</v>
      </c>
      <c r="R25" s="266" t="e">
        <f t="shared" si="5"/>
        <v>#DIV/0!</v>
      </c>
      <c r="S25" s="2019" t="e">
        <f t="shared" si="5"/>
        <v>#DIV/0!</v>
      </c>
    </row>
    <row r="26" spans="1:19">
      <c r="A26" s="133"/>
      <c r="B26" s="111" t="s">
        <v>192</v>
      </c>
      <c r="C26" s="135"/>
      <c r="D26" s="107" t="e">
        <f t="shared" si="1"/>
        <v>#DIV/0!</v>
      </c>
      <c r="E26" s="130">
        <f t="shared" si="2"/>
        <v>0</v>
      </c>
      <c r="F26" s="2829"/>
      <c r="G26" s="2830"/>
      <c r="H26" s="106" t="e">
        <f t="shared" si="6"/>
        <v>#DIV/0!</v>
      </c>
      <c r="I26" s="112" t="e">
        <f t="shared" si="7"/>
        <v>#DIV/0!</v>
      </c>
      <c r="J26" s="1738"/>
      <c r="K26" s="2220" t="e">
        <f t="shared" si="3"/>
        <v>#DIV/0!</v>
      </c>
      <c r="L26" s="271">
        <f t="shared" si="4"/>
        <v>0</v>
      </c>
      <c r="M26" s="139" t="e">
        <f t="shared" si="8"/>
        <v>#DIV/0!</v>
      </c>
      <c r="N26" s="2221"/>
      <c r="O26" s="2222"/>
      <c r="P26" s="2223">
        <f t="shared" si="9"/>
        <v>0</v>
      </c>
      <c r="R26" s="266" t="e">
        <f t="shared" si="5"/>
        <v>#DIV/0!</v>
      </c>
      <c r="S26" s="2019" t="e">
        <f t="shared" si="5"/>
        <v>#DIV/0!</v>
      </c>
    </row>
    <row r="27" spans="1:19" ht="15.7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7" t="e">
        <f>SUM(H19:H26)</f>
        <v>#DIV/0!</v>
      </c>
      <c r="I27" s="938" t="e">
        <f>SUM(I19:I26)</f>
        <v>#DIV/0!</v>
      </c>
      <c r="J27" s="1738"/>
      <c r="K27" s="2224" t="e">
        <f t="shared" ref="K27:P27" si="10">SUM(K19:K26)</f>
        <v>#DIV/0!</v>
      </c>
      <c r="L27" s="2225">
        <f t="shared" si="10"/>
        <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t="e">
        <f>ROUND($D$3*E28/$E$3,2)</f>
        <v>#DIV/0!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t="e">
        <f>ROUND($D$3*E29/$E$3,2)</f>
        <v>#DIV/0!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t="e">
        <f>SUM(D28:D29)</f>
        <v>#DIV/0!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t="e">
        <f>D27+D30</f>
        <v>#DIV/0!</v>
      </c>
      <c r="E31" s="1229">
        <f>E27+E30</f>
        <v>0</v>
      </c>
      <c r="F31" s="1230">
        <f>F27+F30</f>
        <v>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J8" sqref="J8"/>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45499</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f>'数据-汇总表'!C19</f>
        <v>0</v>
      </c>
      <c r="B6" s="2055" t="str">
        <f>IF(A6=0,"","经营性")</f>
        <v/>
      </c>
      <c r="C6" s="166" t="s">
        <v>2742</v>
      </c>
      <c r="D6" s="2026">
        <f>SUMIF(项目基本情况!C$15:I$15,C6,项目基本情况!C$18:I$18)</f>
        <v>40</v>
      </c>
      <c r="E6" s="2027" t="str">
        <f>IF(B6="","",SUMIF(项目基本情况!C$15:I$15,C6,项目基本情况!C$17:I$17))</f>
        <v/>
      </c>
      <c r="F6" s="167">
        <f>SUMIF(项目基本情况!C$15:I$15,C6,项目基本情况!C$19:I$19)</f>
        <v>40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t="s">
        <v>1212</v>
      </c>
      <c r="D7" s="2026">
        <f>SUMIF(项目基本情况!C$15:I$15,C7,项目基本情况!C$18:I$18)</f>
        <v>50</v>
      </c>
      <c r="E7" s="2027" t="str">
        <f>IF(B7="","",SUMIF(项目基本情况!C$15:I$15,C7,项目基本情况!C$17:I$17))</f>
        <v/>
      </c>
      <c r="F7" s="167">
        <f>SUMIF(项目基本情况!C$15:I$15,C7,项目基本情况!C$19:I$19)</f>
        <v>50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0</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2291</v>
      </c>
      <c r="B40" s="2129" t="e">
        <f ca="1">IF(A40="利息：取LPR",存贷款利率!E2,存贷款利率!E2+C40)</f>
        <v>#VALUE!</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97" priority="12" stopIfTrue="1" operator="containsText" text="自行计算">
      <formula>NOT(ISERROR(SEARCH("自行计算",T6)))</formula>
    </cfRule>
    <cfRule type="containsText" dxfId="196" priority="13" stopIfTrue="1" operator="containsText" text="自行计算">
      <formula>NOT(ISERROR(SEARCH("自行计算",T6)))</formula>
    </cfRule>
  </conditionalFormatting>
  <conditionalFormatting sqref="T6:T13">
    <cfRule type="containsText" dxfId="195" priority="10" stopIfTrue="1" operator="containsText" text="自行计算">
      <formula>NOT(ISERROR(SEARCH("自行计算",T6)))</formula>
    </cfRule>
    <cfRule type="containsText" dxfId="194" priority="11" stopIfTrue="1" operator="containsText" text="自行计算">
      <formula>NOT(ISERROR(SEARCH("自行计算",T6)))</formula>
    </cfRule>
  </conditionalFormatting>
  <conditionalFormatting sqref="T12:T13">
    <cfRule type="containsText" dxfId="193" priority="4" stopIfTrue="1" operator="containsText" text="自行计算">
      <formula>NOT(ISERROR(SEARCH("自行计算",T12)))</formula>
    </cfRule>
    <cfRule type="containsText" dxfId="192" priority="5" stopIfTrue="1" operator="containsText" text="自行计算">
      <formula>NOT(ISERROR(SEARCH("自行计算",T12)))</formula>
    </cfRule>
  </conditionalFormatting>
  <conditionalFormatting sqref="T12:T13">
    <cfRule type="containsText" dxfId="191" priority="2" stopIfTrue="1" operator="containsText" text="自行计算">
      <formula>NOT(ISERROR(SEARCH("自行计算",T12)))</formula>
    </cfRule>
    <cfRule type="containsText" dxfId="190" priority="3" stopIfTrue="1" operator="containsText" text="自行计算">
      <formula>NOT(ISERROR(SEARCH("自行计算",T12)))</formula>
    </cfRule>
  </conditionalFormatting>
  <conditionalFormatting sqref="T6:T15">
    <cfRule type="expression" dxfId="18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72" t="s">
        <v>1198</v>
      </c>
      <c r="B1" s="3773"/>
      <c r="C1" s="3773"/>
      <c r="D1" s="3773"/>
      <c r="E1" s="3773"/>
      <c r="F1" s="3773"/>
      <c r="G1" s="3773"/>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45499</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18" t="str">
        <f>项目基本情况!K2</f>
        <v>北京市出让国有建设用地使用权</v>
      </c>
      <c r="B2" s="3819"/>
      <c r="C2" s="3820"/>
      <c r="D2" s="3820"/>
      <c r="E2" s="3820"/>
      <c r="F2" s="3820"/>
      <c r="G2" s="3819"/>
      <c r="H2" s="3819"/>
      <c r="I2" s="3821"/>
      <c r="J2" s="1753"/>
      <c r="K2" s="1752"/>
      <c r="L2" s="1752"/>
      <c r="M2" s="1752"/>
      <c r="N2" s="1752"/>
      <c r="O2" s="1752"/>
      <c r="P2" s="1752"/>
      <c r="Q2" s="1752"/>
      <c r="R2" s="1752"/>
      <c r="S2" s="1752"/>
      <c r="T2" s="1752"/>
      <c r="U2" s="1752"/>
      <c r="V2" s="1752"/>
    </row>
    <row r="3" spans="1:22" ht="14.25">
      <c r="A3" s="3829" t="s">
        <v>264</v>
      </c>
      <c r="B3" s="3830"/>
      <c r="C3" s="3830"/>
      <c r="D3" s="3830"/>
      <c r="E3" s="3830"/>
      <c r="F3" s="3830"/>
      <c r="G3" s="3830"/>
      <c r="H3" s="3830"/>
      <c r="I3" s="3830"/>
      <c r="J3" s="1753"/>
      <c r="K3" s="1752"/>
      <c r="L3" s="1752"/>
      <c r="M3" s="1752"/>
      <c r="N3" s="1752"/>
      <c r="O3" s="1752"/>
      <c r="P3" s="1752"/>
      <c r="Q3" s="1752"/>
      <c r="R3" s="1752"/>
      <c r="S3" s="1752"/>
      <c r="T3" s="1752"/>
      <c r="U3" s="1752"/>
      <c r="V3" s="1752"/>
    </row>
    <row r="4" spans="1:22" ht="14.25">
      <c r="A4" s="249" t="s">
        <v>265</v>
      </c>
      <c r="B4" s="250" t="s">
        <v>266</v>
      </c>
      <c r="C4" s="251"/>
      <c r="D4" s="251"/>
      <c r="E4" s="3793" t="s">
        <v>267</v>
      </c>
      <c r="F4" s="3835"/>
      <c r="G4" s="3835"/>
      <c r="H4" s="3835"/>
      <c r="I4" s="3794"/>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822" t="s">
        <v>268</v>
      </c>
      <c r="B5" s="3823">
        <v>25</v>
      </c>
      <c r="C5" s="3831"/>
      <c r="D5" s="3834"/>
      <c r="E5" s="252" t="s">
        <v>269</v>
      </c>
      <c r="F5" s="253"/>
      <c r="G5" s="253"/>
      <c r="H5" s="253"/>
      <c r="I5" s="254"/>
      <c r="J5" s="1753"/>
      <c r="K5" s="1752"/>
      <c r="L5" s="1752"/>
      <c r="M5" s="1752"/>
      <c r="N5" s="1752"/>
      <c r="O5" s="1752"/>
      <c r="P5" s="1752"/>
      <c r="Q5" s="1752"/>
      <c r="R5" s="1752"/>
      <c r="S5" s="1752"/>
      <c r="T5" s="1752"/>
      <c r="U5" s="1752"/>
      <c r="V5" s="1752"/>
    </row>
    <row r="6" spans="1:22" ht="14.25">
      <c r="A6" s="3822"/>
      <c r="B6" s="3823"/>
      <c r="C6" s="3832"/>
      <c r="D6" s="3834"/>
      <c r="E6" s="252" t="s">
        <v>270</v>
      </c>
      <c r="F6" s="253"/>
      <c r="G6" s="253"/>
      <c r="H6" s="253"/>
      <c r="I6" s="254"/>
      <c r="J6" s="1753"/>
      <c r="K6" s="1752"/>
      <c r="L6" s="1752"/>
      <c r="M6" s="1752"/>
      <c r="N6" s="1752"/>
      <c r="O6" s="1752"/>
      <c r="P6" s="1752"/>
      <c r="Q6" s="1752"/>
      <c r="R6" s="1752"/>
      <c r="S6" s="1752"/>
      <c r="T6" s="1752"/>
      <c r="U6" s="1752"/>
      <c r="V6" s="1752"/>
    </row>
    <row r="7" spans="1:22" ht="14.25">
      <c r="A7" s="3822"/>
      <c r="B7" s="3823"/>
      <c r="C7" s="3833"/>
      <c r="D7" s="3834"/>
      <c r="E7" s="252" t="s">
        <v>271</v>
      </c>
      <c r="F7" s="253"/>
      <c r="G7" s="253"/>
      <c r="H7" s="253"/>
      <c r="I7" s="254"/>
      <c r="J7" s="1753"/>
      <c r="K7" s="1752"/>
      <c r="L7" s="1752"/>
      <c r="M7" s="1752"/>
      <c r="N7" s="1752"/>
      <c r="O7" s="1752"/>
      <c r="P7" s="1752"/>
      <c r="Q7" s="1752"/>
      <c r="R7" s="1752"/>
      <c r="S7" s="1752"/>
      <c r="T7" s="1752"/>
      <c r="U7" s="1752"/>
      <c r="V7" s="1752"/>
    </row>
    <row r="8" spans="1:22" ht="14.25">
      <c r="A8" s="3822" t="s">
        <v>272</v>
      </c>
      <c r="B8" s="3823">
        <v>15</v>
      </c>
      <c r="C8" s="3831"/>
      <c r="D8" s="3834"/>
      <c r="E8" s="252" t="s">
        <v>273</v>
      </c>
      <c r="F8" s="253"/>
      <c r="G8" s="253"/>
      <c r="H8" s="253"/>
      <c r="I8" s="254"/>
      <c r="J8" s="1753"/>
      <c r="K8" s="1752"/>
      <c r="L8" s="1752"/>
      <c r="M8" s="1752"/>
      <c r="N8" s="1752"/>
      <c r="O8" s="1752"/>
      <c r="P8" s="1752"/>
      <c r="Q8" s="1752"/>
      <c r="R8" s="1752"/>
      <c r="S8" s="1752"/>
      <c r="T8" s="1752"/>
      <c r="U8" s="1752"/>
      <c r="V8" s="1752"/>
    </row>
    <row r="9" spans="1:22" ht="14.25">
      <c r="A9" s="3822"/>
      <c r="B9" s="3823"/>
      <c r="C9" s="3833"/>
      <c r="D9" s="3834"/>
      <c r="E9" s="252" t="s">
        <v>274</v>
      </c>
      <c r="F9" s="253"/>
      <c r="G9" s="253"/>
      <c r="H9" s="253"/>
      <c r="I9" s="254"/>
      <c r="J9" s="1753"/>
      <c r="K9" s="1752"/>
      <c r="L9" s="1752"/>
      <c r="M9" s="1752"/>
      <c r="N9" s="1752"/>
      <c r="O9" s="1752"/>
      <c r="P9" s="1752"/>
      <c r="Q9" s="1752"/>
      <c r="R9" s="1752"/>
      <c r="S9" s="1752"/>
      <c r="T9" s="1752"/>
      <c r="U9" s="1752"/>
      <c r="V9" s="1752"/>
    </row>
    <row r="10" spans="1:22" ht="14.25">
      <c r="A10" s="3822" t="s">
        <v>275</v>
      </c>
      <c r="B10" s="3823">
        <v>15</v>
      </c>
      <c r="C10" s="3831"/>
      <c r="D10" s="3834"/>
      <c r="E10" s="252" t="s">
        <v>276</v>
      </c>
      <c r="F10" s="253"/>
      <c r="G10" s="253"/>
      <c r="H10" s="253"/>
      <c r="I10" s="254"/>
      <c r="J10" s="1753"/>
      <c r="K10" s="1752"/>
      <c r="L10" s="1752"/>
      <c r="M10" s="1752"/>
      <c r="N10" s="1752"/>
      <c r="O10" s="1752"/>
      <c r="P10" s="1752"/>
      <c r="Q10" s="1752"/>
      <c r="R10" s="1752"/>
      <c r="S10" s="1752"/>
      <c r="T10" s="1752"/>
      <c r="U10" s="1752"/>
      <c r="V10" s="1752"/>
    </row>
    <row r="11" spans="1:22" ht="14.25">
      <c r="A11" s="3822"/>
      <c r="B11" s="3823"/>
      <c r="C11" s="3833"/>
      <c r="D11" s="3834"/>
      <c r="E11" s="252" t="s">
        <v>277</v>
      </c>
      <c r="F11" s="253"/>
      <c r="G11" s="253"/>
      <c r="H11" s="253"/>
      <c r="I11" s="254"/>
      <c r="J11" s="1753"/>
      <c r="K11" s="1752"/>
      <c r="L11" s="1752"/>
      <c r="M11" s="1752"/>
      <c r="N11" s="1752"/>
      <c r="O11" s="1752"/>
      <c r="P11" s="1752"/>
      <c r="Q11" s="1752"/>
      <c r="R11" s="1752"/>
      <c r="S11" s="1752"/>
      <c r="T11" s="1752"/>
      <c r="U11" s="1752"/>
      <c r="V11" s="1752"/>
    </row>
    <row r="12" spans="1:22" ht="14.25">
      <c r="A12" s="3822" t="s">
        <v>278</v>
      </c>
      <c r="B12" s="3823">
        <v>15</v>
      </c>
      <c r="C12" s="3831"/>
      <c r="D12" s="3834"/>
      <c r="E12" s="252" t="s">
        <v>279</v>
      </c>
      <c r="F12" s="253"/>
      <c r="G12" s="253"/>
      <c r="H12" s="253"/>
      <c r="I12" s="254"/>
      <c r="J12" s="1753"/>
      <c r="K12" s="1752"/>
      <c r="L12" s="1752"/>
      <c r="M12" s="1752"/>
      <c r="N12" s="1752"/>
      <c r="O12" s="1752"/>
      <c r="P12" s="1752"/>
      <c r="Q12" s="1752"/>
      <c r="R12" s="1752"/>
      <c r="S12" s="1752"/>
      <c r="T12" s="1752"/>
      <c r="U12" s="1752"/>
      <c r="V12" s="1752"/>
    </row>
    <row r="13" spans="1:22" ht="14.25">
      <c r="A13" s="3822"/>
      <c r="B13" s="3823"/>
      <c r="C13" s="3833"/>
      <c r="D13" s="3834"/>
      <c r="E13" s="252" t="s">
        <v>280</v>
      </c>
      <c r="F13" s="253"/>
      <c r="G13" s="253"/>
      <c r="H13" s="253"/>
      <c r="I13" s="254"/>
      <c r="J13" s="1753"/>
      <c r="K13" s="1752"/>
      <c r="L13" s="1752"/>
      <c r="M13" s="1752"/>
      <c r="N13" s="1752"/>
      <c r="O13" s="1752"/>
      <c r="P13" s="1752"/>
      <c r="Q13" s="1752"/>
      <c r="R13" s="1752"/>
      <c r="S13" s="1752"/>
      <c r="T13" s="1752"/>
      <c r="U13" s="1752"/>
      <c r="V13" s="1752"/>
    </row>
    <row r="14" spans="1:22" ht="14.25">
      <c r="A14" s="3822" t="s">
        <v>281</v>
      </c>
      <c r="B14" s="3823">
        <v>30</v>
      </c>
      <c r="C14" s="3831"/>
      <c r="D14" s="3834"/>
      <c r="E14" s="252" t="s">
        <v>282</v>
      </c>
      <c r="F14" s="253"/>
      <c r="G14" s="253"/>
      <c r="H14" s="253"/>
      <c r="I14" s="254"/>
      <c r="J14" s="1753"/>
      <c r="K14" s="1752"/>
      <c r="L14" s="1752"/>
      <c r="M14" s="1752"/>
      <c r="N14" s="1752"/>
      <c r="O14" s="1752"/>
      <c r="P14" s="1752"/>
      <c r="Q14" s="1752"/>
      <c r="R14" s="1752"/>
      <c r="S14" s="1752"/>
      <c r="T14" s="1752"/>
      <c r="U14" s="1752"/>
      <c r="V14" s="1752"/>
    </row>
    <row r="15" spans="1:22" ht="14.25">
      <c r="A15" s="3822"/>
      <c r="B15" s="3823"/>
      <c r="C15" s="3832"/>
      <c r="D15" s="3834"/>
      <c r="E15" s="252" t="s">
        <v>283</v>
      </c>
      <c r="F15" s="253"/>
      <c r="G15" s="253"/>
      <c r="H15" s="253"/>
      <c r="I15" s="254"/>
      <c r="J15" s="1753"/>
      <c r="K15" s="1752"/>
      <c r="L15" s="1752"/>
      <c r="M15" s="1752"/>
      <c r="N15" s="1752"/>
      <c r="O15" s="1752"/>
      <c r="P15" s="1752"/>
      <c r="Q15" s="1752"/>
      <c r="R15" s="1752"/>
      <c r="S15" s="1752"/>
      <c r="T15" s="1752"/>
      <c r="U15" s="1752"/>
      <c r="V15" s="1752"/>
    </row>
    <row r="16" spans="1:22" ht="14.25">
      <c r="A16" s="3822"/>
      <c r="B16" s="3823"/>
      <c r="C16" s="3833"/>
      <c r="D16" s="3834"/>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t="e">
        <f>ROUND(C17/SUM(C17:D17),2)</f>
        <v>#DIV/0!</v>
      </c>
      <c r="D18" s="258" t="e">
        <f>1-C18</f>
        <v>#DIV/0!</v>
      </c>
      <c r="E18" s="3836" t="s">
        <v>2254</v>
      </c>
      <c r="F18" s="3837"/>
      <c r="G18" s="3837"/>
      <c r="H18" s="3837"/>
      <c r="I18" s="3837"/>
      <c r="J18" s="1752"/>
      <c r="K18" s="1752"/>
      <c r="L18" s="1752"/>
      <c r="M18" s="1752"/>
      <c r="N18" s="1752"/>
      <c r="O18" s="1752"/>
      <c r="P18" s="1752"/>
      <c r="Q18" s="1752"/>
      <c r="R18" s="1752"/>
      <c r="S18" s="1752"/>
      <c r="T18" s="1752"/>
      <c r="U18" s="1752"/>
      <c r="V18" s="1752"/>
    </row>
    <row r="19" spans="1:26" ht="15">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95"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42"/>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38" t="s">
        <v>2256</v>
      </c>
      <c r="B31" s="3838"/>
      <c r="C31" s="3838"/>
      <c r="D31" s="3838"/>
      <c r="E31" s="3838"/>
      <c r="F31" s="3838"/>
      <c r="G31" s="3838"/>
      <c r="H31" s="3838"/>
      <c r="I31" s="3838"/>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t="e">
        <f ca="1">ROUND(C32*10000/'数据-汇总表'!E3,0)</f>
        <v>#REF!</v>
      </c>
      <c r="D33" s="1240" t="s">
        <v>1224</v>
      </c>
      <c r="E33" s="3795"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t="e">
        <f ca="1">ROUND(C32*10000/'数据-汇总表'!D3,0)</f>
        <v>#REF!</v>
      </c>
      <c r="D34" s="1242" t="s">
        <v>1224</v>
      </c>
      <c r="E34" s="3796"/>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t="e">
        <f ca="1">ROUND(C32/('数据-汇总表'!D3/666.67),0)</f>
        <v>#REF!</v>
      </c>
      <c r="D35" s="1245" t="s">
        <v>1226</v>
      </c>
      <c r="E35" s="3797"/>
      <c r="F35" s="292" t="s">
        <v>308</v>
      </c>
      <c r="G35" s="944"/>
      <c r="H35" s="943" t="s">
        <v>309</v>
      </c>
      <c r="I35" s="302"/>
      <c r="J35" s="1752"/>
      <c r="K35" s="3801" t="s">
        <v>316</v>
      </c>
      <c r="L35" s="3801" t="s">
        <v>317</v>
      </c>
      <c r="M35" s="1133" t="s">
        <v>318</v>
      </c>
      <c r="N35" s="3801" t="s">
        <v>319</v>
      </c>
      <c r="O35" s="3801" t="s">
        <v>320</v>
      </c>
      <c r="P35" s="1752"/>
      <c r="V35" s="1752"/>
    </row>
    <row r="36" spans="1:26" ht="16.5" customHeight="1">
      <c r="A36" s="294" t="s">
        <v>310</v>
      </c>
      <c r="B36" s="295" t="s">
        <v>299</v>
      </c>
      <c r="C36" s="296" t="s">
        <v>311</v>
      </c>
      <c r="D36" s="296" t="s">
        <v>312</v>
      </c>
      <c r="E36" s="297" t="s">
        <v>313</v>
      </c>
      <c r="F36" s="302"/>
      <c r="G36" s="302"/>
      <c r="H36" s="302"/>
      <c r="I36" s="302"/>
      <c r="J36" s="1754"/>
      <c r="K36" s="3802"/>
      <c r="L36" s="3802"/>
      <c r="M36" s="1135" t="s">
        <v>321</v>
      </c>
      <c r="N36" s="3802"/>
      <c r="O36" s="3802"/>
      <c r="P36" s="1752"/>
      <c r="V36" s="1752"/>
    </row>
    <row r="37" spans="1:26" ht="16.5" customHeight="1" thickBot="1">
      <c r="A37" s="1129" t="s">
        <v>314</v>
      </c>
      <c r="B37" s="298"/>
      <c r="C37" s="285"/>
      <c r="D37" s="285"/>
      <c r="E37" s="286"/>
      <c r="F37" s="302"/>
      <c r="G37" s="302"/>
      <c r="H37" s="302"/>
      <c r="I37" s="302"/>
      <c r="J37" s="1754"/>
      <c r="K37" s="3803"/>
      <c r="L37" s="3803"/>
      <c r="M37" s="1136"/>
      <c r="N37" s="3803"/>
      <c r="O37" s="3803"/>
      <c r="P37" s="1752"/>
      <c r="V37" s="1752"/>
    </row>
    <row r="38" spans="1:26" ht="16.5" customHeight="1" thickBot="1">
      <c r="A38" s="1129" t="s">
        <v>315</v>
      </c>
      <c r="B38" s="298"/>
      <c r="C38" s="285"/>
      <c r="D38" s="285"/>
      <c r="E38" s="286"/>
      <c r="F38" s="302"/>
      <c r="G38" s="302"/>
      <c r="H38" s="302"/>
      <c r="I38" s="302"/>
      <c r="J38" s="1754"/>
      <c r="K38" s="1137">
        <f>'数据-汇总表'!D3</f>
        <v>0</v>
      </c>
      <c r="L38" s="1138">
        <f>'数据-汇总表'!E3</f>
        <v>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14" t="str">
        <f>MID(A44,3,LEN(A44)-2)</f>
        <v/>
      </c>
      <c r="L39" s="3815"/>
      <c r="M39" s="3815"/>
      <c r="N39" s="3816"/>
      <c r="O39" s="1247" t="str">
        <f>C44</f>
        <v>——</v>
      </c>
      <c r="P39" s="1752"/>
      <c r="V39" s="1752"/>
    </row>
    <row r="40" spans="1:26" ht="19.5" thickBot="1">
      <c r="A40" s="100" t="s">
        <v>810</v>
      </c>
      <c r="B40" s="302"/>
      <c r="C40" s="302"/>
      <c r="D40" s="302"/>
      <c r="E40" s="302"/>
      <c r="F40" s="302"/>
      <c r="G40" s="302"/>
      <c r="H40" s="302"/>
      <c r="I40" s="302"/>
      <c r="J40" s="1754"/>
      <c r="K40" s="3814" t="str">
        <f>MID(A45,3,LEN(A45)-2)</f>
        <v/>
      </c>
      <c r="L40" s="3815"/>
      <c r="M40" s="3815"/>
      <c r="N40" s="3816"/>
      <c r="O40" s="1247" t="str">
        <f>C45</f>
        <v>——</v>
      </c>
      <c r="P40" s="1752"/>
      <c r="V40" s="1752"/>
    </row>
    <row r="41" spans="1:26" ht="16.5" thickBot="1">
      <c r="A41" s="303" t="s">
        <v>322</v>
      </c>
      <c r="B41" s="304"/>
      <c r="C41" s="305" t="s">
        <v>323</v>
      </c>
      <c r="D41" s="306" t="s">
        <v>324</v>
      </c>
      <c r="E41" s="306" t="s">
        <v>325</v>
      </c>
      <c r="F41" s="307" t="s">
        <v>326</v>
      </c>
      <c r="G41" s="302"/>
      <c r="H41" s="302"/>
      <c r="I41" s="302"/>
      <c r="J41" s="1754"/>
      <c r="K41" s="3814" t="str">
        <f>MID(A46,3,LEN(A46)-2)</f>
        <v/>
      </c>
      <c r="L41" s="3815"/>
      <c r="M41" s="3815"/>
      <c r="N41" s="3816"/>
      <c r="O41" s="1247" t="str">
        <f>C46</f>
        <v>——</v>
      </c>
      <c r="P41" s="1752"/>
      <c r="V41" s="1752"/>
    </row>
    <row r="42" spans="1:26" ht="29.25">
      <c r="A42" s="3843" t="s">
        <v>1585</v>
      </c>
      <c r="B42" s="3844"/>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8">
      <c r="A43" s="3853" t="s">
        <v>2012</v>
      </c>
      <c r="B43" s="3854"/>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75" thickBot="1">
      <c r="A44" s="3843" t="str">
        <f>IF(OR(项目基本情况!E8="抵押价格",项目基本情况!E8="已注销及未注销"),"3.抵押价格","——")</f>
        <v>——</v>
      </c>
      <c r="B44" s="3844"/>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5">
      <c r="A45" s="3848" t="str">
        <f>IF(项目基本情况!E8="已注销及未注销","4.抵押担保权已注销时的抵押价格",IF(项目基本情况!E8="已注销","3.抵押担保权已注销时的抵押价格","——"))</f>
        <v>——</v>
      </c>
      <c r="B45" s="3849"/>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45" t="str">
        <f>IF(项目基本情况!E9="抵押净值",IF(A45="——","4.抵押净值","5.抵押净值"),"——")</f>
        <v>——</v>
      </c>
      <c r="B46" s="3846"/>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06" t="s">
        <v>340</v>
      </c>
      <c r="B63" s="3807"/>
      <c r="C63" s="3808"/>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50" t="s">
        <v>344</v>
      </c>
      <c r="B64" s="3851"/>
      <c r="C64" s="3851"/>
      <c r="D64" s="3851"/>
      <c r="E64" s="3851"/>
      <c r="F64" s="3851"/>
      <c r="G64" s="3852"/>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47" t="s">
        <v>352</v>
      </c>
      <c r="B66" s="3813"/>
      <c r="C66" s="3813"/>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774" t="s">
        <v>351</v>
      </c>
      <c r="M66" s="3775"/>
      <c r="N66" s="2110"/>
      <c r="O66" s="2111"/>
      <c r="P66" s="2112"/>
      <c r="Q66" s="1752"/>
      <c r="R66" s="1752"/>
      <c r="S66" s="1752"/>
      <c r="T66" s="1752"/>
      <c r="U66" s="1752"/>
      <c r="V66" s="1752"/>
    </row>
    <row r="67" spans="1:22" ht="25.5" customHeight="1">
      <c r="A67" s="343" t="s">
        <v>355</v>
      </c>
      <c r="B67" s="3825" t="s">
        <v>356</v>
      </c>
      <c r="C67" s="3825"/>
      <c r="D67" s="344">
        <v>0</v>
      </c>
      <c r="E67" s="39" t="s">
        <v>357</v>
      </c>
      <c r="F67" s="60" t="s">
        <v>15</v>
      </c>
      <c r="G67" s="3809"/>
      <c r="H67" s="2749" t="s">
        <v>2257</v>
      </c>
      <c r="I67" s="2751"/>
      <c r="J67" s="1759"/>
      <c r="K67" s="1731">
        <v>2</v>
      </c>
      <c r="L67" s="3779" t="s">
        <v>354</v>
      </c>
      <c r="M67" s="3779"/>
      <c r="N67" s="1194">
        <f>'数据-取费表'!B2</f>
        <v>45499</v>
      </c>
      <c r="O67" s="1194"/>
      <c r="P67" s="1194"/>
      <c r="Q67" s="1752"/>
      <c r="R67" s="1752"/>
      <c r="S67" s="1752"/>
      <c r="T67" s="1752"/>
      <c r="U67" s="1752"/>
      <c r="V67" s="1752"/>
    </row>
    <row r="68" spans="1:22" ht="25.5" customHeight="1">
      <c r="A68" s="345"/>
      <c r="B68" s="3825" t="s">
        <v>359</v>
      </c>
      <c r="C68" s="3825"/>
      <c r="D68" s="346"/>
      <c r="E68" s="75"/>
      <c r="F68" s="347"/>
      <c r="G68" s="3810"/>
      <c r="H68" s="2750" t="s">
        <v>2258</v>
      </c>
      <c r="I68" s="2751"/>
      <c r="J68" s="1759"/>
      <c r="K68" s="1731">
        <v>3</v>
      </c>
      <c r="L68" s="3779" t="s">
        <v>358</v>
      </c>
      <c r="M68" s="3779"/>
      <c r="N68" s="1162" t="e">
        <f ca="1">C42</f>
        <v>#REF!</v>
      </c>
      <c r="O68" s="1162"/>
      <c r="P68" s="1162"/>
      <c r="Q68" s="1752"/>
      <c r="R68" s="1752"/>
      <c r="S68" s="1752"/>
      <c r="T68" s="1752"/>
      <c r="U68" s="1752"/>
      <c r="V68" s="1752"/>
    </row>
    <row r="69" spans="1:22" ht="23.45" customHeight="1">
      <c r="A69" s="348"/>
      <c r="B69" s="3825" t="s">
        <v>360</v>
      </c>
      <c r="C69" s="3825"/>
      <c r="D69" s="349"/>
      <c r="E69" s="71"/>
      <c r="F69" s="347"/>
      <c r="G69" s="3811"/>
      <c r="H69" s="2750" t="s">
        <v>2259</v>
      </c>
      <c r="I69" s="2751"/>
      <c r="J69" s="1759"/>
      <c r="K69" s="1163">
        <v>4</v>
      </c>
      <c r="L69" s="3780" t="s">
        <v>2157</v>
      </c>
      <c r="M69" s="3781"/>
      <c r="N69" s="1164" t="str">
        <f>C44</f>
        <v>——</v>
      </c>
      <c r="O69" s="1164"/>
      <c r="P69" s="1164"/>
      <c r="Q69" s="1752"/>
      <c r="R69" s="1752"/>
      <c r="S69" s="1752"/>
      <c r="T69" s="1752"/>
      <c r="U69" s="1752"/>
      <c r="V69" s="1752"/>
    </row>
    <row r="70" spans="1:22" ht="24" customHeight="1">
      <c r="A70" s="350" t="s">
        <v>361</v>
      </c>
      <c r="B70" s="3825" t="s">
        <v>362</v>
      </c>
      <c r="C70" s="3825"/>
      <c r="D70" s="349" t="e">
        <f ca="1">ROUND(D63*'数据-取费表'!B41/(1+'数据-取费表'!C42),0)</f>
        <v>#REF!</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24" t="s">
        <v>2286</v>
      </c>
      <c r="C71" s="3841"/>
      <c r="D71" s="349" t="e">
        <f ca="1">ROUND(D63*'数据-取费表'!B41/(1+'数据-取费表'!C42),0)</f>
        <v>#REF!</v>
      </c>
      <c r="E71" s="15" t="s">
        <v>363</v>
      </c>
      <c r="F71" s="351">
        <f>'数据-取费表'!B41</f>
        <v>0</v>
      </c>
      <c r="G71" s="352"/>
      <c r="H71" s="302"/>
      <c r="I71" s="1161"/>
      <c r="J71" s="1759"/>
      <c r="K71" s="2521" t="s">
        <v>364</v>
      </c>
      <c r="L71" s="3782" t="s">
        <v>365</v>
      </c>
      <c r="M71" s="3782"/>
      <c r="N71" s="2521" t="s">
        <v>366</v>
      </c>
      <c r="O71" s="2521" t="s">
        <v>367</v>
      </c>
      <c r="P71" s="2521" t="s">
        <v>368</v>
      </c>
      <c r="Q71" s="1752"/>
      <c r="R71" s="1752"/>
      <c r="S71" s="1752"/>
      <c r="T71" s="1752"/>
      <c r="U71" s="1752"/>
      <c r="V71" s="1752"/>
    </row>
    <row r="72" spans="1:22" ht="12" customHeight="1">
      <c r="A72" s="350" t="s">
        <v>371</v>
      </c>
      <c r="B72" s="3824" t="s">
        <v>2287</v>
      </c>
      <c r="C72" s="3841"/>
      <c r="D72" s="349" t="e">
        <f ca="1">C86</f>
        <v>#REF!</v>
      </c>
      <c r="E72" s="71" t="s">
        <v>372</v>
      </c>
      <c r="F72" s="351">
        <f>'数据-取费表'!B41</f>
        <v>0</v>
      </c>
      <c r="G72" s="352"/>
      <c r="H72" s="1167"/>
      <c r="I72" s="1161"/>
      <c r="J72" s="1759"/>
      <c r="K72" s="1731">
        <v>1</v>
      </c>
      <c r="L72" s="3778" t="s">
        <v>370</v>
      </c>
      <c r="M72" s="3778"/>
      <c r="N72" s="1165" t="b">
        <f>D66</f>
        <v>0</v>
      </c>
      <c r="O72" s="1636" t="str">
        <f>E66</f>
        <v>销售额×税（费）率</v>
      </c>
      <c r="P72" s="1166">
        <f>F66</f>
        <v>0</v>
      </c>
      <c r="Q72" s="1752"/>
      <c r="R72" s="1752"/>
      <c r="S72" s="1752"/>
      <c r="T72" s="1752"/>
      <c r="U72" s="1752"/>
      <c r="V72" s="1752"/>
    </row>
    <row r="73" spans="1:22" ht="24" customHeight="1">
      <c r="A73" s="3812" t="s">
        <v>374</v>
      </c>
      <c r="B73" s="3813"/>
      <c r="C73" s="3813"/>
      <c r="D73" s="353" t="e">
        <f ca="1">IF(H73="个人住宅",0,ROUND(D63*I73,0))</f>
        <v>#REF!</v>
      </c>
      <c r="E73" s="15" t="s">
        <v>375</v>
      </c>
      <c r="F73" s="351" t="str">
        <f>IF(H73="正常",I73,"免征")</f>
        <v>免征</v>
      </c>
      <c r="G73" s="352"/>
      <c r="H73" s="184"/>
      <c r="I73" s="351">
        <f>'数据-取费表'!B49</f>
        <v>0</v>
      </c>
      <c r="J73" s="1759"/>
      <c r="K73" s="1731">
        <v>2</v>
      </c>
      <c r="L73" s="3778" t="s">
        <v>373</v>
      </c>
      <c r="M73" s="3778"/>
      <c r="N73" s="1165" t="e">
        <f t="shared" ref="N73:P74" ca="1" si="0">D73</f>
        <v>#REF!</v>
      </c>
      <c r="O73" s="1636" t="str">
        <f t="shared" si="0"/>
        <v>销售额×税（费）率</v>
      </c>
      <c r="P73" s="1166" t="str">
        <f t="shared" si="0"/>
        <v>免征</v>
      </c>
      <c r="Q73" s="1752"/>
      <c r="R73" s="1752"/>
      <c r="S73" s="1752"/>
      <c r="T73" s="1752"/>
      <c r="U73" s="1752"/>
      <c r="V73" s="1752"/>
    </row>
    <row r="74" spans="1:22" ht="24.75">
      <c r="A74" s="3812" t="s">
        <v>377</v>
      </c>
      <c r="B74" s="3813"/>
      <c r="C74" s="3813"/>
      <c r="D74" s="353" t="e">
        <f ca="1">IF(H74="个人住宅",D75,D76)</f>
        <v>#REF!</v>
      </c>
      <c r="E74" s="15" t="s">
        <v>378</v>
      </c>
      <c r="F74" s="351" t="str">
        <f>IF(H74="正常",F76,"免征")</f>
        <v>免征</v>
      </c>
      <c r="G74" s="945" t="s">
        <v>379</v>
      </c>
      <c r="H74" s="354"/>
      <c r="I74" s="40"/>
      <c r="J74" s="1759"/>
      <c r="K74" s="1731">
        <v>3</v>
      </c>
      <c r="L74" s="3778" t="s">
        <v>376</v>
      </c>
      <c r="M74" s="3778"/>
      <c r="N74" s="1165" t="e">
        <f t="shared" ca="1" si="0"/>
        <v>#REF!</v>
      </c>
      <c r="O74" s="1636" t="str">
        <f t="shared" si="0"/>
        <v>增值额×税（费）率</v>
      </c>
      <c r="P74" s="1168" t="str">
        <f t="shared" si="0"/>
        <v>免征</v>
      </c>
      <c r="Q74" s="1752"/>
      <c r="R74" s="1752"/>
      <c r="S74" s="1752"/>
      <c r="T74" s="1752"/>
      <c r="U74" s="1752"/>
      <c r="V74" s="1752"/>
    </row>
    <row r="75" spans="1:22" ht="12.75">
      <c r="A75" s="350" t="s">
        <v>380</v>
      </c>
      <c r="B75" s="3793" t="s">
        <v>381</v>
      </c>
      <c r="C75" s="3794"/>
      <c r="D75" s="355">
        <v>0</v>
      </c>
      <c r="E75" s="39" t="s">
        <v>382</v>
      </c>
      <c r="F75" s="356"/>
      <c r="G75" s="352"/>
      <c r="H75" s="40"/>
      <c r="I75" s="40"/>
      <c r="J75" s="1759"/>
      <c r="K75" s="2515">
        <f>IF(H77="非个人房产","",4)</f>
        <v>4</v>
      </c>
      <c r="L75" s="3778" t="str">
        <f>IF(H77="非个人房产","——","个人所得税")</f>
        <v>个人所得税</v>
      </c>
      <c r="M75" s="3778"/>
      <c r="N75" s="1169">
        <f>D77</f>
        <v>0</v>
      </c>
      <c r="O75" s="1637" t="str">
        <f>E77</f>
        <v>差额计税</v>
      </c>
      <c r="P75" s="1170">
        <f>F77</f>
        <v>0.01</v>
      </c>
      <c r="Q75" s="1752"/>
      <c r="R75" s="1752"/>
      <c r="S75" s="1752"/>
      <c r="T75" s="1752"/>
      <c r="U75" s="1752"/>
      <c r="V75" s="1752"/>
    </row>
    <row r="76" spans="1:22" ht="24.75">
      <c r="A76" s="350" t="s">
        <v>361</v>
      </c>
      <c r="B76" s="3793" t="s">
        <v>384</v>
      </c>
      <c r="C76" s="3835"/>
      <c r="D76" s="353" t="e">
        <f ca="1">IF(H76="转让取得",C99,C115)</f>
        <v>#REF!</v>
      </c>
      <c r="E76" s="15" t="s">
        <v>385</v>
      </c>
      <c r="F76" s="51" t="s">
        <v>15</v>
      </c>
      <c r="G76" s="352"/>
      <c r="H76" s="354"/>
      <c r="I76" s="40"/>
      <c r="J76" s="1759"/>
      <c r="K76" s="2515" t="str">
        <f>IF(项目基本情况!K6="上海银行",IF(K75="",4,K75+1),"")</f>
        <v/>
      </c>
      <c r="L76" s="3789" t="str">
        <f>IF(项目基本情况!K6="上海银行","其他处置费用","")</f>
        <v/>
      </c>
      <c r="M76" s="3790"/>
      <c r="N76" s="1165" t="str">
        <f>IF(项目基本情况!K6="上海银行",N89,"")</f>
        <v/>
      </c>
      <c r="O76" s="3791" t="str">
        <f>IF(项目基本情况!K6="上海银行","包含处置中涉及的律师、诉讼、拍卖、评估等费用","")</f>
        <v/>
      </c>
      <c r="P76" s="3792"/>
      <c r="Q76" s="1752"/>
      <c r="R76" s="1752"/>
      <c r="S76" s="1752"/>
      <c r="T76" s="1752"/>
      <c r="U76" s="1752"/>
      <c r="V76" s="1752"/>
    </row>
    <row r="77" spans="1:22" ht="24.75" thickBot="1">
      <c r="A77" s="3804" t="s">
        <v>387</v>
      </c>
      <c r="B77" s="3805"/>
      <c r="C77" s="3805"/>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00">
        <f>IF(AND(K75="",K76=""),4,IF(项目基本情况!K6="上海银行",K76+1,K75+1))</f>
        <v>5</v>
      </c>
      <c r="L77" s="3778"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00"/>
      <c r="L78" s="3778"/>
      <c r="M78" s="2520" t="s">
        <v>386</v>
      </c>
      <c r="N78" s="1171"/>
      <c r="O78" s="1172" t="str">
        <f ca="1">NUMBERSTRING(INT(O77*10000),2)&amp;"元整"</f>
        <v>零元整</v>
      </c>
      <c r="P78" s="1173"/>
      <c r="Q78" s="1752"/>
      <c r="R78" s="1752"/>
      <c r="S78" s="1752"/>
      <c r="T78" s="1752"/>
      <c r="U78" s="1752"/>
      <c r="V78" s="1752"/>
    </row>
    <row r="79" spans="1:22" ht="13.5" thickBot="1">
      <c r="A79" s="3855" t="s">
        <v>388</v>
      </c>
      <c r="B79" s="3855"/>
      <c r="C79" s="3855"/>
      <c r="D79" s="3855"/>
      <c r="E79" s="3855"/>
      <c r="F79" s="40"/>
      <c r="G79" s="40"/>
      <c r="H79" s="965"/>
      <c r="I79" s="302"/>
      <c r="J79" s="1759"/>
      <c r="K79" s="3776">
        <f>K77+1</f>
        <v>6</v>
      </c>
      <c r="L79" s="3778" t="s">
        <v>2159</v>
      </c>
      <c r="M79" s="2520" t="s">
        <v>383</v>
      </c>
      <c r="N79" s="1171"/>
      <c r="O79" s="1172" t="e">
        <f ca="1">N69-O77</f>
        <v>#VALUE!</v>
      </c>
      <c r="P79" s="1173"/>
      <c r="Q79" s="1752"/>
      <c r="R79" s="1752"/>
      <c r="S79" s="1752"/>
      <c r="T79" s="1752"/>
      <c r="U79" s="1752"/>
      <c r="V79" s="1752"/>
    </row>
    <row r="80" spans="1:22" ht="12.75">
      <c r="A80" s="3786" t="s">
        <v>389</v>
      </c>
      <c r="B80" s="3787"/>
      <c r="C80" s="956"/>
      <c r="D80" s="956" t="s">
        <v>390</v>
      </c>
      <c r="E80" s="357" t="s">
        <v>391</v>
      </c>
      <c r="F80" s="40"/>
      <c r="G80" s="40"/>
      <c r="H80" s="965"/>
      <c r="I80" s="302"/>
      <c r="J80" s="1752"/>
      <c r="K80" s="3777"/>
      <c r="L80" s="3778"/>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t="e">
        <f ca="1">ROUND((C82+C83)/(1+'数据-取费表'!C42),0)</f>
        <v>#REF!</v>
      </c>
      <c r="D81" s="360"/>
      <c r="E81" s="361"/>
      <c r="F81" s="40"/>
      <c r="G81" s="40"/>
      <c r="H81" s="965"/>
      <c r="I81" s="302"/>
      <c r="J81" s="1752"/>
      <c r="K81" s="2515">
        <f>K79+1</f>
        <v>7</v>
      </c>
      <c r="L81" s="3798" t="s">
        <v>2160</v>
      </c>
      <c r="M81" s="3799"/>
      <c r="N81" s="1175"/>
      <c r="O81" s="1176" t="e">
        <f ca="1">ROUND(O79*10000/'数据-汇总表'!E3,0)</f>
        <v>#VALUE!</v>
      </c>
      <c r="P81" s="1177"/>
      <c r="Q81" s="1752"/>
      <c r="R81" s="1752"/>
      <c r="S81" s="1752"/>
      <c r="T81" s="1752"/>
      <c r="U81" s="1752"/>
      <c r="V81" s="1752"/>
    </row>
    <row r="82" spans="1:26" ht="13.5"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88"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788"/>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t="e">
        <f ca="1">C81-C84</f>
        <v>#REF!</v>
      </c>
      <c r="D85" s="365" t="s">
        <v>13</v>
      </c>
      <c r="E85" s="366"/>
      <c r="F85" s="40"/>
      <c r="G85" s="40"/>
      <c r="H85" s="965"/>
      <c r="I85" s="302"/>
      <c r="J85" s="1752"/>
      <c r="K85" s="3788"/>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t="e">
        <f ca="1">IF(C85&lt;=0,0,ROUND(C85*D86,0))</f>
        <v>#REF!</v>
      </c>
      <c r="D86" s="376">
        <f>'数据-取费表'!B41</f>
        <v>0</v>
      </c>
      <c r="E86" s="377"/>
      <c r="F86" s="40"/>
      <c r="G86" s="40"/>
      <c r="H86" s="965"/>
      <c r="I86" s="302"/>
      <c r="J86" s="1752"/>
      <c r="K86" s="3788"/>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88"/>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27" t="s">
        <v>398</v>
      </c>
      <c r="B88" s="3828"/>
      <c r="C88" s="3828"/>
      <c r="D88" s="3828"/>
      <c r="E88" s="3828"/>
      <c r="F88" s="3828"/>
      <c r="G88" s="3828"/>
      <c r="H88" s="3828"/>
      <c r="I88" s="1184"/>
      <c r="J88" s="1760"/>
      <c r="K88" s="3788"/>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86" t="s">
        <v>389</v>
      </c>
      <c r="B89" s="3787"/>
      <c r="C89" s="956"/>
      <c r="D89" s="956" t="s">
        <v>390</v>
      </c>
      <c r="E89" s="378" t="s">
        <v>399</v>
      </c>
      <c r="F89" s="379"/>
      <c r="G89" s="379"/>
      <c r="H89" s="380"/>
      <c r="I89" s="1185"/>
      <c r="J89" s="1762"/>
      <c r="K89" s="3788"/>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24" t="s">
        <v>407</v>
      </c>
      <c r="F94" s="3825"/>
      <c r="G94" s="3825"/>
      <c r="H94" s="3826"/>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783" t="s">
        <v>1780</v>
      </c>
      <c r="F96" s="3784"/>
      <c r="G96" s="3784"/>
      <c r="H96" s="3785"/>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27" t="s">
        <v>414</v>
      </c>
      <c r="B101" s="3828"/>
      <c r="C101" s="3828"/>
      <c r="D101" s="3828"/>
      <c r="E101" s="3828"/>
      <c r="F101" s="3828"/>
      <c r="G101" s="3828"/>
      <c r="H101" s="3828"/>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86" t="s">
        <v>389</v>
      </c>
      <c r="B102" s="3787"/>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39" t="s">
        <v>2252</v>
      </c>
      <c r="H108" s="3840"/>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17" t="s">
        <v>422</v>
      </c>
      <c r="F109" s="3784"/>
      <c r="G109" s="3784"/>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17" t="s">
        <v>424</v>
      </c>
      <c r="F110" s="3784"/>
      <c r="G110" s="3784"/>
      <c r="H110" s="3785"/>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783" t="s">
        <v>1780</v>
      </c>
      <c r="F111" s="3784"/>
      <c r="G111" s="3784"/>
      <c r="H111" s="3785"/>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17" t="s">
        <v>1799</v>
      </c>
      <c r="F112" s="3784"/>
      <c r="G112" s="3784"/>
      <c r="H112" s="3785"/>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108">
    <cfRule type="expression" dxfId="181" priority="3" stopIfTrue="1">
      <formula>$H$106&lt;&gt;"仅含出让金"</formula>
    </cfRule>
  </conditionalFormatting>
  <conditionalFormatting sqref="C109">
    <cfRule type="expression" dxfId="180" priority="2" stopIfTrue="1">
      <formula>$H$109="由企业提供"</formula>
    </cfRule>
  </conditionalFormatting>
  <conditionalFormatting sqref="I33">
    <cfRule type="expression" dxfId="17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S48" sqref="S48"/>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#VALUE!</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#VALUE!</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#VALUE!</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#VALUE!</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t="e">
        <f ca="1">C28</f>
        <v>#VALUE!</v>
      </c>
      <c r="D26" s="453" t="e">
        <f ca="1">C27</f>
        <v>#VALUE!</v>
      </c>
      <c r="E26" s="455" t="s">
        <v>455</v>
      </c>
      <c r="F26" s="457" t="e">
        <f ca="1">'数据-取费表'!B40</f>
        <v>#VALUE!</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t="e">
        <f ca="1">ROUND(IF('数据-取费表'!B22&lt;=1,(1+C25)*F26*'数据-取费表'!B24,(1+C25)*(POWER((1+F26),'数据-取费表'!B24)-1)),4)</f>
        <v>#VALUE!</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t="e">
        <f ca="1">ROUND(IF('数据-取费表'!B22&lt;=1,(C18+C19+C20+C23+C24)*F26*'数据-取费表'!B24/2,(C18+C19+C20+C23+C24)*(POWER((1+F26),'数据-取费表'!B24/2)-1)),0)</f>
        <v>#VALUE!</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t="e">
        <f ca="1">C31</f>
        <v>#VALUE!</v>
      </c>
      <c r="D30" s="463" t="e">
        <f ca="1">C32</f>
        <v>#VALUE!</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t="e">
        <f ca="1">C18+C19+C20+C23+C24+C26+C29</f>
        <v>#VALUE!</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t="e">
        <f ca="1">ROUND(C25+D26,4)</f>
        <v>#VALUE!</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#VALUE!</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S48" sqref="S48"/>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#VALUE!</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#VALUE!</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#VALUE!</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#VALUE!</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0</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t="e">
        <f ca="1">ROUND(IF('数据-取费表'!B22&lt;=1,(C18+C19)*F20*'数据-取费表'!B20/2,(C18+C19)*(POWER((1+F20),'数据-取费表'!B20/2)-1)),0)</f>
        <v>#VALUE!</v>
      </c>
      <c r="D20" s="448" t="e">
        <f ca="1">ROUND(((1+F20)^'数据-取费表'!B20)-1,4)</f>
        <v>#VALUE!</v>
      </c>
      <c r="E20" s="448"/>
      <c r="F20" s="457" t="e">
        <f ca="1">'数据-取费表'!B40</f>
        <v>#VALUE!</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2299</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2300</v>
      </c>
      <c r="C23" s="3034" t="e">
        <f ca="1">ROUND((C18+C19+C20+C21)*F22,0)</f>
        <v>#VALUE!</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56" t="s">
        <v>1394</v>
      </c>
      <c r="B24" s="3857"/>
      <c r="C24" s="3039">
        <f>ROUND(C6*F24/(1+'数据-取费表'!B42),0)</f>
        <v>0</v>
      </c>
      <c r="D24" s="3040"/>
      <c r="E24" s="3041"/>
      <c r="F24" s="3042">
        <f>'数据-取费表'!B41</f>
        <v>0</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56" t="s">
        <v>2297</v>
      </c>
      <c r="B25" s="3857"/>
      <c r="C25" s="3039">
        <f>ROUND(C6*F25,0)</f>
        <v>0</v>
      </c>
      <c r="D25" s="3040"/>
      <c r="E25" s="3041"/>
      <c r="F25" s="3045">
        <f>'数据-取费表'!B38</f>
        <v>0</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56" t="s">
        <v>2298</v>
      </c>
      <c r="B26" s="3857"/>
      <c r="C26" s="3051"/>
      <c r="D26" s="3052"/>
      <c r="E26" s="3052"/>
      <c r="F26" s="3053">
        <f>'数据-取费表'!B48+'数据-取费表'!B49</f>
        <v>0</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58" t="s">
        <v>2296</v>
      </c>
      <c r="B27" s="3859"/>
      <c r="C27" s="3047" t="e">
        <f ca="1">(C6-C23-C24-C25)/((1+F26)*(1+D20+F21))</f>
        <v>#VALUE!</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5" t="str">
        <f>项目基本情况!B1</f>
        <v>北京市出让国有建设用地使用权预评估</v>
      </c>
      <c r="C37" s="3685"/>
      <c r="D37" s="3685"/>
      <c r="E37" s="3685"/>
      <c r="F37" s="3685"/>
      <c r="G37" s="3685"/>
      <c r="H37" s="3685"/>
      <c r="I37" s="3685"/>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S48" sqref="S48"/>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83" t="s">
        <v>471</v>
      </c>
      <c r="D6" s="3884"/>
      <c r="E6" s="3883" t="s">
        <v>472</v>
      </c>
      <c r="F6" s="3884"/>
      <c r="G6" s="3883" t="s">
        <v>473</v>
      </c>
      <c r="H6" s="3884"/>
      <c r="I6" s="3883" t="s">
        <v>474</v>
      </c>
      <c r="J6" s="3884"/>
      <c r="K6" s="484" t="s">
        <v>475</v>
      </c>
      <c r="L6" s="1856"/>
      <c r="M6" s="1855"/>
      <c r="N6" s="1855"/>
      <c r="O6" s="1857"/>
      <c r="P6" s="3885" t="s">
        <v>476</v>
      </c>
      <c r="Q6" s="3886"/>
      <c r="R6" s="3869" t="s">
        <v>472</v>
      </c>
      <c r="S6" s="3870"/>
      <c r="T6" s="3869" t="s">
        <v>473</v>
      </c>
      <c r="U6" s="3870"/>
      <c r="V6" s="3891" t="s">
        <v>474</v>
      </c>
      <c r="W6" s="3891"/>
      <c r="X6" s="1380"/>
      <c r="Y6" s="3869" t="s">
        <v>476</v>
      </c>
      <c r="Z6" s="3870"/>
      <c r="AA6" s="3864" t="s">
        <v>472</v>
      </c>
      <c r="AB6" s="3865" t="s">
        <v>473</v>
      </c>
      <c r="AC6" s="3864" t="s">
        <v>474</v>
      </c>
    </row>
    <row r="7" spans="1:30" ht="20.25">
      <c r="A7" s="485"/>
      <c r="B7" s="486"/>
      <c r="C7" s="3894" t="s">
        <v>2192</v>
      </c>
      <c r="D7" s="3895"/>
      <c r="E7" s="3894" t="s">
        <v>2193</v>
      </c>
      <c r="F7" s="3895"/>
      <c r="G7" s="3894" t="s">
        <v>2194</v>
      </c>
      <c r="H7" s="3895"/>
      <c r="I7" s="3894" t="s">
        <v>2195</v>
      </c>
      <c r="J7" s="3895"/>
      <c r="K7" s="484"/>
      <c r="L7" s="1856"/>
      <c r="M7" s="1855"/>
      <c r="N7" s="1855"/>
      <c r="O7" s="1857"/>
      <c r="P7" s="3887"/>
      <c r="Q7" s="3888"/>
      <c r="R7" s="3871"/>
      <c r="S7" s="3872"/>
      <c r="T7" s="3871"/>
      <c r="U7" s="3872"/>
      <c r="V7" s="3891"/>
      <c r="W7" s="3891"/>
      <c r="X7" s="1380"/>
      <c r="Y7" s="3871"/>
      <c r="Z7" s="3872"/>
      <c r="AA7" s="3865"/>
      <c r="AB7" s="3865"/>
      <c r="AC7" s="3865"/>
    </row>
    <row r="8" spans="1:30" ht="21" thickBot="1">
      <c r="A8" s="485"/>
      <c r="B8" s="486"/>
      <c r="C8" s="3896" t="s">
        <v>2196</v>
      </c>
      <c r="D8" s="3897"/>
      <c r="E8" s="3896" t="s">
        <v>2196</v>
      </c>
      <c r="F8" s="3897"/>
      <c r="G8" s="3892" t="s">
        <v>2196</v>
      </c>
      <c r="H8" s="3893"/>
      <c r="I8" s="3892" t="s">
        <v>2196</v>
      </c>
      <c r="J8" s="3893"/>
      <c r="K8" s="484" t="s">
        <v>477</v>
      </c>
      <c r="L8" s="1856"/>
      <c r="M8" s="1855"/>
      <c r="N8" s="1855"/>
      <c r="O8" s="1857"/>
      <c r="P8" s="3889"/>
      <c r="Q8" s="3890"/>
      <c r="R8" s="3871"/>
      <c r="S8" s="3872"/>
      <c r="T8" s="3873"/>
      <c r="U8" s="3874"/>
      <c r="V8" s="3891"/>
      <c r="W8" s="3891"/>
      <c r="X8" s="1380"/>
      <c r="Y8" s="3873"/>
      <c r="Z8" s="3874"/>
      <c r="AA8" s="3866"/>
      <c r="AB8" s="3866"/>
      <c r="AC8" s="3866"/>
    </row>
    <row r="9" spans="1:30" s="1118" customFormat="1" ht="21" thickBot="1">
      <c r="A9" s="2392"/>
      <c r="B9" s="2399" t="s">
        <v>478</v>
      </c>
      <c r="C9" s="2391">
        <f>'数据-取费表'!B2</f>
        <v>45499</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67" t="s">
        <v>479</v>
      </c>
      <c r="Q9" s="3876"/>
      <c r="R9" s="1381" t="s">
        <v>5</v>
      </c>
      <c r="S9" s="1382">
        <f t="shared" ref="S9:S17" si="0">F9</f>
        <v>0</v>
      </c>
      <c r="T9" s="1381" t="s">
        <v>5</v>
      </c>
      <c r="U9" s="1382">
        <f t="shared" ref="U9:U17" si="1">H9</f>
        <v>0</v>
      </c>
      <c r="V9" s="1381" t="s">
        <v>5</v>
      </c>
      <c r="W9" s="1382">
        <f t="shared" ref="W9:W17" si="2">J9</f>
        <v>0</v>
      </c>
      <c r="X9" s="1383"/>
      <c r="Y9" s="3867" t="s">
        <v>479</v>
      </c>
      <c r="Z9" s="3868"/>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67" t="s">
        <v>482</v>
      </c>
      <c r="Q10" s="3868"/>
      <c r="R10" s="1381" t="s">
        <v>5</v>
      </c>
      <c r="S10" s="1382">
        <f t="shared" si="0"/>
        <v>0</v>
      </c>
      <c r="T10" s="1381" t="s">
        <v>5</v>
      </c>
      <c r="U10" s="1382">
        <f t="shared" si="1"/>
        <v>0</v>
      </c>
      <c r="V10" s="1381" t="s">
        <v>5</v>
      </c>
      <c r="W10" s="1382">
        <f t="shared" si="2"/>
        <v>0</v>
      </c>
      <c r="X10" s="1383"/>
      <c r="Y10" s="3867" t="s">
        <v>482</v>
      </c>
      <c r="Z10" s="3868"/>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75" t="s">
        <v>484</v>
      </c>
      <c r="Q11" s="1050" t="str">
        <f t="shared" ref="Q11:Q17" si="6">B11</f>
        <v>用途</v>
      </c>
      <c r="R11" s="1381" t="s">
        <v>5</v>
      </c>
      <c r="S11" s="1382">
        <f t="shared" si="0"/>
        <v>100</v>
      </c>
      <c r="T11" s="1381" t="s">
        <v>5</v>
      </c>
      <c r="U11" s="1382">
        <f t="shared" si="1"/>
        <v>100</v>
      </c>
      <c r="V11" s="1381" t="s">
        <v>5</v>
      </c>
      <c r="W11" s="1382">
        <f t="shared" si="2"/>
        <v>100</v>
      </c>
      <c r="X11" s="1383"/>
      <c r="Y11" s="3823"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75"/>
      <c r="Q12" s="1050" t="str">
        <f t="shared" si="6"/>
        <v>土地使用年限（年）</v>
      </c>
      <c r="R12" s="1381" t="s">
        <v>5</v>
      </c>
      <c r="S12" s="1382" t="e">
        <f t="shared" si="0"/>
        <v>#DIV/0!</v>
      </c>
      <c r="T12" s="1381" t="s">
        <v>5</v>
      </c>
      <c r="U12" s="1382" t="e">
        <f t="shared" si="1"/>
        <v>#DIV/0!</v>
      </c>
      <c r="V12" s="1381" t="s">
        <v>5</v>
      </c>
      <c r="W12" s="1382" t="e">
        <f t="shared" si="2"/>
        <v>#DIV/0!</v>
      </c>
      <c r="X12" s="1383"/>
      <c r="Y12" s="3823"/>
      <c r="Z12" s="1049" t="str">
        <f t="shared" si="7"/>
        <v>土地使用年限（年）</v>
      </c>
      <c r="AA12" s="1384" t="e">
        <f t="shared" si="3"/>
        <v>#DIV/0!</v>
      </c>
      <c r="AB12" s="1384" t="e">
        <f t="shared" si="4"/>
        <v>#DIV/0!</v>
      </c>
      <c r="AC12" s="1384" t="e">
        <f t="shared" si="5"/>
        <v>#DIV/0!</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75"/>
      <c r="Q13" s="1050" t="str">
        <f t="shared" si="6"/>
        <v>容积率</v>
      </c>
      <c r="R13" s="1381" t="s">
        <v>5</v>
      </c>
      <c r="S13" s="1382" t="e">
        <f t="shared" si="0"/>
        <v>#N/A</v>
      </c>
      <c r="T13" s="1381" t="s">
        <v>5</v>
      </c>
      <c r="U13" s="1382" t="e">
        <f t="shared" si="1"/>
        <v>#N/A</v>
      </c>
      <c r="V13" s="1381" t="s">
        <v>5</v>
      </c>
      <c r="W13" s="1382" t="e">
        <f t="shared" si="2"/>
        <v>#N/A</v>
      </c>
      <c r="X13" s="1383"/>
      <c r="Y13" s="3823"/>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75"/>
      <c r="Q14" s="1050" t="str">
        <f t="shared" si="6"/>
        <v>配建</v>
      </c>
      <c r="R14" s="1381" t="s">
        <v>5</v>
      </c>
      <c r="S14" s="1382">
        <f t="shared" si="0"/>
        <v>100</v>
      </c>
      <c r="T14" s="1381" t="s">
        <v>5</v>
      </c>
      <c r="U14" s="1382">
        <f t="shared" si="1"/>
        <v>100</v>
      </c>
      <c r="V14" s="1381" t="s">
        <v>5</v>
      </c>
      <c r="W14" s="1382">
        <f t="shared" si="2"/>
        <v>100</v>
      </c>
      <c r="X14" s="1383"/>
      <c r="Y14" s="3823"/>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75"/>
      <c r="Q15" s="1050">
        <f t="shared" si="6"/>
        <v>111</v>
      </c>
      <c r="R15" s="1381" t="s">
        <v>5</v>
      </c>
      <c r="S15" s="1382">
        <f t="shared" si="0"/>
        <v>100</v>
      </c>
      <c r="T15" s="1381" t="s">
        <v>5</v>
      </c>
      <c r="U15" s="1382">
        <f t="shared" si="1"/>
        <v>100</v>
      </c>
      <c r="V15" s="1381" t="s">
        <v>5</v>
      </c>
      <c r="W15" s="1382">
        <f t="shared" si="2"/>
        <v>100</v>
      </c>
      <c r="X15" s="1383"/>
      <c r="Y15" s="3823"/>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75"/>
      <c r="Q16" s="1050">
        <f t="shared" si="6"/>
        <v>111</v>
      </c>
      <c r="R16" s="1381" t="s">
        <v>5</v>
      </c>
      <c r="S16" s="1382">
        <f t="shared" si="0"/>
        <v>100</v>
      </c>
      <c r="T16" s="1381" t="s">
        <v>5</v>
      </c>
      <c r="U16" s="1382">
        <f t="shared" si="1"/>
        <v>100</v>
      </c>
      <c r="V16" s="1381" t="s">
        <v>5</v>
      </c>
      <c r="W16" s="1382">
        <f t="shared" si="2"/>
        <v>100</v>
      </c>
      <c r="X16" s="1383"/>
      <c r="Y16" s="3823"/>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7" t="s">
        <v>489</v>
      </c>
      <c r="Q17" s="1385" t="str">
        <f t="shared" si="6"/>
        <v>居住社区成熟度</v>
      </c>
      <c r="R17" s="1386" t="s">
        <v>5</v>
      </c>
      <c r="S17" s="1387">
        <f t="shared" si="0"/>
        <v>100</v>
      </c>
      <c r="T17" s="1386" t="s">
        <v>5</v>
      </c>
      <c r="U17" s="1387">
        <f t="shared" si="1"/>
        <v>100</v>
      </c>
      <c r="V17" s="1386" t="s">
        <v>5</v>
      </c>
      <c r="W17" s="1387">
        <f t="shared" si="2"/>
        <v>100</v>
      </c>
      <c r="X17" s="1380"/>
      <c r="Y17" s="3877"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78"/>
      <c r="Q18" s="1385"/>
      <c r="R18" s="1386"/>
      <c r="S18" s="1387"/>
      <c r="T18" s="1386"/>
      <c r="U18" s="1387"/>
      <c r="V18" s="1386"/>
      <c r="W18" s="1387"/>
      <c r="X18" s="1380"/>
      <c r="Y18" s="3878"/>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8"/>
      <c r="Q19" s="1385" t="str">
        <f>B19</f>
        <v>商业繁华度</v>
      </c>
      <c r="R19" s="1386" t="s">
        <v>5</v>
      </c>
      <c r="S19" s="1387">
        <f>F19</f>
        <v>100</v>
      </c>
      <c r="T19" s="1386" t="s">
        <v>5</v>
      </c>
      <c r="U19" s="1387">
        <f>H19</f>
        <v>100</v>
      </c>
      <c r="V19" s="1386" t="s">
        <v>5</v>
      </c>
      <c r="W19" s="1387">
        <f>J19</f>
        <v>100</v>
      </c>
      <c r="X19" s="1380"/>
      <c r="Y19" s="3878"/>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78"/>
      <c r="Q20" s="1385"/>
      <c r="R20" s="1386"/>
      <c r="S20" s="1387"/>
      <c r="T20" s="1386"/>
      <c r="U20" s="1387"/>
      <c r="V20" s="1386"/>
      <c r="W20" s="1387"/>
      <c r="X20" s="1380"/>
      <c r="Y20" s="3878"/>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8"/>
      <c r="Q21" s="1385" t="str">
        <f>B21</f>
        <v>办公集聚程度</v>
      </c>
      <c r="R21" s="1386" t="s">
        <v>5</v>
      </c>
      <c r="S21" s="1387">
        <f>F21</f>
        <v>100</v>
      </c>
      <c r="T21" s="1386" t="s">
        <v>5</v>
      </c>
      <c r="U21" s="1387">
        <f>H21</f>
        <v>100</v>
      </c>
      <c r="V21" s="1386" t="s">
        <v>5</v>
      </c>
      <c r="W21" s="1387">
        <f>J21</f>
        <v>100</v>
      </c>
      <c r="X21" s="1380"/>
      <c r="Y21" s="3878"/>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78"/>
      <c r="Q22" s="1385"/>
      <c r="R22" s="1386"/>
      <c r="S22" s="1387"/>
      <c r="T22" s="1386"/>
      <c r="U22" s="1387"/>
      <c r="V22" s="1386"/>
      <c r="W22" s="1387"/>
      <c r="X22" s="1380"/>
      <c r="Y22" s="3878"/>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8"/>
      <c r="Q23" s="1385" t="str">
        <f>B23</f>
        <v>交通便捷度</v>
      </c>
      <c r="R23" s="1386" t="s">
        <v>5</v>
      </c>
      <c r="S23" s="1387">
        <f>F23</f>
        <v>100</v>
      </c>
      <c r="T23" s="1386" t="s">
        <v>5</v>
      </c>
      <c r="U23" s="1387">
        <f>H23</f>
        <v>100</v>
      </c>
      <c r="V23" s="1386" t="s">
        <v>5</v>
      </c>
      <c r="W23" s="1387">
        <f>J23</f>
        <v>100</v>
      </c>
      <c r="X23" s="1380"/>
      <c r="Y23" s="3878"/>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78"/>
      <c r="Q24" s="1385"/>
      <c r="R24" s="1386"/>
      <c r="S24" s="1387"/>
      <c r="T24" s="1386"/>
      <c r="U24" s="1387"/>
      <c r="V24" s="1386"/>
      <c r="W24" s="1387"/>
      <c r="X24" s="1380"/>
      <c r="Y24" s="3878"/>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8"/>
      <c r="Q25" s="1385" t="str">
        <f t="shared" ref="Q25:Q39" si="8">B25</f>
        <v>区域土地利用方向</v>
      </c>
      <c r="R25" s="1386" t="s">
        <v>5</v>
      </c>
      <c r="S25" s="1387">
        <f>F25</f>
        <v>100</v>
      </c>
      <c r="T25" s="1386" t="s">
        <v>5</v>
      </c>
      <c r="U25" s="1387">
        <f>H25</f>
        <v>100</v>
      </c>
      <c r="V25" s="1386" t="s">
        <v>5</v>
      </c>
      <c r="W25" s="1387">
        <f>J25</f>
        <v>100</v>
      </c>
      <c r="X25" s="1380"/>
      <c r="Y25" s="3878"/>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8"/>
      <c r="Q26" s="1385"/>
      <c r="R26" s="1386"/>
      <c r="S26" s="1387"/>
      <c r="T26" s="1386"/>
      <c r="U26" s="1387"/>
      <c r="V26" s="1386"/>
      <c r="W26" s="1387"/>
      <c r="X26" s="1380"/>
      <c r="Y26" s="3878"/>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8"/>
      <c r="Q27" s="1385" t="str">
        <f t="shared" si="8"/>
        <v>自然及人文环境状况</v>
      </c>
      <c r="R27" s="1386" t="s">
        <v>5</v>
      </c>
      <c r="S27" s="1387">
        <f>F27</f>
        <v>100</v>
      </c>
      <c r="T27" s="1386" t="s">
        <v>5</v>
      </c>
      <c r="U27" s="1387">
        <f>H27</f>
        <v>100</v>
      </c>
      <c r="V27" s="1386" t="s">
        <v>5</v>
      </c>
      <c r="W27" s="1387">
        <f>J27</f>
        <v>100</v>
      </c>
      <c r="X27" s="1380"/>
      <c r="Y27" s="3878"/>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8"/>
      <c r="Q28" s="1385"/>
      <c r="R28" s="1386"/>
      <c r="S28" s="1387"/>
      <c r="T28" s="1386"/>
      <c r="U28" s="1387"/>
      <c r="V28" s="1386"/>
      <c r="W28" s="1387"/>
      <c r="X28" s="1380"/>
      <c r="Y28" s="3878"/>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8"/>
      <c r="Q29" s="1050" t="str">
        <f t="shared" si="8"/>
        <v>公共配套设施</v>
      </c>
      <c r="R29" s="1381" t="s">
        <v>5</v>
      </c>
      <c r="S29" s="1382">
        <f>F29</f>
        <v>100</v>
      </c>
      <c r="T29" s="1381" t="s">
        <v>5</v>
      </c>
      <c r="U29" s="1382">
        <f>H29</f>
        <v>100</v>
      </c>
      <c r="V29" s="1381" t="s">
        <v>5</v>
      </c>
      <c r="W29" s="1382">
        <f>J29</f>
        <v>100</v>
      </c>
      <c r="X29" s="1383"/>
      <c r="Y29" s="3878"/>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78"/>
      <c r="Q30" s="1050"/>
      <c r="R30" s="1381"/>
      <c r="S30" s="1382"/>
      <c r="T30" s="1381"/>
      <c r="U30" s="1382"/>
      <c r="V30" s="1381"/>
      <c r="W30" s="1382"/>
      <c r="X30" s="1383"/>
      <c r="Y30" s="3878"/>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8"/>
      <c r="Q31" s="2192" t="str">
        <f>B31</f>
        <v>基础设施水平</v>
      </c>
      <c r="R31" s="1381" t="s">
        <v>5</v>
      </c>
      <c r="S31" s="1382">
        <f>F31</f>
        <v>100</v>
      </c>
      <c r="T31" s="1381" t="s">
        <v>5</v>
      </c>
      <c r="U31" s="1382">
        <f>H31</f>
        <v>100</v>
      </c>
      <c r="V31" s="1381" t="s">
        <v>5</v>
      </c>
      <c r="W31" s="1382">
        <f>J31</f>
        <v>100</v>
      </c>
      <c r="X31" s="1383"/>
      <c r="Y31" s="3878"/>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8"/>
      <c r="Q32" s="2192"/>
      <c r="R32" s="1381"/>
      <c r="S32" s="1382"/>
      <c r="T32" s="1381"/>
      <c r="U32" s="1382"/>
      <c r="V32" s="1381"/>
      <c r="W32" s="1382"/>
      <c r="X32" s="1383"/>
      <c r="Y32" s="3878"/>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8"/>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8"/>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8"/>
      <c r="Q34" s="1385" t="str">
        <f t="shared" si="8"/>
        <v>毗邻道路的类型与等级</v>
      </c>
      <c r="R34" s="1386" t="s">
        <v>5</v>
      </c>
      <c r="S34" s="1387">
        <f t="shared" si="9"/>
        <v>100</v>
      </c>
      <c r="T34" s="1386" t="s">
        <v>5</v>
      </c>
      <c r="U34" s="1387">
        <f t="shared" si="10"/>
        <v>100</v>
      </c>
      <c r="V34" s="1386" t="s">
        <v>5</v>
      </c>
      <c r="W34" s="1387">
        <f t="shared" si="11"/>
        <v>100</v>
      </c>
      <c r="X34" s="1380"/>
      <c r="Y34" s="3878"/>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8"/>
      <c r="Q35" s="1385"/>
      <c r="R35" s="1386"/>
      <c r="S35" s="1387"/>
      <c r="T35" s="1386"/>
      <c r="U35" s="1387"/>
      <c r="V35" s="1386"/>
      <c r="W35" s="1387"/>
      <c r="X35" s="1380"/>
      <c r="Y35" s="3878"/>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8"/>
      <c r="Q36" s="1385" t="str">
        <f t="shared" si="8"/>
        <v>土地级别</v>
      </c>
      <c r="R36" s="1386" t="s">
        <v>5</v>
      </c>
      <c r="S36" s="1387">
        <f t="shared" si="9"/>
        <v>100</v>
      </c>
      <c r="T36" s="1386" t="s">
        <v>5</v>
      </c>
      <c r="U36" s="1387">
        <f t="shared" si="10"/>
        <v>100</v>
      </c>
      <c r="V36" s="1386" t="s">
        <v>5</v>
      </c>
      <c r="W36" s="1387">
        <f t="shared" si="11"/>
        <v>100</v>
      </c>
      <c r="X36" s="1380"/>
      <c r="Y36" s="3878"/>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8"/>
      <c r="Q37" s="1385">
        <f t="shared" si="8"/>
        <v>111</v>
      </c>
      <c r="R37" s="1386" t="s">
        <v>5</v>
      </c>
      <c r="S37" s="1387">
        <f t="shared" si="9"/>
        <v>100</v>
      </c>
      <c r="T37" s="1386" t="s">
        <v>5</v>
      </c>
      <c r="U37" s="1387">
        <f t="shared" si="10"/>
        <v>100</v>
      </c>
      <c r="V37" s="1386" t="s">
        <v>5</v>
      </c>
      <c r="W37" s="1387">
        <f t="shared" si="11"/>
        <v>100</v>
      </c>
      <c r="X37" s="1380"/>
      <c r="Y37" s="3878"/>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9" t="s">
        <v>499</v>
      </c>
      <c r="Q38" s="1385">
        <f t="shared" si="8"/>
        <v>111</v>
      </c>
      <c r="R38" s="1386" t="s">
        <v>5</v>
      </c>
      <c r="S38" s="1387">
        <f t="shared" si="9"/>
        <v>100</v>
      </c>
      <c r="T38" s="1386" t="s">
        <v>5</v>
      </c>
      <c r="U38" s="1387">
        <f t="shared" si="10"/>
        <v>100</v>
      </c>
      <c r="V38" s="1386" t="s">
        <v>5</v>
      </c>
      <c r="W38" s="1387">
        <f t="shared" si="11"/>
        <v>100</v>
      </c>
      <c r="X38" s="1380"/>
      <c r="Y38" s="3880"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80"/>
      <c r="Q39" s="1385">
        <f t="shared" si="8"/>
        <v>111</v>
      </c>
      <c r="R39" s="1390" t="s">
        <v>5</v>
      </c>
      <c r="S39" s="1391">
        <f t="shared" si="9"/>
        <v>100</v>
      </c>
      <c r="T39" s="1390" t="s">
        <v>5</v>
      </c>
      <c r="U39" s="1391">
        <f t="shared" si="10"/>
        <v>100</v>
      </c>
      <c r="V39" s="1390" t="s">
        <v>5</v>
      </c>
      <c r="W39" s="1391">
        <f t="shared" si="11"/>
        <v>100</v>
      </c>
      <c r="X39" s="1392"/>
      <c r="Y39" s="3880"/>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80"/>
      <c r="Q40" s="1385" t="str">
        <f>B40</f>
        <v>宗地面积</v>
      </c>
      <c r="R40" s="1386" t="s">
        <v>5</v>
      </c>
      <c r="S40" s="1387" t="e">
        <f t="shared" si="9"/>
        <v>#N/A</v>
      </c>
      <c r="T40" s="1386" t="s">
        <v>5</v>
      </c>
      <c r="U40" s="1387" t="e">
        <f t="shared" si="10"/>
        <v>#N/A</v>
      </c>
      <c r="V40" s="1386" t="s">
        <v>5</v>
      </c>
      <c r="W40" s="1387" t="e">
        <f t="shared" si="11"/>
        <v>#N/A</v>
      </c>
      <c r="X40" s="1380"/>
      <c r="Y40" s="3880"/>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80"/>
      <c r="Q41" s="1385" t="str">
        <f t="shared" ref="Q41:Q47" si="13">B41</f>
        <v>宗地形状</v>
      </c>
      <c r="R41" s="1386" t="s">
        <v>5</v>
      </c>
      <c r="S41" s="1387">
        <f t="shared" si="9"/>
        <v>100</v>
      </c>
      <c r="T41" s="1386" t="s">
        <v>5</v>
      </c>
      <c r="U41" s="1387">
        <f t="shared" si="10"/>
        <v>100</v>
      </c>
      <c r="V41" s="1386" t="s">
        <v>5</v>
      </c>
      <c r="W41" s="1387">
        <f t="shared" si="11"/>
        <v>100</v>
      </c>
      <c r="X41" s="1380"/>
      <c r="Y41" s="3880"/>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80"/>
      <c r="Q42" s="1385" t="str">
        <f t="shared" si="13"/>
        <v>临街宽度及深度</v>
      </c>
      <c r="R42" s="1386" t="s">
        <v>5</v>
      </c>
      <c r="S42" s="1387">
        <f t="shared" si="9"/>
        <v>100</v>
      </c>
      <c r="T42" s="1386" t="s">
        <v>5</v>
      </c>
      <c r="U42" s="1387">
        <f t="shared" si="10"/>
        <v>100</v>
      </c>
      <c r="V42" s="1386" t="s">
        <v>5</v>
      </c>
      <c r="W42" s="1387">
        <f t="shared" si="11"/>
        <v>100</v>
      </c>
      <c r="X42" s="1380"/>
      <c r="Y42" s="3880"/>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80"/>
      <c r="Q43" s="1385" t="str">
        <f t="shared" si="13"/>
        <v>宗地开发程度</v>
      </c>
      <c r="R43" s="1381" t="s">
        <v>5</v>
      </c>
      <c r="S43" s="1382">
        <f t="shared" si="9"/>
        <v>100</v>
      </c>
      <c r="T43" s="1381" t="s">
        <v>5</v>
      </c>
      <c r="U43" s="1382">
        <f t="shared" si="10"/>
        <v>100</v>
      </c>
      <c r="V43" s="1381" t="s">
        <v>5</v>
      </c>
      <c r="W43" s="1382">
        <f t="shared" si="11"/>
        <v>100</v>
      </c>
      <c r="X43" s="1383"/>
      <c r="Y43" s="3880"/>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80" t="s">
        <v>499</v>
      </c>
      <c r="Q44" s="1385" t="str">
        <f t="shared" si="13"/>
        <v>工程地质条件</v>
      </c>
      <c r="R44" s="1386" t="s">
        <v>5</v>
      </c>
      <c r="S44" s="1387">
        <f t="shared" si="9"/>
        <v>100</v>
      </c>
      <c r="T44" s="1386" t="s">
        <v>5</v>
      </c>
      <c r="U44" s="1387">
        <f t="shared" si="10"/>
        <v>100</v>
      </c>
      <c r="V44" s="1386" t="s">
        <v>5</v>
      </c>
      <c r="W44" s="1387">
        <f t="shared" si="11"/>
        <v>100</v>
      </c>
      <c r="X44" s="1380"/>
      <c r="Y44" s="3880"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80"/>
      <c r="Q45" s="1385">
        <f t="shared" si="13"/>
        <v>111</v>
      </c>
      <c r="R45" s="1386" t="s">
        <v>5</v>
      </c>
      <c r="S45" s="1387">
        <f t="shared" si="9"/>
        <v>100</v>
      </c>
      <c r="T45" s="1386" t="s">
        <v>5</v>
      </c>
      <c r="U45" s="1387">
        <f t="shared" si="10"/>
        <v>100</v>
      </c>
      <c r="V45" s="1386" t="s">
        <v>5</v>
      </c>
      <c r="W45" s="1387">
        <f t="shared" si="11"/>
        <v>100</v>
      </c>
      <c r="X45" s="1380"/>
      <c r="Y45" s="3880"/>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80"/>
      <c r="Q46" s="1385">
        <f t="shared" si="13"/>
        <v>111</v>
      </c>
      <c r="R46" s="1386" t="s">
        <v>5</v>
      </c>
      <c r="S46" s="1387">
        <f t="shared" si="9"/>
        <v>100</v>
      </c>
      <c r="T46" s="1386" t="s">
        <v>5</v>
      </c>
      <c r="U46" s="1387">
        <f t="shared" si="10"/>
        <v>100</v>
      </c>
      <c r="V46" s="1386" t="s">
        <v>5</v>
      </c>
      <c r="W46" s="1387">
        <f t="shared" si="11"/>
        <v>100</v>
      </c>
      <c r="X46" s="1380"/>
      <c r="Y46" s="3880"/>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80"/>
      <c r="Q47" s="1385">
        <f t="shared" si="13"/>
        <v>111</v>
      </c>
      <c r="R47" s="1390" t="s">
        <v>5</v>
      </c>
      <c r="S47" s="1391">
        <f t="shared" si="9"/>
        <v>100</v>
      </c>
      <c r="T47" s="1390" t="s">
        <v>5</v>
      </c>
      <c r="U47" s="1391">
        <f t="shared" si="10"/>
        <v>100</v>
      </c>
      <c r="V47" s="1390" t="s">
        <v>5</v>
      </c>
      <c r="W47" s="1391">
        <f t="shared" si="11"/>
        <v>100</v>
      </c>
      <c r="X47" s="1392"/>
      <c r="Y47" s="3880"/>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75" t="str">
        <f>A48</f>
        <v>成交单价</v>
      </c>
      <c r="Q48" s="3875"/>
      <c r="R48" s="3891">
        <f>E48</f>
        <v>0</v>
      </c>
      <c r="S48" s="3891"/>
      <c r="T48" s="3891">
        <f>G48</f>
        <v>0</v>
      </c>
      <c r="U48" s="3891"/>
      <c r="V48" s="3891">
        <f>I48</f>
        <v>0</v>
      </c>
      <c r="W48" s="3891"/>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75" t="str">
        <f>A49</f>
        <v>比较价格（元/平方米）</v>
      </c>
      <c r="Q49" s="3875"/>
      <c r="R49" s="3899" t="e">
        <f>ROUND(PRODUCT(R48,AA9:AA47),0)</f>
        <v>#DIV/0!</v>
      </c>
      <c r="S49" s="3899"/>
      <c r="T49" s="3899" t="e">
        <f>ROUND(PRODUCT(T48,AB9:AB47),0)</f>
        <v>#DIV/0!</v>
      </c>
      <c r="U49" s="3899"/>
      <c r="V49" s="3899" t="e">
        <f>ROUND(PRODUCT(V48,AC9:AC47),0)</f>
        <v>#DIV/0!</v>
      </c>
      <c r="W49" s="3899"/>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81" t="str">
        <f>A50</f>
        <v>估价对象XX用房的比较价格（楼面单价，元/平方米）</v>
      </c>
      <c r="Q50" s="3882"/>
      <c r="R50" s="3898" t="e">
        <f>ROUND(IF(D49="简单平均",AVERAGE(R49:W49),R49*F49+T49*H49+V49*J49),0)</f>
        <v>#DIV/0!</v>
      </c>
      <c r="S50" s="3898"/>
      <c r="T50" s="3898"/>
      <c r="U50" s="3898"/>
      <c r="V50" s="3898"/>
      <c r="W50" s="3898"/>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60" t="s">
        <v>1639</v>
      </c>
      <c r="H57" s="3861"/>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0</v>
      </c>
      <c r="F58" s="604" t="e">
        <f t="shared" ref="F58:F66" si="14">ROUND(B58*E58/10000,0)</f>
        <v>#DIV/0!</v>
      </c>
      <c r="G58" s="3862"/>
      <c r="H58" s="3863"/>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0.6</v>
      </c>
      <c r="D59" s="1948">
        <v>0.25</v>
      </c>
      <c r="E59" s="607">
        <v>0</v>
      </c>
      <c r="F59" s="604" t="e">
        <f t="shared" si="14"/>
        <v>#DIV/0!</v>
      </c>
      <c r="G59" s="3277" t="s">
        <v>1640</v>
      </c>
      <c r="H59" s="1704" t="str">
        <f>项目基本情况!B43</f>
        <v>四级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0.3</v>
      </c>
      <c r="D60" s="1948">
        <v>0.25</v>
      </c>
      <c r="E60" s="607">
        <v>0</v>
      </c>
      <c r="F60" s="604" t="e">
        <f t="shared" si="14"/>
        <v>#DIV/0!</v>
      </c>
      <c r="G60" s="3278"/>
      <c r="H60" s="1704" t="str">
        <f>项目基本情况!B43</f>
        <v>四级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0.25</v>
      </c>
      <c r="D61" s="1948">
        <v>0.25</v>
      </c>
      <c r="E61" s="607">
        <v>0</v>
      </c>
      <c r="F61" s="604" t="e">
        <f t="shared" si="14"/>
        <v>#DIV/0!</v>
      </c>
      <c r="G61" s="3278"/>
      <c r="H61" s="1704" t="str">
        <f>项目基本情况!B43</f>
        <v>四级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0.25</v>
      </c>
      <c r="D62" s="1948">
        <v>0.25</v>
      </c>
      <c r="E62" s="609">
        <f>'数据-汇总表'!E11</f>
        <v>0</v>
      </c>
      <c r="F62" s="604" t="e">
        <f t="shared" si="14"/>
        <v>#DIV/0!</v>
      </c>
      <c r="G62" s="1701" t="s">
        <v>1641</v>
      </c>
      <c r="H62" s="1704" t="str">
        <f>项目基本情况!C43</f>
        <v>四级</v>
      </c>
      <c r="I62" s="1373">
        <f>SUMIF(修正!$A$57:$A$68,H62,修正!E57:E68)</f>
        <v>0.25</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0.25</v>
      </c>
      <c r="D63" s="1948">
        <v>0.25</v>
      </c>
      <c r="E63" s="609">
        <f>'数据-汇总表'!E12</f>
        <v>0</v>
      </c>
      <c r="F63" s="604" t="e">
        <f t="shared" si="14"/>
        <v>#DIV/0!</v>
      </c>
      <c r="G63" s="1702" t="s">
        <v>1212</v>
      </c>
      <c r="H63" s="1700" t="str">
        <f>IF(G63="商业",项目基本情况!B43,IF(G63="办公",项目基本情况!C43,IF(G63="住宅",项目基本情况!D43,项目基本情况!E43)))</f>
        <v>四级</v>
      </c>
      <c r="I63" s="1373">
        <f>SUMIF(修正!$A$57:$A$68,H63,修正!F57:F68)</f>
        <v>0.25</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0.15</v>
      </c>
      <c r="D65" s="1948">
        <v>0.25</v>
      </c>
      <c r="E65" s="609">
        <f>'数据-汇总表'!E14</f>
        <v>0</v>
      </c>
      <c r="F65" s="604" t="e">
        <f t="shared" si="14"/>
        <v>#DIV/0!</v>
      </c>
      <c r="G65" s="1701" t="s">
        <v>1640</v>
      </c>
      <c r="H65" s="1704" t="str">
        <f>项目基本情况!B43</f>
        <v>四级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0.15</v>
      </c>
      <c r="D66" s="1948">
        <v>0.25</v>
      </c>
      <c r="E66" s="609">
        <f>'数据-汇总表'!E15</f>
        <v>0</v>
      </c>
      <c r="F66" s="604" t="e">
        <f t="shared" si="14"/>
        <v>#DIV/0!</v>
      </c>
      <c r="G66" s="1703" t="s">
        <v>1641</v>
      </c>
      <c r="H66" s="1705" t="str">
        <f>项目基本情况!C43</f>
        <v>四级</v>
      </c>
      <c r="I66" s="1373">
        <f>SUMIF(修正!$A$57:$A$68,H66,修正!G57:G68)</f>
        <v>0.15</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2024-7-1</v>
      </c>
      <c r="D69" s="2279">
        <f>EDATE(C69,-3)</f>
        <v>45383</v>
      </c>
      <c r="E69" s="2279">
        <f t="shared" ref="E69:N69" si="17">EDATE(D69,-3)</f>
        <v>45292</v>
      </c>
      <c r="F69" s="2279">
        <f t="shared" si="17"/>
        <v>45200</v>
      </c>
      <c r="G69" s="2279">
        <f t="shared" si="17"/>
        <v>45108</v>
      </c>
      <c r="H69" s="2279">
        <f t="shared" si="17"/>
        <v>45017</v>
      </c>
      <c r="I69" s="2279">
        <f t="shared" si="17"/>
        <v>44927</v>
      </c>
      <c r="J69" s="2279">
        <f t="shared" si="17"/>
        <v>44835</v>
      </c>
      <c r="K69" s="2279">
        <f t="shared" si="17"/>
        <v>44743</v>
      </c>
      <c r="L69" s="2279">
        <f t="shared" si="17"/>
        <v>44652</v>
      </c>
      <c r="M69" s="2279">
        <f t="shared" si="17"/>
        <v>44562</v>
      </c>
      <c r="N69" s="2279">
        <f t="shared" si="17"/>
        <v>44470</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2024-3</v>
      </c>
      <c r="D71" s="2281" t="str">
        <f>YEAR(D69)&amp;"-"&amp;ROUNDUP(MONTH(D69)/3,0)</f>
        <v>2024-2</v>
      </c>
      <c r="E71" s="2281" t="str">
        <f t="shared" ref="E71:N71" si="18">YEAR(E69)&amp;"-"&amp;ROUNDUP(MONTH(E69)/3,0)</f>
        <v>2024-1</v>
      </c>
      <c r="F71" s="2281" t="str">
        <f t="shared" si="18"/>
        <v>2023-4</v>
      </c>
      <c r="G71" s="2281" t="str">
        <f t="shared" si="18"/>
        <v>2023-3</v>
      </c>
      <c r="H71" s="2281" t="str">
        <f t="shared" si="18"/>
        <v>2023-2</v>
      </c>
      <c r="I71" s="2281" t="str">
        <f t="shared" si="18"/>
        <v>2023-1</v>
      </c>
      <c r="J71" s="2281" t="str">
        <f t="shared" si="18"/>
        <v>2022-4</v>
      </c>
      <c r="K71" s="2281" t="str">
        <f t="shared" si="18"/>
        <v>2022-3</v>
      </c>
      <c r="L71" s="2281" t="str">
        <f t="shared" si="18"/>
        <v>2022-2</v>
      </c>
      <c r="M71" s="2281" t="str">
        <f t="shared" si="18"/>
        <v>2022-1</v>
      </c>
      <c r="N71" s="2281" t="str">
        <f t="shared" si="18"/>
        <v>2021-4</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"北京市平均增长率"&amp;TEXT(SUMIF('基准地价（商业）'!N25:N29,A72,'基准地价（商业）'!P25:P29),"0.00%")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8" priority="18" stopIfTrue="1" operator="containsText" text="超过">
      <formula>NOT(ISERROR(SEARCH("超过",F53)))</formula>
    </cfRule>
  </conditionalFormatting>
  <conditionalFormatting sqref="J55">
    <cfRule type="containsText" dxfId="177" priority="17" stopIfTrue="1" operator="containsText" text="超过">
      <formula>NOT(ISERROR(SEARCH("超过",J55)))</formula>
    </cfRule>
  </conditionalFormatting>
  <conditionalFormatting sqref="H55">
    <cfRule type="containsText" dxfId="176" priority="16" stopIfTrue="1" operator="containsText" text="超过">
      <formula>NOT(ISERROR(SEARCH("超过",H55)))</formula>
    </cfRule>
  </conditionalFormatting>
  <conditionalFormatting sqref="F55">
    <cfRule type="containsText" dxfId="175" priority="15" stopIfTrue="1" operator="containsText" text="超过">
      <formula>NOT(ISERROR(SEARCH("超过",F55)))</formula>
    </cfRule>
  </conditionalFormatting>
  <conditionalFormatting sqref="F54 H54 J54">
    <cfRule type="containsText" dxfId="174" priority="14" stopIfTrue="1" operator="containsText" text="超过">
      <formula>NOT(ISERROR(SEARCH("超过",F54)))</formula>
    </cfRule>
  </conditionalFormatting>
  <conditionalFormatting sqref="E53">
    <cfRule type="expression" dxfId="173" priority="13" stopIfTrue="1">
      <formula>$F$53="超过30%"</formula>
    </cfRule>
  </conditionalFormatting>
  <conditionalFormatting sqref="G55">
    <cfRule type="expression" dxfId="172" priority="12" stopIfTrue="1">
      <formula>$H$55="超过30%"</formula>
    </cfRule>
  </conditionalFormatting>
  <conditionalFormatting sqref="E54">
    <cfRule type="expression" dxfId="171" priority="11" stopIfTrue="1">
      <formula>$F$54="超过20%"</formula>
    </cfRule>
  </conditionalFormatting>
  <conditionalFormatting sqref="E55">
    <cfRule type="expression" dxfId="170" priority="10" stopIfTrue="1">
      <formula>$F$55="超过30%"</formula>
    </cfRule>
  </conditionalFormatting>
  <conditionalFormatting sqref="G53">
    <cfRule type="expression" dxfId="169" priority="9" stopIfTrue="1">
      <formula>$H$55+$H$53="超过30%"</formula>
    </cfRule>
  </conditionalFormatting>
  <conditionalFormatting sqref="G54">
    <cfRule type="expression" dxfId="168" priority="8" stopIfTrue="1">
      <formula>$H$54="超过20%"</formula>
    </cfRule>
  </conditionalFormatting>
  <conditionalFormatting sqref="I53">
    <cfRule type="expression" dxfId="167" priority="7" stopIfTrue="1">
      <formula>$J$53="超过30%"</formula>
    </cfRule>
  </conditionalFormatting>
  <conditionalFormatting sqref="I54">
    <cfRule type="expression" dxfId="166" priority="6" stopIfTrue="1">
      <formula>$J$54="超过20%"</formula>
    </cfRule>
  </conditionalFormatting>
  <conditionalFormatting sqref="I55">
    <cfRule type="expression" dxfId="165" priority="5" stopIfTrue="1">
      <formula>$J$55="超过30%"</formula>
    </cfRule>
  </conditionalFormatting>
  <conditionalFormatting sqref="F49">
    <cfRule type="expression" dxfId="164" priority="4">
      <formula>$D$49="简单平均"</formula>
    </cfRule>
  </conditionalFormatting>
  <conditionalFormatting sqref="H49">
    <cfRule type="expression" dxfId="163" priority="3">
      <formula>$D$49="简单平均"</formula>
    </cfRule>
  </conditionalFormatting>
  <conditionalFormatting sqref="J49">
    <cfRule type="expression" dxfId="162" priority="2">
      <formula>$D$49="简单平均"</formula>
    </cfRule>
  </conditionalFormatting>
  <conditionalFormatting sqref="F9:F47 H9:H47 J9:J47">
    <cfRule type="cellIs" dxfId="16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S48" sqref="S48"/>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83" t="s">
        <v>471</v>
      </c>
      <c r="D6" s="3884"/>
      <c r="E6" s="3905" t="s">
        <v>472</v>
      </c>
      <c r="F6" s="3906"/>
      <c r="G6" s="3883" t="s">
        <v>473</v>
      </c>
      <c r="H6" s="3884"/>
      <c r="I6" s="3883" t="s">
        <v>474</v>
      </c>
      <c r="J6" s="3884"/>
      <c r="K6" s="484" t="s">
        <v>475</v>
      </c>
      <c r="L6" s="1856"/>
      <c r="M6" s="1857"/>
      <c r="N6" s="1857"/>
      <c r="O6" s="1857"/>
      <c r="P6" s="3885" t="s">
        <v>476</v>
      </c>
      <c r="Q6" s="3886"/>
      <c r="R6" s="3869" t="s">
        <v>472</v>
      </c>
      <c r="S6" s="3870"/>
      <c r="T6" s="3869" t="s">
        <v>473</v>
      </c>
      <c r="U6" s="3870"/>
      <c r="V6" s="3891" t="s">
        <v>474</v>
      </c>
      <c r="W6" s="3891"/>
      <c r="X6" s="1380"/>
      <c r="Y6" s="3869" t="s">
        <v>476</v>
      </c>
      <c r="Z6" s="3870"/>
      <c r="AA6" s="3864" t="s">
        <v>472</v>
      </c>
      <c r="AB6" s="3865" t="s">
        <v>473</v>
      </c>
      <c r="AC6" s="3864" t="s">
        <v>474</v>
      </c>
    </row>
    <row r="7" spans="1:29" ht="15">
      <c r="A7" s="485"/>
      <c r="B7" s="486"/>
      <c r="C7" s="3894" t="s">
        <v>2192</v>
      </c>
      <c r="D7" s="3895"/>
      <c r="E7" s="3907" t="s">
        <v>2193</v>
      </c>
      <c r="F7" s="3908"/>
      <c r="G7" s="3894" t="s">
        <v>2194</v>
      </c>
      <c r="H7" s="3895"/>
      <c r="I7" s="3894" t="s">
        <v>2195</v>
      </c>
      <c r="J7" s="3895"/>
      <c r="K7" s="484"/>
      <c r="L7" s="1856"/>
      <c r="M7" s="1857"/>
      <c r="N7" s="1857"/>
      <c r="O7" s="1857"/>
      <c r="P7" s="3887"/>
      <c r="Q7" s="3888"/>
      <c r="R7" s="3871"/>
      <c r="S7" s="3872"/>
      <c r="T7" s="3871"/>
      <c r="U7" s="3872"/>
      <c r="V7" s="3891"/>
      <c r="W7" s="3891"/>
      <c r="X7" s="1380"/>
      <c r="Y7" s="3871"/>
      <c r="Z7" s="3872"/>
      <c r="AA7" s="3865"/>
      <c r="AB7" s="3865"/>
      <c r="AC7" s="3865"/>
    </row>
    <row r="8" spans="1:29" ht="15.75" thickBot="1">
      <c r="A8" s="487"/>
      <c r="B8" s="488"/>
      <c r="C8" s="3892" t="s">
        <v>2196</v>
      </c>
      <c r="D8" s="3893"/>
      <c r="E8" s="3909" t="s">
        <v>2196</v>
      </c>
      <c r="F8" s="3910"/>
      <c r="G8" s="3892" t="s">
        <v>2196</v>
      </c>
      <c r="H8" s="3893"/>
      <c r="I8" s="3892" t="s">
        <v>2196</v>
      </c>
      <c r="J8" s="3893"/>
      <c r="K8" s="484" t="s">
        <v>477</v>
      </c>
      <c r="L8" s="1856"/>
      <c r="M8" s="1857"/>
      <c r="N8" s="1857"/>
      <c r="O8" s="1857"/>
      <c r="P8" s="3889"/>
      <c r="Q8" s="3890"/>
      <c r="R8" s="3871"/>
      <c r="S8" s="3872"/>
      <c r="T8" s="3873"/>
      <c r="U8" s="3874"/>
      <c r="V8" s="3891"/>
      <c r="W8" s="3891"/>
      <c r="X8" s="1380"/>
      <c r="Y8" s="3873"/>
      <c r="Z8" s="3874"/>
      <c r="AA8" s="3866"/>
      <c r="AB8" s="3866"/>
      <c r="AC8" s="3866"/>
    </row>
    <row r="9" spans="1:29" s="1118" customFormat="1" ht="15.75" thickBot="1">
      <c r="A9" s="2392"/>
      <c r="B9" s="2399" t="s">
        <v>478</v>
      </c>
      <c r="C9" s="489">
        <f>'数据-取费表'!B2</f>
        <v>45499</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67" t="s">
        <v>479</v>
      </c>
      <c r="Q9" s="3876"/>
      <c r="R9" s="1381" t="s">
        <v>5</v>
      </c>
      <c r="S9" s="1382">
        <f t="shared" ref="S9:S17" si="0">F9</f>
        <v>0</v>
      </c>
      <c r="T9" s="1381" t="s">
        <v>5</v>
      </c>
      <c r="U9" s="1382">
        <f t="shared" ref="U9:U17" si="1">H9</f>
        <v>0</v>
      </c>
      <c r="V9" s="1381" t="s">
        <v>5</v>
      </c>
      <c r="W9" s="1382">
        <f t="shared" ref="W9:W17" si="2">J9</f>
        <v>0</v>
      </c>
      <c r="X9" s="1383"/>
      <c r="Y9" s="3867" t="s">
        <v>479</v>
      </c>
      <c r="Z9" s="3868"/>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67" t="s">
        <v>482</v>
      </c>
      <c r="Q10" s="3868"/>
      <c r="R10" s="1381" t="s">
        <v>5</v>
      </c>
      <c r="S10" s="1382">
        <f t="shared" si="0"/>
        <v>0</v>
      </c>
      <c r="T10" s="1381" t="s">
        <v>5</v>
      </c>
      <c r="U10" s="1382">
        <f t="shared" si="1"/>
        <v>0</v>
      </c>
      <c r="V10" s="1381" t="s">
        <v>5</v>
      </c>
      <c r="W10" s="1382">
        <f t="shared" si="2"/>
        <v>0</v>
      </c>
      <c r="X10" s="1383"/>
      <c r="Y10" s="3867" t="s">
        <v>482</v>
      </c>
      <c r="Z10" s="3868"/>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75" t="s">
        <v>484</v>
      </c>
      <c r="Q11" s="1050" t="str">
        <f t="shared" ref="Q11:Q17" si="6">B11</f>
        <v>用途</v>
      </c>
      <c r="R11" s="1381" t="s">
        <v>5</v>
      </c>
      <c r="S11" s="1382">
        <f t="shared" si="0"/>
        <v>100</v>
      </c>
      <c r="T11" s="1381" t="s">
        <v>5</v>
      </c>
      <c r="U11" s="1382">
        <f t="shared" si="1"/>
        <v>100</v>
      </c>
      <c r="V11" s="1381" t="s">
        <v>5</v>
      </c>
      <c r="W11" s="1382">
        <f t="shared" si="2"/>
        <v>100</v>
      </c>
      <c r="X11" s="1383"/>
      <c r="Y11" s="3823"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75"/>
      <c r="Q12" s="1050" t="str">
        <f t="shared" si="6"/>
        <v>土地使用年限（年）</v>
      </c>
      <c r="R12" s="1381" t="s">
        <v>5</v>
      </c>
      <c r="S12" s="1382" t="e">
        <f t="shared" si="0"/>
        <v>#DIV/0!</v>
      </c>
      <c r="T12" s="1381" t="s">
        <v>5</v>
      </c>
      <c r="U12" s="1382" t="e">
        <f t="shared" si="1"/>
        <v>#DIV/0!</v>
      </c>
      <c r="V12" s="1381" t="s">
        <v>5</v>
      </c>
      <c r="W12" s="1382" t="e">
        <f t="shared" si="2"/>
        <v>#DIV/0!</v>
      </c>
      <c r="X12" s="1383"/>
      <c r="Y12" s="3823"/>
      <c r="Z12" s="1049" t="str">
        <f t="shared" si="7"/>
        <v>土地使用年限（年）</v>
      </c>
      <c r="AA12" s="1384" t="e">
        <f t="shared" si="3"/>
        <v>#DIV/0!</v>
      </c>
      <c r="AB12" s="1384" t="e">
        <f t="shared" si="4"/>
        <v>#DIV/0!</v>
      </c>
      <c r="AC12" s="1384" t="e">
        <f t="shared" si="5"/>
        <v>#DIV/0!</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75"/>
      <c r="Q13" s="1050" t="str">
        <f t="shared" si="6"/>
        <v>容积率</v>
      </c>
      <c r="R13" s="1381" t="s">
        <v>5</v>
      </c>
      <c r="S13" s="1382" t="e">
        <f t="shared" si="0"/>
        <v>#N/A</v>
      </c>
      <c r="T13" s="1381" t="s">
        <v>5</v>
      </c>
      <c r="U13" s="1382" t="e">
        <f t="shared" si="1"/>
        <v>#N/A</v>
      </c>
      <c r="V13" s="1381" t="s">
        <v>5</v>
      </c>
      <c r="W13" s="1382" t="e">
        <f t="shared" si="2"/>
        <v>#N/A</v>
      </c>
      <c r="X13" s="1383"/>
      <c r="Y13" s="3823"/>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75"/>
      <c r="Q14" s="1050">
        <f t="shared" si="6"/>
        <v>111</v>
      </c>
      <c r="R14" s="1381" t="s">
        <v>5</v>
      </c>
      <c r="S14" s="1382">
        <f t="shared" si="0"/>
        <v>100</v>
      </c>
      <c r="T14" s="1381" t="s">
        <v>5</v>
      </c>
      <c r="U14" s="1382">
        <f t="shared" si="1"/>
        <v>100</v>
      </c>
      <c r="V14" s="1381" t="s">
        <v>5</v>
      </c>
      <c r="W14" s="1382">
        <f t="shared" si="2"/>
        <v>100</v>
      </c>
      <c r="X14" s="1383"/>
      <c r="Y14" s="3823"/>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75"/>
      <c r="Q15" s="1050">
        <f t="shared" si="6"/>
        <v>111</v>
      </c>
      <c r="R15" s="1381" t="s">
        <v>5</v>
      </c>
      <c r="S15" s="1382">
        <f t="shared" si="0"/>
        <v>100</v>
      </c>
      <c r="T15" s="1381" t="s">
        <v>5</v>
      </c>
      <c r="U15" s="1382">
        <f t="shared" si="1"/>
        <v>100</v>
      </c>
      <c r="V15" s="1381" t="s">
        <v>5</v>
      </c>
      <c r="W15" s="1382">
        <f t="shared" si="2"/>
        <v>100</v>
      </c>
      <c r="X15" s="1383"/>
      <c r="Y15" s="3823"/>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75"/>
      <c r="Q16" s="1050">
        <f t="shared" si="6"/>
        <v>111</v>
      </c>
      <c r="R16" s="1381" t="s">
        <v>5</v>
      </c>
      <c r="S16" s="1382">
        <f t="shared" si="0"/>
        <v>100</v>
      </c>
      <c r="T16" s="1381" t="s">
        <v>5</v>
      </c>
      <c r="U16" s="1382">
        <f t="shared" si="1"/>
        <v>100</v>
      </c>
      <c r="V16" s="1381" t="s">
        <v>5</v>
      </c>
      <c r="W16" s="1382">
        <f t="shared" si="2"/>
        <v>100</v>
      </c>
      <c r="X16" s="1383"/>
      <c r="Y16" s="3823"/>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7" t="s">
        <v>489</v>
      </c>
      <c r="Q17" s="1385" t="str">
        <f t="shared" si="6"/>
        <v>产业集聚程度</v>
      </c>
      <c r="R17" s="1386" t="s">
        <v>5</v>
      </c>
      <c r="S17" s="1387">
        <f t="shared" si="0"/>
        <v>100</v>
      </c>
      <c r="T17" s="1386" t="s">
        <v>5</v>
      </c>
      <c r="U17" s="1387">
        <f t="shared" si="1"/>
        <v>100</v>
      </c>
      <c r="V17" s="1386" t="s">
        <v>5</v>
      </c>
      <c r="W17" s="1387">
        <f t="shared" si="2"/>
        <v>100</v>
      </c>
      <c r="X17" s="1380"/>
      <c r="Y17" s="3877"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8"/>
      <c r="Q18" s="1385"/>
      <c r="R18" s="1386"/>
      <c r="S18" s="1387"/>
      <c r="T18" s="1386"/>
      <c r="U18" s="1387"/>
      <c r="V18" s="1386"/>
      <c r="W18" s="1387"/>
      <c r="X18" s="1380"/>
      <c r="Y18" s="3878"/>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8"/>
      <c r="Q19" s="1385" t="str">
        <f>B19</f>
        <v>交通便捷度</v>
      </c>
      <c r="R19" s="1386" t="s">
        <v>5</v>
      </c>
      <c r="S19" s="1387">
        <f>F19</f>
        <v>100</v>
      </c>
      <c r="T19" s="1386" t="s">
        <v>5</v>
      </c>
      <c r="U19" s="1387">
        <f>H19</f>
        <v>100</v>
      </c>
      <c r="V19" s="1386" t="s">
        <v>5</v>
      </c>
      <c r="W19" s="1387">
        <f>J19</f>
        <v>100</v>
      </c>
      <c r="X19" s="1380"/>
      <c r="Y19" s="3878"/>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8"/>
      <c r="Q20" s="1385"/>
      <c r="R20" s="1386"/>
      <c r="S20" s="1387"/>
      <c r="T20" s="1386"/>
      <c r="U20" s="1387"/>
      <c r="V20" s="1386"/>
      <c r="W20" s="1387"/>
      <c r="X20" s="1380"/>
      <c r="Y20" s="3878"/>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8"/>
      <c r="Q21" s="1385" t="str">
        <f t="shared" ref="Q21:Q35" si="8">B21</f>
        <v>区域土地利用方向</v>
      </c>
      <c r="R21" s="1386" t="s">
        <v>5</v>
      </c>
      <c r="S21" s="1387">
        <f>F21</f>
        <v>100</v>
      </c>
      <c r="T21" s="1386" t="s">
        <v>5</v>
      </c>
      <c r="U21" s="1387">
        <f>H21</f>
        <v>100</v>
      </c>
      <c r="V21" s="1386" t="s">
        <v>5</v>
      </c>
      <c r="W21" s="1387">
        <f>J21</f>
        <v>100</v>
      </c>
      <c r="X21" s="1380"/>
      <c r="Y21" s="3878"/>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8"/>
      <c r="Q22" s="1385"/>
      <c r="R22" s="1386"/>
      <c r="S22" s="1387"/>
      <c r="T22" s="1386"/>
      <c r="U22" s="1387"/>
      <c r="V22" s="1386"/>
      <c r="W22" s="1387"/>
      <c r="X22" s="1380"/>
      <c r="Y22" s="3878"/>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8"/>
      <c r="Q23" s="1385" t="str">
        <f t="shared" si="8"/>
        <v>环境状况</v>
      </c>
      <c r="R23" s="1386" t="s">
        <v>5</v>
      </c>
      <c r="S23" s="1387">
        <f>F23</f>
        <v>100</v>
      </c>
      <c r="T23" s="1386" t="s">
        <v>5</v>
      </c>
      <c r="U23" s="1387">
        <f>H23</f>
        <v>100</v>
      </c>
      <c r="V23" s="1386" t="s">
        <v>5</v>
      </c>
      <c r="W23" s="1387">
        <f>J23</f>
        <v>100</v>
      </c>
      <c r="X23" s="1380"/>
      <c r="Y23" s="3878"/>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8"/>
      <c r="Q24" s="1385"/>
      <c r="R24" s="1386"/>
      <c r="S24" s="1387"/>
      <c r="T24" s="1386"/>
      <c r="U24" s="1387"/>
      <c r="V24" s="1386"/>
      <c r="W24" s="1387"/>
      <c r="X24" s="1380"/>
      <c r="Y24" s="3878"/>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8"/>
      <c r="Q25" s="1050" t="str">
        <f t="shared" si="8"/>
        <v>公共配套设施</v>
      </c>
      <c r="R25" s="1381" t="s">
        <v>5</v>
      </c>
      <c r="S25" s="1382">
        <f>F25</f>
        <v>100</v>
      </c>
      <c r="T25" s="1381" t="s">
        <v>5</v>
      </c>
      <c r="U25" s="1382">
        <f>H25</f>
        <v>100</v>
      </c>
      <c r="V25" s="1381" t="s">
        <v>5</v>
      </c>
      <c r="W25" s="1382">
        <f>J25</f>
        <v>100</v>
      </c>
      <c r="X25" s="1383"/>
      <c r="Y25" s="3878"/>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8"/>
      <c r="Q26" s="1050"/>
      <c r="R26" s="1381"/>
      <c r="S26" s="1382"/>
      <c r="T26" s="1381"/>
      <c r="U26" s="1382"/>
      <c r="V26" s="1381"/>
      <c r="W26" s="1382"/>
      <c r="X26" s="1383"/>
      <c r="Y26" s="3878"/>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8"/>
      <c r="Q27" s="2192" t="str">
        <f>B27</f>
        <v>基础设施水平</v>
      </c>
      <c r="R27" s="1381" t="s">
        <v>5</v>
      </c>
      <c r="S27" s="1382">
        <f>F27</f>
        <v>100</v>
      </c>
      <c r="T27" s="1381" t="s">
        <v>5</v>
      </c>
      <c r="U27" s="1382">
        <f>H27</f>
        <v>100</v>
      </c>
      <c r="V27" s="1381" t="s">
        <v>5</v>
      </c>
      <c r="W27" s="1382">
        <f>J27</f>
        <v>100</v>
      </c>
      <c r="X27" s="1383"/>
      <c r="Y27" s="3878"/>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8"/>
      <c r="Q28" s="2192"/>
      <c r="R28" s="1381"/>
      <c r="S28" s="1382"/>
      <c r="T28" s="1381"/>
      <c r="U28" s="1382"/>
      <c r="V28" s="1381"/>
      <c r="W28" s="1382"/>
      <c r="X28" s="1383"/>
      <c r="Y28" s="3878"/>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8"/>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8"/>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8"/>
      <c r="Q30" s="1385" t="str">
        <f t="shared" si="8"/>
        <v>毗邻道路的类型与等级</v>
      </c>
      <c r="R30" s="1386" t="s">
        <v>5</v>
      </c>
      <c r="S30" s="1387">
        <f t="shared" si="9"/>
        <v>100</v>
      </c>
      <c r="T30" s="1386" t="s">
        <v>5</v>
      </c>
      <c r="U30" s="1387">
        <f t="shared" si="10"/>
        <v>100</v>
      </c>
      <c r="V30" s="1386" t="s">
        <v>5</v>
      </c>
      <c r="W30" s="1387">
        <f t="shared" si="11"/>
        <v>100</v>
      </c>
      <c r="X30" s="1380"/>
      <c r="Y30" s="3878"/>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8"/>
      <c r="Q31" s="1385"/>
      <c r="R31" s="1386"/>
      <c r="S31" s="1387"/>
      <c r="T31" s="1386"/>
      <c r="U31" s="1387"/>
      <c r="V31" s="1386"/>
      <c r="W31" s="1387"/>
      <c r="X31" s="1380"/>
      <c r="Y31" s="3878"/>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8"/>
      <c r="Q32" s="1385" t="str">
        <f t="shared" si="8"/>
        <v>土地级别</v>
      </c>
      <c r="R32" s="1386" t="s">
        <v>5</v>
      </c>
      <c r="S32" s="1387">
        <f t="shared" si="9"/>
        <v>100</v>
      </c>
      <c r="T32" s="1386" t="s">
        <v>5</v>
      </c>
      <c r="U32" s="1387">
        <f t="shared" si="10"/>
        <v>100</v>
      </c>
      <c r="V32" s="1386" t="s">
        <v>5</v>
      </c>
      <c r="W32" s="1387">
        <f t="shared" si="11"/>
        <v>100</v>
      </c>
      <c r="X32" s="1380"/>
      <c r="Y32" s="3878"/>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8"/>
      <c r="Q33" s="1385">
        <f t="shared" si="8"/>
        <v>111</v>
      </c>
      <c r="R33" s="1386" t="s">
        <v>5</v>
      </c>
      <c r="S33" s="1387">
        <f t="shared" si="9"/>
        <v>100</v>
      </c>
      <c r="T33" s="1386" t="s">
        <v>5</v>
      </c>
      <c r="U33" s="1387">
        <f t="shared" si="10"/>
        <v>100</v>
      </c>
      <c r="V33" s="1386" t="s">
        <v>5</v>
      </c>
      <c r="W33" s="1387">
        <f t="shared" si="11"/>
        <v>100</v>
      </c>
      <c r="X33" s="1380"/>
      <c r="Y33" s="3878"/>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9" t="s">
        <v>499</v>
      </c>
      <c r="Q34" s="1385">
        <f t="shared" si="8"/>
        <v>111</v>
      </c>
      <c r="R34" s="1386" t="s">
        <v>5</v>
      </c>
      <c r="S34" s="1387">
        <f t="shared" si="9"/>
        <v>100</v>
      </c>
      <c r="T34" s="1386" t="s">
        <v>5</v>
      </c>
      <c r="U34" s="1387">
        <f t="shared" si="10"/>
        <v>100</v>
      </c>
      <c r="V34" s="1386" t="s">
        <v>5</v>
      </c>
      <c r="W34" s="1387">
        <f t="shared" si="11"/>
        <v>100</v>
      </c>
      <c r="X34" s="1380"/>
      <c r="Y34" s="3880"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80"/>
      <c r="Q35" s="1385">
        <f t="shared" si="8"/>
        <v>111</v>
      </c>
      <c r="R35" s="1390" t="s">
        <v>5</v>
      </c>
      <c r="S35" s="1391">
        <f t="shared" si="9"/>
        <v>100</v>
      </c>
      <c r="T35" s="1390" t="s">
        <v>5</v>
      </c>
      <c r="U35" s="1391">
        <f t="shared" si="10"/>
        <v>100</v>
      </c>
      <c r="V35" s="1390" t="s">
        <v>5</v>
      </c>
      <c r="W35" s="1391">
        <f t="shared" si="11"/>
        <v>100</v>
      </c>
      <c r="X35" s="1392"/>
      <c r="Y35" s="3880"/>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80"/>
      <c r="Q36" s="1385" t="str">
        <f>B36</f>
        <v>宗地面积</v>
      </c>
      <c r="R36" s="1386" t="s">
        <v>5</v>
      </c>
      <c r="S36" s="1387" t="e">
        <f t="shared" si="9"/>
        <v>#N/A</v>
      </c>
      <c r="T36" s="1386" t="s">
        <v>5</v>
      </c>
      <c r="U36" s="1387" t="e">
        <f t="shared" si="10"/>
        <v>#N/A</v>
      </c>
      <c r="V36" s="1386" t="s">
        <v>5</v>
      </c>
      <c r="W36" s="1387" t="e">
        <f t="shared" si="11"/>
        <v>#N/A</v>
      </c>
      <c r="X36" s="1380"/>
      <c r="Y36" s="3880"/>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80"/>
      <c r="Q37" s="1385" t="str">
        <f t="shared" ref="Q37:Q42" si="13">B37</f>
        <v>宗地形状</v>
      </c>
      <c r="R37" s="1386" t="s">
        <v>5</v>
      </c>
      <c r="S37" s="1387">
        <f t="shared" si="9"/>
        <v>100</v>
      </c>
      <c r="T37" s="1386" t="s">
        <v>5</v>
      </c>
      <c r="U37" s="1387">
        <f t="shared" si="10"/>
        <v>100</v>
      </c>
      <c r="V37" s="1386" t="s">
        <v>5</v>
      </c>
      <c r="W37" s="1387">
        <f t="shared" si="11"/>
        <v>100</v>
      </c>
      <c r="X37" s="1380"/>
      <c r="Y37" s="3880"/>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80"/>
      <c r="Q38" s="1385" t="str">
        <f t="shared" si="13"/>
        <v>宗地开发程度</v>
      </c>
      <c r="R38" s="1381" t="s">
        <v>5</v>
      </c>
      <c r="S38" s="1382">
        <f t="shared" si="9"/>
        <v>100</v>
      </c>
      <c r="T38" s="1381" t="s">
        <v>5</v>
      </c>
      <c r="U38" s="1382">
        <f t="shared" si="10"/>
        <v>100</v>
      </c>
      <c r="V38" s="1381" t="s">
        <v>5</v>
      </c>
      <c r="W38" s="1382">
        <f t="shared" si="11"/>
        <v>100</v>
      </c>
      <c r="X38" s="1383"/>
      <c r="Y38" s="3880"/>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80" t="s">
        <v>549</v>
      </c>
      <c r="Q39" s="1385" t="str">
        <f t="shared" si="13"/>
        <v>工程地质条件</v>
      </c>
      <c r="R39" s="1386" t="s">
        <v>5</v>
      </c>
      <c r="S39" s="1387">
        <f t="shared" si="9"/>
        <v>100</v>
      </c>
      <c r="T39" s="1386" t="s">
        <v>5</v>
      </c>
      <c r="U39" s="1387">
        <f t="shared" si="10"/>
        <v>100</v>
      </c>
      <c r="V39" s="1386" t="s">
        <v>5</v>
      </c>
      <c r="W39" s="1387">
        <f t="shared" si="11"/>
        <v>100</v>
      </c>
      <c r="X39" s="1380"/>
      <c r="Y39" s="3880"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80"/>
      <c r="Q40" s="1385">
        <f t="shared" si="13"/>
        <v>111</v>
      </c>
      <c r="R40" s="1386" t="s">
        <v>5</v>
      </c>
      <c r="S40" s="1387">
        <f t="shared" si="9"/>
        <v>100</v>
      </c>
      <c r="T40" s="1386" t="s">
        <v>5</v>
      </c>
      <c r="U40" s="1387">
        <f t="shared" si="10"/>
        <v>100</v>
      </c>
      <c r="V40" s="1386" t="s">
        <v>5</v>
      </c>
      <c r="W40" s="1387">
        <f t="shared" si="11"/>
        <v>100</v>
      </c>
      <c r="X40" s="1380"/>
      <c r="Y40" s="3880"/>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80"/>
      <c r="Q41" s="1385">
        <f t="shared" si="13"/>
        <v>111</v>
      </c>
      <c r="R41" s="1386" t="s">
        <v>5</v>
      </c>
      <c r="S41" s="1387">
        <f t="shared" si="9"/>
        <v>100</v>
      </c>
      <c r="T41" s="1386" t="s">
        <v>5</v>
      </c>
      <c r="U41" s="1387">
        <f t="shared" si="10"/>
        <v>100</v>
      </c>
      <c r="V41" s="1386" t="s">
        <v>5</v>
      </c>
      <c r="W41" s="1387">
        <f t="shared" si="11"/>
        <v>100</v>
      </c>
      <c r="X41" s="1380"/>
      <c r="Y41" s="3880"/>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80"/>
      <c r="Q42" s="1385">
        <f t="shared" si="13"/>
        <v>111</v>
      </c>
      <c r="R42" s="1390" t="s">
        <v>5</v>
      </c>
      <c r="S42" s="1391">
        <f t="shared" si="9"/>
        <v>100</v>
      </c>
      <c r="T42" s="1390" t="s">
        <v>5</v>
      </c>
      <c r="U42" s="1391">
        <f t="shared" si="10"/>
        <v>100</v>
      </c>
      <c r="V42" s="1390" t="s">
        <v>5</v>
      </c>
      <c r="W42" s="1391">
        <f t="shared" si="11"/>
        <v>100</v>
      </c>
      <c r="X42" s="1392"/>
      <c r="Y42" s="3880"/>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75" t="str">
        <f>A43</f>
        <v>成交单价</v>
      </c>
      <c r="Q43" s="3875"/>
      <c r="R43" s="3891">
        <f>E43</f>
        <v>0</v>
      </c>
      <c r="S43" s="3891"/>
      <c r="T43" s="3891">
        <f>G43</f>
        <v>0</v>
      </c>
      <c r="U43" s="3891"/>
      <c r="V43" s="3891">
        <f>I43</f>
        <v>0</v>
      </c>
      <c r="W43" s="3891"/>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75" t="str">
        <f>A44</f>
        <v>比较价格（元/平方米）</v>
      </c>
      <c r="Q44" s="3875"/>
      <c r="R44" s="3899" t="e">
        <f>ROUND(PRODUCT(R43,AA9:AA42),0)</f>
        <v>#DIV/0!</v>
      </c>
      <c r="S44" s="3899"/>
      <c r="T44" s="3899" t="e">
        <f>ROUND(PRODUCT(T43,AB9:AB42),0)</f>
        <v>#DIV/0!</v>
      </c>
      <c r="U44" s="3899"/>
      <c r="V44" s="3899" t="e">
        <f>ROUND(PRODUCT(V43,AC9:AC42),0)</f>
        <v>#DIV/0!</v>
      </c>
      <c r="W44" s="3899"/>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81" t="str">
        <f>A45</f>
        <v>估价对象XX用房的比较价格（楼面单价，元/平方米）</v>
      </c>
      <c r="Q45" s="3882"/>
      <c r="R45" s="3904" t="e">
        <f>ROUND(IF(D44="简单平均",AVERAGE(R44:W44),R44*F44+T44*H44+V44*J44),0)</f>
        <v>#DIV/0!</v>
      </c>
      <c r="S45" s="3904"/>
      <c r="T45" s="3904"/>
      <c r="U45" s="3904"/>
      <c r="V45" s="3904"/>
      <c r="W45" s="3904"/>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00" t="s">
        <v>1642</v>
      </c>
      <c r="H52" s="3901"/>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0</v>
      </c>
      <c r="F53" s="1706" t="e">
        <f t="shared" ref="F53:F61" si="14">ROUND(B53*E53/10000,0)</f>
        <v>#DIV/0!</v>
      </c>
      <c r="G53" s="3902"/>
      <c r="H53" s="3903"/>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四级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四级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四级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0.25</v>
      </c>
      <c r="D57" s="1948">
        <v>0.25</v>
      </c>
      <c r="E57" s="609">
        <f>'数据-汇总表'!E11</f>
        <v>0</v>
      </c>
      <c r="F57" s="1706" t="e">
        <f t="shared" si="14"/>
        <v>#DIV/0!</v>
      </c>
      <c r="G57" s="1712" t="s">
        <v>1644</v>
      </c>
      <c r="H57" s="1711" t="str">
        <f>项目基本情况!C43</f>
        <v>四级</v>
      </c>
      <c r="I57" s="1709">
        <f>SUMIF(修正!$A$57:$A$68,H57,修正!E57:E68)</f>
        <v>0.25</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0</v>
      </c>
      <c r="F58" s="1706" t="e">
        <f t="shared" si="14"/>
        <v>#DIV/0!</v>
      </c>
      <c r="G58" s="1702" t="s">
        <v>1212</v>
      </c>
      <c r="H58" s="1710" t="str">
        <f>IF(G58="商业",项目基本情况!B43,IF(G58="办公",项目基本情况!C43,IF(G58="住宅",项目基本情况!D43,项目基本情况!E43)))</f>
        <v>四级</v>
      </c>
      <c r="I58" s="1709">
        <f>SUMIF(修正!$A$57:$A$68,H58,修正!F57:F68)</f>
        <v>0.25</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四级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0</v>
      </c>
      <c r="F61" s="1706" t="e">
        <f t="shared" si="14"/>
        <v>#DIV/0!</v>
      </c>
      <c r="G61" s="1713" t="s">
        <v>1644</v>
      </c>
      <c r="H61" s="1714" t="str">
        <f>项目基本情况!C43</f>
        <v>四级</v>
      </c>
      <c r="I61" s="1709">
        <f>SUMIF(修正!$A$57:$A$68,H61,修正!G57:G68)</f>
        <v>0.15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2024-7-1</v>
      </c>
      <c r="D64" s="2279">
        <f>EDATE(C64,-3)</f>
        <v>45383</v>
      </c>
      <c r="E64" s="2279">
        <f t="shared" ref="E64:N64" si="17">EDATE(D64,-3)</f>
        <v>45292</v>
      </c>
      <c r="F64" s="2279">
        <f t="shared" si="17"/>
        <v>45200</v>
      </c>
      <c r="G64" s="2279">
        <f t="shared" si="17"/>
        <v>45108</v>
      </c>
      <c r="H64" s="2279">
        <f t="shared" si="17"/>
        <v>45017</v>
      </c>
      <c r="I64" s="2279">
        <f t="shared" si="17"/>
        <v>44927</v>
      </c>
      <c r="J64" s="2279">
        <f t="shared" si="17"/>
        <v>44835</v>
      </c>
      <c r="K64" s="2279">
        <f t="shared" si="17"/>
        <v>44743</v>
      </c>
      <c r="L64" s="2279">
        <f t="shared" si="17"/>
        <v>44652</v>
      </c>
      <c r="M64" s="2279">
        <f t="shared" si="17"/>
        <v>44562</v>
      </c>
      <c r="N64" s="2279">
        <f t="shared" si="17"/>
        <v>44470</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2024-3</v>
      </c>
      <c r="D66" s="2281" t="str">
        <f t="shared" ref="D66:N66" si="18">YEAR(D64)&amp;"-"&amp;ROUNDUP(MONTH(D64)/3,0)</f>
        <v>2024-2</v>
      </c>
      <c r="E66" s="2281" t="str">
        <f t="shared" si="18"/>
        <v>2024-1</v>
      </c>
      <c r="F66" s="2281" t="str">
        <f t="shared" si="18"/>
        <v>2023-4</v>
      </c>
      <c r="G66" s="2281" t="str">
        <f t="shared" si="18"/>
        <v>2023-3</v>
      </c>
      <c r="H66" s="2281" t="str">
        <f t="shared" si="18"/>
        <v>2023-2</v>
      </c>
      <c r="I66" s="2281" t="str">
        <f t="shared" si="18"/>
        <v>2023-1</v>
      </c>
      <c r="J66" s="2281" t="str">
        <f t="shared" si="18"/>
        <v>2022-4</v>
      </c>
      <c r="K66" s="2281" t="str">
        <f t="shared" si="18"/>
        <v>2022-3</v>
      </c>
      <c r="L66" s="2281" t="str">
        <f t="shared" si="18"/>
        <v>2022-2</v>
      </c>
      <c r="M66" s="2281" t="str">
        <f t="shared" si="18"/>
        <v>2022-1</v>
      </c>
      <c r="N66" s="2281" t="str">
        <f t="shared" si="18"/>
        <v>2021-4</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"北京市平均增长率"&amp;TEXT('基准地价（商业）'!P28,"0.00%")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0" priority="18" stopIfTrue="1" operator="containsText" text="超过">
      <formula>NOT(ISERROR(SEARCH("超过",F48)))</formula>
    </cfRule>
  </conditionalFormatting>
  <conditionalFormatting sqref="J50">
    <cfRule type="containsText" dxfId="159" priority="17" stopIfTrue="1" operator="containsText" text="超过">
      <formula>NOT(ISERROR(SEARCH("超过",J50)))</formula>
    </cfRule>
  </conditionalFormatting>
  <conditionalFormatting sqref="H50">
    <cfRule type="containsText" dxfId="158" priority="16" stopIfTrue="1" operator="containsText" text="超过">
      <formula>NOT(ISERROR(SEARCH("超过",H50)))</formula>
    </cfRule>
  </conditionalFormatting>
  <conditionalFormatting sqref="F50">
    <cfRule type="containsText" dxfId="157" priority="15" stopIfTrue="1" operator="containsText" text="超过">
      <formula>NOT(ISERROR(SEARCH("超过",F50)))</formula>
    </cfRule>
  </conditionalFormatting>
  <conditionalFormatting sqref="F49 H49 J49">
    <cfRule type="containsText" dxfId="156" priority="14" stopIfTrue="1" operator="containsText" text="超过">
      <formula>NOT(ISERROR(SEARCH("超过",F49)))</formula>
    </cfRule>
  </conditionalFormatting>
  <conditionalFormatting sqref="E48">
    <cfRule type="expression" dxfId="155" priority="13" stopIfTrue="1">
      <formula>$F$48="超过30%"</formula>
    </cfRule>
  </conditionalFormatting>
  <conditionalFormatting sqref="G50">
    <cfRule type="expression" dxfId="154" priority="12" stopIfTrue="1">
      <formula>$H$50="超过30%"</formula>
    </cfRule>
  </conditionalFormatting>
  <conditionalFormatting sqref="E50">
    <cfRule type="expression" dxfId="153" priority="10" stopIfTrue="1">
      <formula>$F$50="超过30%"</formula>
    </cfRule>
  </conditionalFormatting>
  <conditionalFormatting sqref="G48">
    <cfRule type="expression" dxfId="152" priority="9" stopIfTrue="1">
      <formula>$H$48="超过30%"</formula>
    </cfRule>
  </conditionalFormatting>
  <conditionalFormatting sqref="G49">
    <cfRule type="expression" dxfId="151" priority="8" stopIfTrue="1">
      <formula>$H$49="超过20%"</formula>
    </cfRule>
  </conditionalFormatting>
  <conditionalFormatting sqref="I48">
    <cfRule type="expression" dxfId="150" priority="7" stopIfTrue="1">
      <formula>$J$48="超过30%"</formula>
    </cfRule>
  </conditionalFormatting>
  <conditionalFormatting sqref="I49">
    <cfRule type="expression" dxfId="149" priority="6" stopIfTrue="1">
      <formula>$J$49="超过20%"</formula>
    </cfRule>
  </conditionalFormatting>
  <conditionalFormatting sqref="I50">
    <cfRule type="expression" dxfId="148" priority="5" stopIfTrue="1">
      <formula>$J$50="超过30%"</formula>
    </cfRule>
  </conditionalFormatting>
  <conditionalFormatting sqref="E49">
    <cfRule type="expression" dxfId="147" priority="51" stopIfTrue="1">
      <formula>#REF!+$F$49="超过20%"</formula>
    </cfRule>
  </conditionalFormatting>
  <conditionalFormatting sqref="F44">
    <cfRule type="expression" dxfId="146" priority="4">
      <formula>$D$44="简单平均"</formula>
    </cfRule>
  </conditionalFormatting>
  <conditionalFormatting sqref="H44">
    <cfRule type="expression" dxfId="145" priority="3">
      <formula>$D$44="简单平均"</formula>
    </cfRule>
  </conditionalFormatting>
  <conditionalFormatting sqref="J44">
    <cfRule type="expression" dxfId="144" priority="2">
      <formula>$D$44="简单平均"</formula>
    </cfRule>
  </conditionalFormatting>
  <conditionalFormatting sqref="F9:F42 H9:H42 J9:J42">
    <cfRule type="cellIs" dxfId="14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70" zoomScaleNormal="60" zoomScaleSheetLayoutView="70" workbookViewId="0">
      <selection activeCell="E31" sqref="E31"/>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0</v>
      </c>
      <c r="C2" s="1262" t="s">
        <v>849</v>
      </c>
      <c r="D2" s="1263" t="s">
        <v>850</v>
      </c>
      <c r="E2" s="1264" t="s">
        <v>2742</v>
      </c>
      <c r="F2" s="1263" t="s">
        <v>852</v>
      </c>
      <c r="G2" s="1457" t="str">
        <f>IF(E2="商业",项目基本情况!B43,IF(E2="办公",项目基本情况!C43,IF(E2="住宅",项目基本情况!D43,IF(E2="工业",项目基本情况!E43,项目基本情况!F43))))</f>
        <v>四级</v>
      </c>
      <c r="H2" s="1263" t="s">
        <v>854</v>
      </c>
      <c r="I2" s="1458" t="str">
        <f>IF(E2="商业",项目基本情况!B44,IF(E2="办公",项目基本情况!C44,IF(E2="住宅",项目基本情况!D44,IF(E2="工业",项目基本情况!E44,项目基本情况!F44))))</f>
        <v>Ⅳ-通1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25839</v>
      </c>
      <c r="U2" s="2406"/>
      <c r="V2" s="2416">
        <f>ROUND(T2*U2/10000,0)</f>
        <v>0</v>
      </c>
      <c r="W2" s="1911"/>
      <c r="X2" s="1911"/>
      <c r="Y2" s="1911"/>
      <c r="Z2" s="1911"/>
      <c r="AA2" s="1911"/>
      <c r="AB2" s="1911"/>
      <c r="AC2" s="1912"/>
    </row>
    <row r="3" spans="1:39" ht="15.75">
      <c r="A3" s="1266" t="s">
        <v>1220</v>
      </c>
      <c r="B3" s="991" t="e">
        <f>ROUND(B2*10000/D1,0)</f>
        <v>#DIV/0!</v>
      </c>
      <c r="C3" s="1262" t="s">
        <v>855</v>
      </c>
      <c r="D3" s="1263" t="s">
        <v>856</v>
      </c>
      <c r="E3" s="1267" t="s">
        <v>2464</v>
      </c>
      <c r="F3" s="1268" t="s">
        <v>3274</v>
      </c>
      <c r="G3" s="992">
        <f>IF(F3="宗地容积率",'数据-汇总表'!I4,IF(F3="估价对象容积率",'数据-汇总表'!I6,'数据-汇总表'!I7))</f>
        <v>3.25</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20366</v>
      </c>
      <c r="U3" s="2406"/>
      <c r="V3" s="2416">
        <f t="shared" ref="V3:V16" si="1">ROUND(T3*U3/10000,0)</f>
        <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16610</v>
      </c>
      <c r="N4" s="1643">
        <f>SUMPRODUCT((因素修正幅度!B55:B86=I2)*(因素修正幅度!C3:G3=E2)*(因素修正幅度!C55:G86))</f>
        <v>9.8000000000000004E-2</v>
      </c>
      <c r="O4" s="2976"/>
      <c r="P4" s="1911"/>
      <c r="Q4" s="1911"/>
      <c r="R4" s="2416">
        <v>3</v>
      </c>
      <c r="S4" s="2416">
        <f>ROUND(SUMPRODUCT((B107:B111=R4)*(C106:N106=G2)*(C107:N111)),4)</f>
        <v>1.0004999999999999</v>
      </c>
      <c r="T4" s="2416">
        <f t="shared" si="0"/>
        <v>17213</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15792</v>
      </c>
      <c r="D5" s="2548">
        <f>ROUND(C6*C17+C20,0)</f>
        <v>15792</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15181</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16610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14589</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f>IF(C8="不临65条商业街",1,ROUND(1+(1.6*E8+1.2*E9+0.8*E10+0.4*E11)*C9,4))</f>
        <v>1</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四级</v>
      </c>
      <c r="Y7" s="2407" t="s">
        <v>2047</v>
      </c>
      <c r="Z7" s="2408">
        <f>G3</f>
        <v>3.25</v>
      </c>
      <c r="AA7" s="1914"/>
      <c r="AB7" s="1914"/>
      <c r="AC7" s="1915"/>
      <c r="AD7" s="2409"/>
      <c r="AE7" s="2409"/>
      <c r="AF7" s="2409"/>
      <c r="AG7" s="2409"/>
      <c r="AH7" s="2409"/>
      <c r="AI7" s="2409"/>
      <c r="AJ7" s="2410"/>
    </row>
    <row r="8" spans="1:39" ht="25.5">
      <c r="A8" s="3532"/>
      <c r="B8" s="1269" t="s">
        <v>862</v>
      </c>
      <c r="C8" s="3533" t="s">
        <v>3275</v>
      </c>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19" t="s">
        <v>2060</v>
      </c>
      <c r="X8" s="3920"/>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918"/>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18"/>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3198</v>
      </c>
      <c r="B12" s="3507" t="s">
        <v>3199</v>
      </c>
      <c r="C12" s="3513">
        <v>1</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3202</v>
      </c>
      <c r="B13" s="1283" t="s">
        <v>874</v>
      </c>
      <c r="C13" s="3527">
        <f>ROUND(C16*D16*E16*F16*G16*H16*I16*J16,4)</f>
        <v>1</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0.95109999999999995</v>
      </c>
      <c r="D17" s="3558" t="s">
        <v>3208</v>
      </c>
      <c r="E17" s="3565">
        <f>ROUND(G18/I18,2)</f>
        <v>0.47</v>
      </c>
      <c r="F17" s="3558" t="s">
        <v>3211</v>
      </c>
      <c r="G17" s="3565">
        <f>ROUND(E19/G19,2)</f>
        <v>0.52</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v>10</v>
      </c>
      <c r="F18" s="3561" t="s">
        <v>3212</v>
      </c>
      <c r="G18" s="3563">
        <f>ROUND(1-(1/(POWER(1+G24,E18))),4)</f>
        <v>0.41460000000000002</v>
      </c>
      <c r="H18" s="3561" t="s">
        <v>3214</v>
      </c>
      <c r="I18" s="3563">
        <f>ROUND(1-(1/(POWER(1+G24,J24))),4)</f>
        <v>0.88249999999999995</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v>108700</v>
      </c>
      <c r="F19" s="3562" t="s">
        <v>3213</v>
      </c>
      <c r="G19" s="3566">
        <f>E19+99200</f>
        <v>207900</v>
      </c>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12" t="s">
        <v>1370</v>
      </c>
      <c r="B20" s="1278" t="s">
        <v>875</v>
      </c>
      <c r="C20" s="998">
        <f>ROUND(IF(F21="与级别开发程度一致",0,(G21-E21)/C21),0)</f>
        <v>-6</v>
      </c>
      <c r="D20" s="3924" t="s">
        <v>879</v>
      </c>
      <c r="E20" s="3925"/>
      <c r="F20" s="3924" t="s">
        <v>876</v>
      </c>
      <c r="G20" s="3925"/>
      <c r="H20" s="1291" t="s">
        <v>2769</v>
      </c>
      <c r="I20" s="1291" t="s">
        <v>2770</v>
      </c>
      <c r="J20" s="1291" t="s">
        <v>2772</v>
      </c>
      <c r="K20" s="1291" t="s">
        <v>2773</v>
      </c>
      <c r="L20" s="1291" t="s">
        <v>2775</v>
      </c>
      <c r="M20" s="1291" t="s">
        <v>2774</v>
      </c>
      <c r="N20" s="1291" t="s">
        <v>2776</v>
      </c>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913"/>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3276</v>
      </c>
      <c r="G21" s="2599">
        <f>SUM(H21:O21)</f>
        <v>300</v>
      </c>
      <c r="H21" s="997">
        <f>SUMPRODUCT((七通一平=H20)*(修正!B1:M1=G2)*(修正!B8:M16))</f>
        <v>70</v>
      </c>
      <c r="I21" s="997">
        <f>SUMPRODUCT((七通一平=I20)*(修正!B1:M1=G2)*(修正!B8:M16))</f>
        <v>60</v>
      </c>
      <c r="J21" s="997">
        <f>SUMPRODUCT((七通一平=J20)*(修正!B1:M1=G2)*(修正!B8:M16))</f>
        <v>25</v>
      </c>
      <c r="K21" s="997">
        <f>SUMPRODUCT((七通一平=K20)*(修正!B1:M1=G2)*(修正!B8:M16))</f>
        <v>40</v>
      </c>
      <c r="L21" s="997">
        <f>SUMPRODUCT((七通一平=L20)*(修正!B1:M1=G2)*(修正!B8:M16))</f>
        <v>40</v>
      </c>
      <c r="M21" s="997">
        <f>SUMPRODUCT((七通一平=M20)*(修正!B1:M1=G2)*(修正!B8:M16))</f>
        <v>50</v>
      </c>
      <c r="N21" s="997">
        <f>SUMPRODUCT((七通一平=N20)*(修正!B1:M1=G2)*(修正!B8:M16))</f>
        <v>15</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1.0432999999999999</v>
      </c>
      <c r="D23" s="1297" t="s">
        <v>882</v>
      </c>
      <c r="E23" s="1000">
        <v>44197</v>
      </c>
      <c r="F23" s="1297" t="s">
        <v>883</v>
      </c>
      <c r="G23" s="1001">
        <f>'数据-取费表'!B2</f>
        <v>45499</v>
      </c>
      <c r="H23" s="1298" t="s">
        <v>2247</v>
      </c>
      <c r="I23" s="2266" t="str">
        <f>IF(H23="季度增幅（自定义）",SUMIF(N25:N28,E2,O25:O28),"")</f>
        <v/>
      </c>
      <c r="J23" s="3567" t="s">
        <v>3277</v>
      </c>
      <c r="K23" s="2977"/>
      <c r="L23" s="2511" t="s">
        <v>2116</v>
      </c>
      <c r="M23" s="2512">
        <f>ROUND(SUMIF(地价!B2:F2,E2,地价!B41:F41),0)</f>
        <v>258</v>
      </c>
      <c r="N23" s="2268" t="s">
        <v>1211</v>
      </c>
      <c r="O23" s="2267">
        <f>ROUNDDOWN(DATEDIF(E23,G23,"M")/3,0)</f>
        <v>14</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1</v>
      </c>
      <c r="D24" s="2263" t="s">
        <v>897</v>
      </c>
      <c r="E24" s="2540">
        <f>存贷款利率!E24/100</f>
        <v>4.3499999999999997E-2</v>
      </c>
      <c r="F24" s="2263" t="s">
        <v>898</v>
      </c>
      <c r="G24" s="2264">
        <f>SUMIF(M30:Q30,E2,M33:Q33)</f>
        <v>5.5E-2</v>
      </c>
      <c r="H24" s="2263" t="s">
        <v>899</v>
      </c>
      <c r="I24" s="2259">
        <f>SUMIF('数据-取费表'!C6:C15,E2,'数据-取费表'!F6:F15)/COUNTIF('数据-取费表'!C6:C15,E2)</f>
        <v>40</v>
      </c>
      <c r="J24" s="2265">
        <f>IF(E2="住宅",70,IF(E2="商业",40,50))</f>
        <v>40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0.96189999999999998</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0.96189999999999998</v>
      </c>
      <c r="E26" s="992">
        <f>ROUNDDOWN(G3,1)</f>
        <v>3.2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0.96399999999999997</v>
      </c>
      <c r="G26" s="992">
        <f>ROUNDUP(G3,1)</f>
        <v>3.3000000000000003</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568" t="s">
        <v>3216</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1.0442</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0</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16549</v>
      </c>
      <c r="D33" s="1326"/>
      <c r="E33" s="1635">
        <f>ROUND(C33*D33/10000,0)</f>
        <v>0</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4137</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t="e">
        <f ca="1">'数据-取费表'!B40</f>
        <v>#VALUE!</v>
      </c>
      <c r="M36" s="3644" t="e">
        <f ca="1">ROUND($L$36*(1+M31),3)</f>
        <v>#VALUE!</v>
      </c>
      <c r="N36" s="3644" t="e">
        <f ca="1">ROUND($L$36*(1+N31),3)</f>
        <v>#VALUE!</v>
      </c>
      <c r="O36" s="3644" t="e">
        <f ca="1">ROUND($L$36*(1+O31),3)</f>
        <v>#VALUE!</v>
      </c>
      <c r="P36" s="3644" t="e">
        <f ca="1">ROUND($L$36*(1+P31),3)</f>
        <v>#VALUE!</v>
      </c>
      <c r="Q36" s="3644" t="e">
        <f ca="1">ROUND($L$36*(1+Q31),3)</f>
        <v>#VALUE!</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16"/>
      <c r="B37" s="1344" t="s">
        <v>923</v>
      </c>
      <c r="C37" s="1005">
        <f>ROUND(D5*C22*C23*C24*C28*F37,0)</f>
        <v>10322</v>
      </c>
      <c r="D37" s="1356"/>
      <c r="E37" s="996">
        <f>ROUND(C37*D37/10000,0)</f>
        <v>0</v>
      </c>
      <c r="F37" s="996">
        <f>SUMIF(修正!A57:A68,G2,修正!B57:B68)</f>
        <v>0.6</v>
      </c>
      <c r="G37" s="996">
        <f>ROUND(IF(E2="工业",C37*$M$42,C37*$M$41),0)</f>
        <v>2581</v>
      </c>
      <c r="H37" s="996">
        <f>D37</f>
        <v>0</v>
      </c>
      <c r="I37" s="996">
        <f>ROUND(G37*H37/10000,0)</f>
        <v>0</v>
      </c>
      <c r="J37" s="3916"/>
      <c r="K37" s="3642" t="s">
        <v>3246</v>
      </c>
      <c r="L37" s="3643" t="e">
        <f ca="1">L36+K38</f>
        <v>#VALUE!</v>
      </c>
      <c r="M37" s="3644" t="e">
        <f ca="1">ROUND($L$37*(1+M31),3)</f>
        <v>#VALUE!</v>
      </c>
      <c r="N37" s="3644" t="e">
        <f t="shared" ref="N37:Q37" ca="1" si="3">ROUND($L$37*(1+N31),3)</f>
        <v>#VALUE!</v>
      </c>
      <c r="O37" s="3644" t="e">
        <f t="shared" ca="1" si="3"/>
        <v>#VALUE!</v>
      </c>
      <c r="P37" s="3644" t="e">
        <f t="shared" ca="1" si="3"/>
        <v>#VALUE!</v>
      </c>
      <c r="Q37" s="3644" t="e">
        <f t="shared" ca="1" si="3"/>
        <v>#VALUE!</v>
      </c>
      <c r="R37" s="1912"/>
      <c r="S37" s="1912"/>
      <c r="T37" s="1912"/>
      <c r="U37" s="1912"/>
      <c r="V37" s="1912"/>
      <c r="W37" s="1911"/>
      <c r="X37" s="1911"/>
      <c r="Y37" s="1911"/>
      <c r="Z37" s="1911"/>
      <c r="AA37" s="1911"/>
      <c r="AB37" s="1911"/>
      <c r="AC37" s="1912"/>
    </row>
    <row r="38" spans="1:44" ht="12.75">
      <c r="A38" s="3917"/>
      <c r="B38" s="1288" t="s">
        <v>924</v>
      </c>
      <c r="C38" s="1005">
        <f>ROUND(D5*C22*C23*C24*C28*F38,0)</f>
        <v>5161</v>
      </c>
      <c r="D38" s="1356"/>
      <c r="E38" s="996">
        <f t="shared" ref="E38:E42" si="4">ROUND(C38*D38/10000,0)</f>
        <v>0</v>
      </c>
      <c r="F38" s="996">
        <f>SUMIF(修正!A57:A68,G2,修正!C57:C68)</f>
        <v>0.3</v>
      </c>
      <c r="G38" s="996">
        <f>ROUND(IF(E2="工业",C38*$M$42,C38*$M$41),0)</f>
        <v>1290</v>
      </c>
      <c r="H38" s="996">
        <f t="shared" ref="H38:H42" si="5">D38</f>
        <v>0</v>
      </c>
      <c r="I38" s="996">
        <f t="shared" ref="I38:I42" si="6">ROUND(G38*H38/10000,0)</f>
        <v>0</v>
      </c>
      <c r="J38" s="3917"/>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17"/>
      <c r="B39" s="3571" t="s">
        <v>3219</v>
      </c>
      <c r="C39" s="1005">
        <f>ROUND(D5*C22*C23*C24*C28*F39,0)</f>
        <v>4301</v>
      </c>
      <c r="D39" s="1356"/>
      <c r="E39" s="996">
        <f t="shared" si="4"/>
        <v>0</v>
      </c>
      <c r="F39" s="996">
        <f>SUMIF(修正!A57:A68,G2,修正!D57:D68)</f>
        <v>0.25</v>
      </c>
      <c r="G39" s="996">
        <f>ROUND(IF(E2="工业",C39*$M$42,C39*$M$41),0)</f>
        <v>1075</v>
      </c>
      <c r="H39" s="996">
        <f t="shared" si="5"/>
        <v>0</v>
      </c>
      <c r="I39" s="996">
        <f t="shared" si="6"/>
        <v>0</v>
      </c>
      <c r="J39" s="3917"/>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4301</v>
      </c>
      <c r="D40" s="1356"/>
      <c r="E40" s="996">
        <f t="shared" si="4"/>
        <v>0</v>
      </c>
      <c r="F40" s="1005">
        <f>SUMIF(修正!A57:A68,G2,修正!E57:E68)</f>
        <v>0.25</v>
      </c>
      <c r="G40" s="996">
        <f>ROUND(IF(E2="工业",C40*$M$42,C40*$M$41),0)</f>
        <v>1075</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5.5E-2</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1.0442</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t="s">
        <v>3278</v>
      </c>
      <c r="D50" s="3599">
        <f t="shared" ref="D50:D58" si="7">SUMIF($J$49:$N$49,C50,J50:N50)</f>
        <v>1.47E-2</v>
      </c>
      <c r="E50" s="3600">
        <f>ROUND(SUM(D50:D58),4)</f>
        <v>4.4200000000000003E-2</v>
      </c>
      <c r="F50" s="3601">
        <f>IF(E2="商业",SUMIF(L1:L12,G2,N1:N12),"——")</f>
        <v>9.8000000000000004E-2</v>
      </c>
      <c r="G50" s="3602">
        <v>1.47E-2</v>
      </c>
      <c r="H50" s="3603">
        <f t="shared" ref="H50:H58" si="8">IFERROR(ROUNDDOWN(($F$50*I50/2),4),"——")</f>
        <v>1.47E-2</v>
      </c>
      <c r="I50" s="3577">
        <v>0.3</v>
      </c>
      <c r="J50" s="3604">
        <f t="shared" ref="J50:J58" si="9">K50+$G50</f>
        <v>2.9399999999999999E-2</v>
      </c>
      <c r="K50" s="3604">
        <f t="shared" ref="K50:K58" si="10">$L50+$G50</f>
        <v>1.47E-2</v>
      </c>
      <c r="L50" s="3604">
        <v>0</v>
      </c>
      <c r="M50" s="3604">
        <f t="shared" ref="M50:N58" si="11">L50-$G50</f>
        <v>-1.47E-2</v>
      </c>
      <c r="N50" s="3604">
        <f t="shared" si="11"/>
        <v>-2.9399999999999999E-2</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t="s">
        <v>3279</v>
      </c>
      <c r="D51" s="3599">
        <f t="shared" si="7"/>
        <v>0</v>
      </c>
      <c r="E51" s="3605"/>
      <c r="F51" s="3601"/>
      <c r="G51" s="3602">
        <v>1.0699999999999999E-2</v>
      </c>
      <c r="H51" s="3603">
        <f t="shared" si="8"/>
        <v>1.0699999999999999E-2</v>
      </c>
      <c r="I51" s="3577">
        <v>0.22</v>
      </c>
      <c r="J51" s="3604">
        <f t="shared" si="9"/>
        <v>2.1399999999999999E-2</v>
      </c>
      <c r="K51" s="3604">
        <f t="shared" si="10"/>
        <v>1.0699999999999999E-2</v>
      </c>
      <c r="L51" s="3604">
        <v>0</v>
      </c>
      <c r="M51" s="3604">
        <f t="shared" si="11"/>
        <v>-1.0699999999999999E-2</v>
      </c>
      <c r="N51" s="3604">
        <f t="shared" si="11"/>
        <v>-2.1399999999999999E-2</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t="s">
        <v>3278</v>
      </c>
      <c r="D52" s="3599">
        <f t="shared" si="7"/>
        <v>5.7999999999999996E-3</v>
      </c>
      <c r="E52" s="3605"/>
      <c r="F52" s="3601"/>
      <c r="G52" s="3602">
        <v>5.7999999999999996E-3</v>
      </c>
      <c r="H52" s="3603">
        <f t="shared" si="8"/>
        <v>5.7999999999999996E-3</v>
      </c>
      <c r="I52" s="3577">
        <v>0.12</v>
      </c>
      <c r="J52" s="3604">
        <f t="shared" si="9"/>
        <v>1.1599999999999999E-2</v>
      </c>
      <c r="K52" s="3604">
        <f t="shared" si="10"/>
        <v>5.7999999999999996E-3</v>
      </c>
      <c r="L52" s="3604">
        <v>0</v>
      </c>
      <c r="M52" s="3604">
        <f t="shared" si="11"/>
        <v>-5.7999999999999996E-3</v>
      </c>
      <c r="N52" s="3604">
        <f t="shared" si="11"/>
        <v>-1.1599999999999999E-2</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t="s">
        <v>3278</v>
      </c>
      <c r="D53" s="3599">
        <f t="shared" si="7"/>
        <v>2.3999999999999998E-3</v>
      </c>
      <c r="E53" s="3605"/>
      <c r="F53" s="3601"/>
      <c r="G53" s="3602">
        <v>2.3999999999999998E-3</v>
      </c>
      <c r="H53" s="3603">
        <f t="shared" si="8"/>
        <v>2.3999999999999998E-3</v>
      </c>
      <c r="I53" s="3577">
        <v>0.05</v>
      </c>
      <c r="J53" s="3604">
        <f t="shared" si="9"/>
        <v>4.7999999999999996E-3</v>
      </c>
      <c r="K53" s="3604">
        <f t="shared" si="10"/>
        <v>2.3999999999999998E-3</v>
      </c>
      <c r="L53" s="3604">
        <v>0</v>
      </c>
      <c r="M53" s="3604">
        <f t="shared" si="11"/>
        <v>-2.3999999999999998E-3</v>
      </c>
      <c r="N53" s="3604">
        <f t="shared" si="11"/>
        <v>-4.7999999999999996E-3</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t="s">
        <v>3278</v>
      </c>
      <c r="D54" s="3599">
        <f t="shared" si="7"/>
        <v>3.8999999999999998E-3</v>
      </c>
      <c r="E54" s="3605"/>
      <c r="F54" s="3601"/>
      <c r="G54" s="3602">
        <v>3.8999999999999998E-3</v>
      </c>
      <c r="H54" s="3603">
        <f t="shared" si="8"/>
        <v>3.8999999999999998E-3</v>
      </c>
      <c r="I54" s="3577">
        <v>0.08</v>
      </c>
      <c r="J54" s="3604">
        <f t="shared" si="9"/>
        <v>7.7999999999999996E-3</v>
      </c>
      <c r="K54" s="3604">
        <f t="shared" si="10"/>
        <v>3.8999999999999998E-3</v>
      </c>
      <c r="L54" s="3604">
        <v>0</v>
      </c>
      <c r="M54" s="3604">
        <f t="shared" si="11"/>
        <v>-3.8999999999999998E-3</v>
      </c>
      <c r="N54" s="3604">
        <f t="shared" si="11"/>
        <v>-7.7999999999999996E-3</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t="s">
        <v>3278</v>
      </c>
      <c r="D55" s="3599">
        <f t="shared" si="7"/>
        <v>2.3999999999999998E-3</v>
      </c>
      <c r="E55" s="3605"/>
      <c r="F55" s="3601"/>
      <c r="G55" s="3602">
        <v>2.3999999999999998E-3</v>
      </c>
      <c r="H55" s="3603">
        <f t="shared" si="8"/>
        <v>2.3999999999999998E-3</v>
      </c>
      <c r="I55" s="3577">
        <v>0.05</v>
      </c>
      <c r="J55" s="3604">
        <f t="shared" si="9"/>
        <v>4.7999999999999996E-3</v>
      </c>
      <c r="K55" s="3604">
        <f t="shared" si="10"/>
        <v>2.3999999999999998E-3</v>
      </c>
      <c r="L55" s="3604">
        <v>0</v>
      </c>
      <c r="M55" s="3604">
        <f t="shared" si="11"/>
        <v>-2.3999999999999998E-3</v>
      </c>
      <c r="N55" s="3604">
        <f t="shared" si="11"/>
        <v>-4.7999999999999996E-3</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t="s">
        <v>3278</v>
      </c>
      <c r="D56" s="3599">
        <f t="shared" si="7"/>
        <v>2.3999999999999998E-3</v>
      </c>
      <c r="E56" s="3605"/>
      <c r="F56" s="3601"/>
      <c r="G56" s="3602">
        <v>2.3999999999999998E-3</v>
      </c>
      <c r="H56" s="3603">
        <f t="shared" si="8"/>
        <v>2.3999999999999998E-3</v>
      </c>
      <c r="I56" s="3577">
        <v>0.05</v>
      </c>
      <c r="J56" s="3604">
        <f t="shared" si="9"/>
        <v>4.7999999999999996E-3</v>
      </c>
      <c r="K56" s="3604">
        <f t="shared" si="10"/>
        <v>2.3999999999999998E-3</v>
      </c>
      <c r="L56" s="3604">
        <v>0</v>
      </c>
      <c r="M56" s="3604">
        <f t="shared" si="11"/>
        <v>-2.3999999999999998E-3</v>
      </c>
      <c r="N56" s="3604">
        <f t="shared" si="11"/>
        <v>-4.7999999999999996E-3</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t="s">
        <v>3280</v>
      </c>
      <c r="D57" s="3599">
        <f t="shared" si="7"/>
        <v>7.7999999999999996E-3</v>
      </c>
      <c r="E57" s="3605"/>
      <c r="F57" s="3601"/>
      <c r="G57" s="3602">
        <v>3.8999999999999998E-3</v>
      </c>
      <c r="H57" s="3603">
        <f t="shared" si="8"/>
        <v>3.8999999999999998E-3</v>
      </c>
      <c r="I57" s="3577">
        <v>0.08</v>
      </c>
      <c r="J57" s="3604">
        <f t="shared" si="9"/>
        <v>7.7999999999999996E-3</v>
      </c>
      <c r="K57" s="3604">
        <f t="shared" si="10"/>
        <v>3.8999999999999998E-3</v>
      </c>
      <c r="L57" s="3604">
        <v>0</v>
      </c>
      <c r="M57" s="3604">
        <f t="shared" si="11"/>
        <v>-3.8999999999999998E-3</v>
      </c>
      <c r="N57" s="3604">
        <f t="shared" si="11"/>
        <v>-7.7999999999999996E-3</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t="s">
        <v>3280</v>
      </c>
      <c r="D58" s="3599">
        <f t="shared" si="7"/>
        <v>4.7999999999999996E-3</v>
      </c>
      <c r="E58" s="3612"/>
      <c r="F58" s="3601"/>
      <c r="G58" s="3602">
        <v>2.3999999999999998E-3</v>
      </c>
      <c r="H58" s="3603">
        <f t="shared" si="8"/>
        <v>2.3999999999999998E-3</v>
      </c>
      <c r="I58" s="3579">
        <v>0.05</v>
      </c>
      <c r="J58" s="3604">
        <f t="shared" si="9"/>
        <v>4.7999999999999996E-3</v>
      </c>
      <c r="K58" s="3604">
        <f t="shared" si="10"/>
        <v>2.3999999999999998E-3</v>
      </c>
      <c r="L58" s="3604">
        <v>0</v>
      </c>
      <c r="M58" s="3604">
        <f t="shared" si="11"/>
        <v>-2.3999999999999998E-3</v>
      </c>
      <c r="N58" s="3604">
        <f t="shared" si="11"/>
        <v>-4.7999999999999996E-3</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3221</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3225</v>
      </c>
      <c r="B96" s="3578" t="s">
        <v>3226</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3227</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3234</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14" t="s">
        <v>1172</v>
      </c>
      <c r="B104" s="3914"/>
      <c r="C104" s="3914"/>
      <c r="D104" s="3914"/>
      <c r="E104" s="3914"/>
      <c r="F104" s="3914"/>
      <c r="G104" s="3914"/>
      <c r="H104" s="3914"/>
      <c r="I104" s="3914"/>
      <c r="J104" s="3914"/>
      <c r="K104" s="2103"/>
      <c r="L104" s="2103"/>
      <c r="M104" s="2103"/>
      <c r="N104" s="2103"/>
    </row>
    <row r="105" spans="1:36">
      <c r="A105" s="3915" t="s">
        <v>1161</v>
      </c>
      <c r="B105" s="3915" t="s">
        <v>1173</v>
      </c>
      <c r="C105" s="1041" t="s">
        <v>1174</v>
      </c>
      <c r="D105" s="1042"/>
      <c r="E105" s="1042"/>
      <c r="F105" s="1042"/>
      <c r="G105" s="1042"/>
      <c r="H105" s="1042"/>
      <c r="I105" s="1042"/>
      <c r="J105" s="1043"/>
      <c r="K105" s="1035"/>
      <c r="L105" s="1035"/>
      <c r="M105" s="1035"/>
      <c r="N105" s="1035"/>
    </row>
    <row r="106" spans="1:36">
      <c r="A106" s="3915"/>
      <c r="B106" s="3915"/>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21"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2"/>
      <c r="B112" s="1044" t="s">
        <v>3237</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2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11" t="s">
        <v>1175</v>
      </c>
      <c r="B114" s="3911"/>
      <c r="C114" s="3911"/>
      <c r="D114" s="3911"/>
      <c r="E114" s="3911"/>
      <c r="F114" s="3911"/>
      <c r="G114" s="3911"/>
      <c r="H114" s="3911"/>
      <c r="I114" s="3911"/>
      <c r="J114" s="3911"/>
      <c r="K114" s="2101"/>
      <c r="L114" s="2101"/>
      <c r="M114" s="2101"/>
      <c r="N114" s="2101"/>
    </row>
    <row r="116" spans="1:14" ht="12.75" thickBot="1"/>
    <row r="117" spans="1:14" ht="25.5" thickBot="1">
      <c r="A117" s="976" t="s">
        <v>831</v>
      </c>
      <c r="B117" s="2104">
        <f>G3</f>
        <v>3.25</v>
      </c>
      <c r="C117" s="977" t="s">
        <v>832</v>
      </c>
      <c r="D117" s="978" t="e">
        <f>SUMPRODUCT((A118:A122=F116)*(B117:M117=H116)*B118:M122)</f>
        <v>#VALUE!</v>
      </c>
      <c r="E117" s="979" t="s">
        <v>833</v>
      </c>
      <c r="F117" s="980" t="str">
        <f>E2</f>
        <v>商业</v>
      </c>
      <c r="G117" s="979" t="s">
        <v>834</v>
      </c>
      <c r="H117" s="980" t="str">
        <f>G2</f>
        <v>四级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0.96109999999999995</v>
      </c>
      <c r="C119" s="3575">
        <f>B119</f>
        <v>0.96109999999999995</v>
      </c>
      <c r="D119" s="3575">
        <f>ROUND(0.949-0.014*B117,4)</f>
        <v>0.90349999999999997</v>
      </c>
      <c r="E119" s="3575">
        <f>D119</f>
        <v>0.90349999999999997</v>
      </c>
      <c r="F119" s="3575">
        <f>E119</f>
        <v>0.90349999999999997</v>
      </c>
      <c r="G119" s="3575">
        <f>F119</f>
        <v>0.90349999999999997</v>
      </c>
      <c r="H119" s="3575">
        <f>G119</f>
        <v>0.90349999999999997</v>
      </c>
      <c r="I119" s="3575">
        <f>ROUND(0.8486-0.018*B117,4)</f>
        <v>0.79010000000000002</v>
      </c>
      <c r="J119" s="3575">
        <f t="shared" ref="J119:M123" si="35">I119</f>
        <v>0.79010000000000002</v>
      </c>
      <c r="K119" s="3575">
        <f t="shared" si="35"/>
        <v>0.79010000000000002</v>
      </c>
      <c r="L119" s="3575">
        <f t="shared" si="35"/>
        <v>0.79010000000000002</v>
      </c>
      <c r="M119" s="3636">
        <f t="shared" si="35"/>
        <v>0.79010000000000002</v>
      </c>
    </row>
    <row r="120" spans="1:14" ht="12.75">
      <c r="A120" s="3633" t="s">
        <v>3239</v>
      </c>
      <c r="B120" s="3575">
        <f>ROUND(0.993-0.0112*B117,4)</f>
        <v>0.95660000000000001</v>
      </c>
      <c r="C120" s="3575">
        <f>B120</f>
        <v>0.95660000000000001</v>
      </c>
      <c r="D120" s="3575">
        <f>ROUND(0.9415-0.0142*B117,4)</f>
        <v>0.89539999999999997</v>
      </c>
      <c r="E120" s="3575">
        <f t="shared" ref="E120:H121" si="36">D120</f>
        <v>0.89539999999999997</v>
      </c>
      <c r="F120" s="3575">
        <f t="shared" si="36"/>
        <v>0.89539999999999997</v>
      </c>
      <c r="G120" s="3575">
        <f t="shared" si="36"/>
        <v>0.89539999999999997</v>
      </c>
      <c r="H120" s="3575">
        <f t="shared" si="36"/>
        <v>0.89539999999999997</v>
      </c>
      <c r="I120" s="3575">
        <f>ROUND(0.838-0.0182*B117,4)</f>
        <v>0.77890000000000004</v>
      </c>
      <c r="J120" s="3575">
        <f t="shared" si="35"/>
        <v>0.77890000000000004</v>
      </c>
      <c r="K120" s="3575">
        <f t="shared" si="35"/>
        <v>0.77890000000000004</v>
      </c>
      <c r="L120" s="3575">
        <f t="shared" si="35"/>
        <v>0.77890000000000004</v>
      </c>
      <c r="M120" s="3636">
        <f t="shared" si="35"/>
        <v>0.77890000000000004</v>
      </c>
    </row>
    <row r="121" spans="1:14" ht="12.75">
      <c r="A121" s="3633" t="s">
        <v>3240</v>
      </c>
      <c r="B121" s="3575">
        <f>ROUND(0.9448-0.0115*B117,4)</f>
        <v>0.90739999999999998</v>
      </c>
      <c r="C121" s="3575">
        <f>B121</f>
        <v>0.90739999999999998</v>
      </c>
      <c r="D121" s="3575">
        <f>ROUND(0.937-0.0145*B117,4)</f>
        <v>0.88990000000000002</v>
      </c>
      <c r="E121" s="3575">
        <f t="shared" si="36"/>
        <v>0.88990000000000002</v>
      </c>
      <c r="F121" s="3575">
        <f t="shared" si="36"/>
        <v>0.88990000000000002</v>
      </c>
      <c r="G121" s="3575">
        <f t="shared" si="36"/>
        <v>0.88990000000000002</v>
      </c>
      <c r="H121" s="3575">
        <f t="shared" si="36"/>
        <v>0.88990000000000002</v>
      </c>
      <c r="I121" s="3575">
        <f>ROUND(0.7965-0.0185*B117,4)</f>
        <v>0.73640000000000005</v>
      </c>
      <c r="J121" s="3575">
        <f t="shared" si="35"/>
        <v>0.73640000000000005</v>
      </c>
      <c r="K121" s="3575">
        <f t="shared" si="35"/>
        <v>0.73640000000000005</v>
      </c>
      <c r="L121" s="3575">
        <f t="shared" si="35"/>
        <v>0.73640000000000005</v>
      </c>
      <c r="M121" s="3636">
        <f t="shared" si="35"/>
        <v>0.73640000000000005</v>
      </c>
    </row>
    <row r="122" spans="1:14" ht="13.5" thickBot="1">
      <c r="A122" s="3634" t="s">
        <v>3241</v>
      </c>
      <c r="B122" s="3637">
        <f>ROUND(0.7836-0.012*B117,4)</f>
        <v>0.74460000000000004</v>
      </c>
      <c r="C122" s="3637">
        <f>B122</f>
        <v>0.74460000000000004</v>
      </c>
      <c r="D122" s="3637">
        <f>ROUND(0.753-0.015*B117,4)</f>
        <v>0.70430000000000004</v>
      </c>
      <c r="E122" s="3637">
        <f>D122</f>
        <v>0.70430000000000004</v>
      </c>
      <c r="F122" s="3637">
        <f>E122</f>
        <v>0.70430000000000004</v>
      </c>
      <c r="G122" s="3637">
        <f>ROUND(0.6612-0.018*B117,4)</f>
        <v>0.60270000000000001</v>
      </c>
      <c r="H122" s="3637">
        <f>G122</f>
        <v>0.60270000000000001</v>
      </c>
      <c r="I122" s="3637">
        <f>ROUND(0.5905-0.019*B117,4)</f>
        <v>0.52880000000000005</v>
      </c>
      <c r="J122" s="3637">
        <f t="shared" si="35"/>
        <v>0.52880000000000005</v>
      </c>
      <c r="K122" s="3637">
        <f t="shared" si="35"/>
        <v>0.52880000000000005</v>
      </c>
      <c r="L122" s="3637">
        <f t="shared" si="35"/>
        <v>0.52880000000000005</v>
      </c>
      <c r="M122" s="3638">
        <f t="shared" si="35"/>
        <v>0.52880000000000005</v>
      </c>
    </row>
    <row r="123" spans="1:14" ht="12.75">
      <c r="A123" s="3635" t="s">
        <v>3222</v>
      </c>
      <c r="B123" s="3575">
        <f>ROUND(0.9404-0.0106*B117,4)</f>
        <v>0.90600000000000003</v>
      </c>
      <c r="C123" s="3575">
        <f>B123</f>
        <v>0.90600000000000003</v>
      </c>
      <c r="D123" s="3575">
        <f>ROUND(0.8955-0.0135*B117,4)</f>
        <v>0.85160000000000002</v>
      </c>
      <c r="E123" s="3575">
        <f t="shared" ref="E123:H123" si="37">D123</f>
        <v>0.85160000000000002</v>
      </c>
      <c r="F123" s="3575">
        <f t="shared" si="37"/>
        <v>0.85160000000000002</v>
      </c>
      <c r="G123" s="3575">
        <f t="shared" si="37"/>
        <v>0.85160000000000002</v>
      </c>
      <c r="H123" s="3575">
        <f t="shared" si="37"/>
        <v>0.85160000000000002</v>
      </c>
      <c r="I123" s="3575">
        <f>ROUND(0.7632-0.0166*B117,4)</f>
        <v>0.70930000000000004</v>
      </c>
      <c r="J123" s="3575">
        <f t="shared" si="35"/>
        <v>0.70930000000000004</v>
      </c>
      <c r="K123" s="3575">
        <f t="shared" si="35"/>
        <v>0.70930000000000004</v>
      </c>
      <c r="L123" s="3575">
        <f t="shared" si="35"/>
        <v>0.70930000000000004</v>
      </c>
      <c r="M123" s="3636">
        <f t="shared" si="35"/>
        <v>0.70930000000000004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42" priority="7" stopIfTrue="1" operator="notEqual">
      <formula>"——"</formula>
    </cfRule>
  </conditionalFormatting>
  <conditionalFormatting sqref="F61">
    <cfRule type="cellIs" dxfId="141" priority="6" stopIfTrue="1" operator="notEqual">
      <formula>"——"</formula>
    </cfRule>
  </conditionalFormatting>
  <conditionalFormatting sqref="F72">
    <cfRule type="cellIs" dxfId="140" priority="5" stopIfTrue="1" operator="notEqual">
      <formula>"——"</formula>
    </cfRule>
  </conditionalFormatting>
  <conditionalFormatting sqref="F83">
    <cfRule type="cellIs" dxfId="139" priority="4" stopIfTrue="1" operator="notEqual">
      <formula>"——"</formula>
    </cfRule>
  </conditionalFormatting>
  <conditionalFormatting sqref="H50:H58 H72:H80 H83:H91 H93:H102 H61:H69">
    <cfRule type="cellIs" dxfId="13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2765</v>
      </c>
      <c r="B1" s="1013" t="s">
        <v>990</v>
      </c>
      <c r="C1" s="1013" t="s">
        <v>1031</v>
      </c>
      <c r="D1" s="1013" t="s">
        <v>1145</v>
      </c>
      <c r="E1" s="1013" t="s">
        <v>853</v>
      </c>
      <c r="F1" s="1013" t="s">
        <v>1152</v>
      </c>
      <c r="G1" s="1013" t="s">
        <v>1153</v>
      </c>
      <c r="H1" s="1013" t="s">
        <v>1154</v>
      </c>
      <c r="I1" s="1013" t="s">
        <v>1155</v>
      </c>
      <c r="J1" s="1013" t="s">
        <v>1156</v>
      </c>
      <c r="K1" s="1013" t="s">
        <v>1157</v>
      </c>
      <c r="L1" s="1013" t="s">
        <v>2766</v>
      </c>
      <c r="M1" s="1014" t="s">
        <v>2767</v>
      </c>
    </row>
    <row r="2" spans="1:13">
      <c r="A2" s="3234" t="s">
        <v>2742</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2768</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2740</v>
      </c>
      <c r="B7" s="3248">
        <v>2.5</v>
      </c>
      <c r="C7" s="3248">
        <v>2.5</v>
      </c>
      <c r="D7" s="3248">
        <v>2</v>
      </c>
      <c r="E7" s="3248">
        <v>2</v>
      </c>
      <c r="F7" s="3248">
        <v>2</v>
      </c>
      <c r="G7" s="3248">
        <v>2</v>
      </c>
      <c r="H7" s="3248">
        <v>2</v>
      </c>
      <c r="I7" s="3249">
        <v>1.5</v>
      </c>
      <c r="J7" s="3249">
        <v>1.5</v>
      </c>
      <c r="K7" s="3249">
        <v>1.5</v>
      </c>
      <c r="L7" s="3249">
        <v>1.5</v>
      </c>
      <c r="M7" s="3250">
        <v>1.5</v>
      </c>
    </row>
    <row r="8" spans="1:13">
      <c r="A8" s="1027" t="s">
        <v>2769</v>
      </c>
      <c r="B8" s="3251">
        <v>80</v>
      </c>
      <c r="C8" s="3251">
        <v>80</v>
      </c>
      <c r="D8" s="3251">
        <v>70</v>
      </c>
      <c r="E8" s="3251">
        <v>70</v>
      </c>
      <c r="F8" s="3251">
        <v>70</v>
      </c>
      <c r="G8" s="3251">
        <v>70</v>
      </c>
      <c r="H8" s="3251">
        <v>70</v>
      </c>
      <c r="I8" s="3251">
        <v>60</v>
      </c>
      <c r="J8" s="3251">
        <v>60</v>
      </c>
      <c r="K8" s="3251">
        <v>60</v>
      </c>
      <c r="L8" s="3251">
        <v>60</v>
      </c>
      <c r="M8" s="3252">
        <v>60</v>
      </c>
    </row>
    <row r="9" spans="1:13">
      <c r="A9" s="1009" t="s">
        <v>2770</v>
      </c>
      <c r="B9" s="3253">
        <v>70</v>
      </c>
      <c r="C9" s="3253">
        <v>70</v>
      </c>
      <c r="D9" s="3253">
        <v>60</v>
      </c>
      <c r="E9" s="3253">
        <v>60</v>
      </c>
      <c r="F9" s="3253">
        <v>60</v>
      </c>
      <c r="G9" s="3253">
        <v>60</v>
      </c>
      <c r="H9" s="3253">
        <v>60</v>
      </c>
      <c r="I9" s="3253">
        <v>50</v>
      </c>
      <c r="J9" s="3253">
        <v>50</v>
      </c>
      <c r="K9" s="3253">
        <v>50</v>
      </c>
      <c r="L9" s="3253">
        <v>50</v>
      </c>
      <c r="M9" s="3254">
        <v>50</v>
      </c>
    </row>
    <row r="10" spans="1:13">
      <c r="A10" s="1009" t="s">
        <v>2771</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2772</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2773</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2774</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2775</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2776</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2777</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2459</v>
      </c>
      <c r="B19" s="3257" t="s">
        <v>2460</v>
      </c>
      <c r="C19" s="3258" t="s">
        <v>2461</v>
      </c>
      <c r="D19" s="3259"/>
      <c r="E19" s="3253" t="s">
        <v>2462</v>
      </c>
      <c r="F19" s="1033"/>
      <c r="G19" s="1033"/>
    </row>
    <row r="20" spans="1:13" s="1408" customFormat="1">
      <c r="A20" s="3930" t="s">
        <v>2453</v>
      </c>
      <c r="B20" s="3933" t="s">
        <v>2463</v>
      </c>
      <c r="C20" s="3260" t="s">
        <v>2464</v>
      </c>
      <c r="D20" s="3261"/>
      <c r="E20" s="3262">
        <v>1</v>
      </c>
      <c r="F20" s="3263" t="s">
        <v>2465</v>
      </c>
      <c r="G20" s="1035"/>
      <c r="H20" s="1025"/>
      <c r="I20" s="1025"/>
    </row>
    <row r="21" spans="1:13" s="1408" customFormat="1">
      <c r="A21" s="3931"/>
      <c r="B21" s="3929"/>
      <c r="C21" s="3264" t="s">
        <v>2466</v>
      </c>
      <c r="D21" s="3265"/>
      <c r="E21" s="3266">
        <v>1</v>
      </c>
      <c r="F21" s="3263" t="s">
        <v>2467</v>
      </c>
      <c r="G21" s="1035"/>
      <c r="H21" s="1025"/>
      <c r="I21" s="1025"/>
    </row>
    <row r="22" spans="1:13" s="1408" customFormat="1">
      <c r="A22" s="3931"/>
      <c r="B22" s="3929"/>
      <c r="C22" s="3264" t="s">
        <v>2468</v>
      </c>
      <c r="D22" s="3265"/>
      <c r="E22" s="3266">
        <v>0.9</v>
      </c>
      <c r="F22" s="3263" t="s">
        <v>2469</v>
      </c>
      <c r="G22" s="1035"/>
      <c r="H22" s="1025"/>
      <c r="I22" s="1025"/>
    </row>
    <row r="23" spans="1:13" s="1408" customFormat="1">
      <c r="A23" s="3931"/>
      <c r="B23" s="3929"/>
      <c r="C23" s="3264" t="s">
        <v>2470</v>
      </c>
      <c r="D23" s="3265"/>
      <c r="E23" s="3266">
        <v>0.9</v>
      </c>
      <c r="F23" s="3263" t="s">
        <v>2471</v>
      </c>
      <c r="G23" s="1035"/>
      <c r="H23" s="1025"/>
      <c r="I23" s="1025"/>
    </row>
    <row r="24" spans="1:13" s="1408" customFormat="1">
      <c r="A24" s="3931"/>
      <c r="B24" s="3929"/>
      <c r="C24" s="3264" t="s">
        <v>2472</v>
      </c>
      <c r="D24" s="3265"/>
      <c r="E24" s="3266">
        <v>0.8</v>
      </c>
      <c r="F24" s="3263" t="s">
        <v>2473</v>
      </c>
      <c r="G24" s="1035"/>
      <c r="H24" s="1025"/>
      <c r="I24" s="1025"/>
    </row>
    <row r="25" spans="1:13" s="1408" customFormat="1" ht="14.25" thickBot="1">
      <c r="A25" s="3932"/>
      <c r="B25" s="3934"/>
      <c r="C25" s="3267" t="s">
        <v>2474</v>
      </c>
      <c r="D25" s="3268"/>
      <c r="E25" s="3269">
        <v>0.8</v>
      </c>
      <c r="F25" s="3263" t="s">
        <v>2475</v>
      </c>
      <c r="G25" s="1035"/>
      <c r="H25" s="1025"/>
      <c r="I25" s="1025"/>
    </row>
    <row r="26" spans="1:13" s="1408" customFormat="1" ht="14.25" thickBot="1">
      <c r="A26" s="3270" t="s">
        <v>2454</v>
      </c>
      <c r="B26" s="3271" t="s">
        <v>2463</v>
      </c>
      <c r="C26" s="3272" t="s">
        <v>2476</v>
      </c>
      <c r="D26" s="3273"/>
      <c r="E26" s="3274">
        <v>1</v>
      </c>
      <c r="F26" s="3263" t="s">
        <v>2477</v>
      </c>
      <c r="G26" s="1035"/>
      <c r="H26" s="1025"/>
      <c r="I26" s="1025"/>
    </row>
    <row r="27" spans="1:13" s="1408" customFormat="1">
      <c r="A27" s="3935" t="s">
        <v>2458</v>
      </c>
      <c r="B27" s="3933" t="s">
        <v>2458</v>
      </c>
      <c r="C27" s="3260" t="s">
        <v>2478</v>
      </c>
      <c r="D27" s="3261"/>
      <c r="E27" s="3262">
        <v>1</v>
      </c>
      <c r="F27" s="3263" t="s">
        <v>2479</v>
      </c>
      <c r="G27" s="1035"/>
      <c r="H27" s="1025"/>
      <c r="I27" s="1025"/>
    </row>
    <row r="28" spans="1:13" s="1408" customFormat="1">
      <c r="A28" s="3936"/>
      <c r="B28" s="3929"/>
      <c r="C28" s="3264" t="s">
        <v>2480</v>
      </c>
      <c r="D28" s="3265"/>
      <c r="E28" s="3266">
        <v>1</v>
      </c>
      <c r="F28" s="3263" t="s">
        <v>2481</v>
      </c>
      <c r="G28" s="1035"/>
      <c r="H28" s="1025"/>
      <c r="I28" s="1025"/>
    </row>
    <row r="29" spans="1:13" s="1408" customFormat="1">
      <c r="A29" s="3936"/>
      <c r="B29" s="3929"/>
      <c r="C29" s="3264" t="s">
        <v>2482</v>
      </c>
      <c r="D29" s="3265"/>
      <c r="E29" s="3266">
        <v>0.8</v>
      </c>
      <c r="F29" s="3263" t="s">
        <v>2483</v>
      </c>
      <c r="G29" s="1035"/>
      <c r="H29" s="1025"/>
      <c r="I29" s="1025"/>
    </row>
    <row r="30" spans="1:13" s="1408" customFormat="1">
      <c r="A30" s="3936"/>
      <c r="B30" s="3929"/>
      <c r="C30" s="3264" t="s">
        <v>2484</v>
      </c>
      <c r="D30" s="3265"/>
      <c r="E30" s="3266">
        <v>0.8</v>
      </c>
      <c r="F30" s="3263" t="s">
        <v>2485</v>
      </c>
      <c r="G30" s="1035"/>
      <c r="H30" s="1025"/>
      <c r="I30" s="1025"/>
    </row>
    <row r="31" spans="1:13" s="1408" customFormat="1">
      <c r="A31" s="3936"/>
      <c r="B31" s="3929"/>
      <c r="C31" s="3264" t="s">
        <v>2486</v>
      </c>
      <c r="D31" s="3265"/>
      <c r="E31" s="3266">
        <v>0.8</v>
      </c>
      <c r="F31" s="3263" t="s">
        <v>2487</v>
      </c>
      <c r="G31" s="1035"/>
      <c r="H31" s="1025"/>
      <c r="I31" s="1025"/>
    </row>
    <row r="32" spans="1:13" s="1408" customFormat="1">
      <c r="A32" s="3936"/>
      <c r="B32" s="3929"/>
      <c r="C32" s="3264" t="s">
        <v>2488</v>
      </c>
      <c r="D32" s="3265"/>
      <c r="E32" s="3266">
        <v>0.7</v>
      </c>
      <c r="F32" s="3263" t="s">
        <v>2489</v>
      </c>
      <c r="G32" s="1035"/>
      <c r="H32" s="1025"/>
      <c r="I32" s="1025"/>
    </row>
    <row r="33" spans="1:9" s="1408" customFormat="1">
      <c r="A33" s="3936"/>
      <c r="B33" s="3929"/>
      <c r="C33" s="3264" t="s">
        <v>2490</v>
      </c>
      <c r="D33" s="3265"/>
      <c r="E33" s="3266">
        <v>0.8</v>
      </c>
      <c r="F33" s="3263" t="s">
        <v>2491</v>
      </c>
      <c r="G33" s="1035"/>
      <c r="H33" s="1025"/>
      <c r="I33" s="1025"/>
    </row>
    <row r="34" spans="1:9" s="1408" customFormat="1">
      <c r="A34" s="3936"/>
      <c r="B34" s="3929"/>
      <c r="C34" s="3264" t="s">
        <v>2492</v>
      </c>
      <c r="D34" s="3265"/>
      <c r="E34" s="3266">
        <v>0.6</v>
      </c>
      <c r="F34" s="3263" t="s">
        <v>2493</v>
      </c>
      <c r="G34" s="1035"/>
      <c r="H34" s="1025"/>
      <c r="I34" s="1025"/>
    </row>
    <row r="35" spans="1:9" s="1408" customFormat="1">
      <c r="A35" s="3936"/>
      <c r="B35" s="3929"/>
      <c r="C35" s="3264" t="s">
        <v>2494</v>
      </c>
      <c r="D35" s="3265"/>
      <c r="E35" s="3266">
        <v>0.2</v>
      </c>
      <c r="F35" s="3263" t="s">
        <v>2495</v>
      </c>
      <c r="G35" s="1035"/>
      <c r="H35" s="1025"/>
      <c r="I35" s="1025"/>
    </row>
    <row r="36" spans="1:9" s="1408" customFormat="1">
      <c r="A36" s="3936"/>
      <c r="B36" s="3929"/>
      <c r="C36" s="3264" t="s">
        <v>2496</v>
      </c>
      <c r="D36" s="3265"/>
      <c r="E36" s="3266">
        <v>0.2</v>
      </c>
      <c r="F36" s="3263" t="s">
        <v>2497</v>
      </c>
      <c r="G36" s="1035"/>
      <c r="H36" s="1025"/>
      <c r="I36" s="1025"/>
    </row>
    <row r="37" spans="1:9" s="1408" customFormat="1">
      <c r="A37" s="3936"/>
      <c r="B37" s="3927" t="s">
        <v>2498</v>
      </c>
      <c r="C37" s="3264" t="s">
        <v>2499</v>
      </c>
      <c r="D37" s="3265"/>
      <c r="E37" s="3266">
        <v>0.6</v>
      </c>
      <c r="F37" s="3263" t="s">
        <v>2500</v>
      </c>
      <c r="G37" s="1035"/>
      <c r="H37" s="1025"/>
      <c r="I37" s="1025"/>
    </row>
    <row r="38" spans="1:9" s="1408" customFormat="1">
      <c r="A38" s="3936"/>
      <c r="B38" s="3929"/>
      <c r="C38" s="3264" t="s">
        <v>2501</v>
      </c>
      <c r="D38" s="3265"/>
      <c r="E38" s="3266">
        <v>0.6</v>
      </c>
      <c r="F38" s="3263" t="s">
        <v>2502</v>
      </c>
      <c r="G38" s="1035"/>
      <c r="H38" s="1025"/>
      <c r="I38" s="1025"/>
    </row>
    <row r="39" spans="1:9" s="1408" customFormat="1" ht="14.25" thickBot="1">
      <c r="A39" s="3937"/>
      <c r="B39" s="3934"/>
      <c r="C39" s="3267" t="s">
        <v>2503</v>
      </c>
      <c r="D39" s="3268"/>
      <c r="E39" s="3269">
        <v>0.6</v>
      </c>
      <c r="F39" s="3263" t="s">
        <v>2504</v>
      </c>
      <c r="G39" s="1035"/>
      <c r="H39" s="1025"/>
      <c r="I39" s="1025"/>
    </row>
    <row r="40" spans="1:9" s="1408" customFormat="1" ht="14.25" thickBot="1">
      <c r="A40" s="3270" t="s">
        <v>2455</v>
      </c>
      <c r="B40" s="3271" t="s">
        <v>2455</v>
      </c>
      <c r="C40" s="3272" t="s">
        <v>2505</v>
      </c>
      <c r="D40" s="3273"/>
      <c r="E40" s="3274">
        <v>1</v>
      </c>
      <c r="F40" s="3263" t="s">
        <v>2506</v>
      </c>
      <c r="G40" s="1035"/>
      <c r="H40" s="1025"/>
      <c r="I40" s="1025"/>
    </row>
    <row r="41" spans="1:9" s="1408" customFormat="1">
      <c r="A41" s="3930" t="s">
        <v>2456</v>
      </c>
      <c r="B41" s="3933" t="s">
        <v>2507</v>
      </c>
      <c r="C41" s="3260" t="s">
        <v>2508</v>
      </c>
      <c r="D41" s="3261"/>
      <c r="E41" s="3262">
        <v>1</v>
      </c>
      <c r="F41" s="3263" t="s">
        <v>2509</v>
      </c>
      <c r="G41" s="1035"/>
      <c r="H41" s="1025"/>
      <c r="I41" s="1025"/>
    </row>
    <row r="42" spans="1:9" s="1408" customFormat="1">
      <c r="A42" s="3931"/>
      <c r="B42" s="3929"/>
      <c r="C42" s="3264" t="s">
        <v>2510</v>
      </c>
      <c r="D42" s="3265"/>
      <c r="E42" s="3266">
        <v>1</v>
      </c>
      <c r="F42" s="3263" t="s">
        <v>2511</v>
      </c>
      <c r="G42" s="1035"/>
      <c r="H42" s="1025"/>
      <c r="I42" s="1025"/>
    </row>
    <row r="43" spans="1:9" s="1408" customFormat="1">
      <c r="A43" s="3931"/>
      <c r="B43" s="3928"/>
      <c r="C43" s="3264" t="s">
        <v>2512</v>
      </c>
      <c r="D43" s="3265"/>
      <c r="E43" s="3266">
        <v>1.5</v>
      </c>
      <c r="F43" s="3263" t="s">
        <v>2513</v>
      </c>
      <c r="G43" s="1035"/>
      <c r="H43" s="1025"/>
      <c r="I43" s="1025"/>
    </row>
    <row r="44" spans="1:9" s="1408" customFormat="1">
      <c r="A44" s="3931"/>
      <c r="B44" s="3275" t="s">
        <v>2458</v>
      </c>
      <c r="C44" s="3264" t="s">
        <v>2457</v>
      </c>
      <c r="D44" s="3265"/>
      <c r="E44" s="3266">
        <v>2</v>
      </c>
      <c r="F44" s="3263" t="s">
        <v>2514</v>
      </c>
      <c r="G44" s="1035"/>
      <c r="H44" s="1025"/>
      <c r="I44" s="1025"/>
    </row>
    <row r="45" spans="1:9" s="1408" customFormat="1">
      <c r="A45" s="3931"/>
      <c r="B45" s="3927" t="s">
        <v>2515</v>
      </c>
      <c r="C45" s="3264" t="s">
        <v>2516</v>
      </c>
      <c r="D45" s="3265"/>
      <c r="E45" s="3266">
        <v>1</v>
      </c>
      <c r="F45" s="3263" t="s">
        <v>2517</v>
      </c>
      <c r="G45" s="1035"/>
      <c r="H45" s="1025"/>
      <c r="I45" s="1025"/>
    </row>
    <row r="46" spans="1:9" s="1408" customFormat="1">
      <c r="A46" s="3931"/>
      <c r="B46" s="3929"/>
      <c r="C46" s="3264" t="s">
        <v>2518</v>
      </c>
      <c r="D46" s="3265"/>
      <c r="E46" s="3266">
        <v>1</v>
      </c>
      <c r="F46" s="3263" t="s">
        <v>2519</v>
      </c>
      <c r="G46" s="1035"/>
      <c r="H46" s="1025"/>
      <c r="I46" s="1025"/>
    </row>
    <row r="47" spans="1:9" s="1408" customFormat="1">
      <c r="A47" s="3931"/>
      <c r="B47" s="3929"/>
      <c r="C47" s="3264" t="s">
        <v>2520</v>
      </c>
      <c r="D47" s="3265"/>
      <c r="E47" s="3266">
        <v>1</v>
      </c>
      <c r="F47" s="3263" t="s">
        <v>2521</v>
      </c>
      <c r="G47" s="1035"/>
      <c r="H47" s="1025"/>
      <c r="I47" s="1025"/>
    </row>
    <row r="48" spans="1:9" s="1408" customFormat="1">
      <c r="A48" s="3931"/>
      <c r="B48" s="3929"/>
      <c r="C48" s="3264" t="s">
        <v>2522</v>
      </c>
      <c r="D48" s="3265"/>
      <c r="E48" s="3266">
        <v>1</v>
      </c>
      <c r="F48" s="3263" t="s">
        <v>2523</v>
      </c>
      <c r="G48" s="1035"/>
      <c r="H48" s="1025"/>
      <c r="I48" s="1025"/>
    </row>
    <row r="49" spans="1:9" s="1408" customFormat="1">
      <c r="A49" s="3931"/>
      <c r="B49" s="3929"/>
      <c r="C49" s="3264" t="s">
        <v>2524</v>
      </c>
      <c r="D49" s="3265"/>
      <c r="E49" s="3266">
        <v>1</v>
      </c>
      <c r="F49" s="3263" t="s">
        <v>2525</v>
      </c>
      <c r="G49" s="1035"/>
      <c r="H49" s="1025"/>
      <c r="I49" s="1025"/>
    </row>
    <row r="50" spans="1:9" s="1408" customFormat="1">
      <c r="A50" s="3931"/>
      <c r="B50" s="3929"/>
      <c r="C50" s="3264" t="s">
        <v>2526</v>
      </c>
      <c r="D50" s="3265"/>
      <c r="E50" s="3266">
        <v>1</v>
      </c>
      <c r="F50" s="3263" t="s">
        <v>2527</v>
      </c>
      <c r="G50" s="1035"/>
      <c r="H50" s="1025"/>
      <c r="I50" s="1025"/>
    </row>
    <row r="51" spans="1:9" s="1408" customFormat="1" ht="14.25" thickBot="1">
      <c r="A51" s="3932"/>
      <c r="B51" s="3934"/>
      <c r="C51" s="3267" t="s">
        <v>2528</v>
      </c>
      <c r="D51" s="3268"/>
      <c r="E51" s="3269">
        <v>1</v>
      </c>
      <c r="F51" s="3263" t="s">
        <v>2529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2778</v>
      </c>
      <c r="F56" s="1032" t="s">
        <v>2778</v>
      </c>
      <c r="G56" s="1032" t="s">
        <v>2778</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2530</v>
      </c>
      <c r="D72" s="1053"/>
      <c r="E72" s="1040" t="s">
        <v>1159</v>
      </c>
      <c r="F72" s="1053" t="s">
        <v>1159</v>
      </c>
    </row>
    <row r="73" spans="1:8" s="1025" customFormat="1">
      <c r="A73" s="3275">
        <v>1</v>
      </c>
      <c r="B73" s="3927" t="s">
        <v>2531</v>
      </c>
      <c r="C73" s="3253" t="s">
        <v>2532</v>
      </c>
      <c r="D73" s="3253" t="s">
        <v>2533</v>
      </c>
      <c r="E73" s="3276">
        <v>0.2</v>
      </c>
      <c r="F73" s="3275">
        <v>25</v>
      </c>
      <c r="H73" s="1025">
        <f>SUMIF(C71:C139,'基准地价（商业）'!C8,E71:E139)</f>
        <v>0</v>
      </c>
    </row>
    <row r="74" spans="1:8" s="1025" customFormat="1" ht="24">
      <c r="A74" s="3275">
        <v>2</v>
      </c>
      <c r="B74" s="3929"/>
      <c r="C74" s="3253" t="s">
        <v>2534</v>
      </c>
      <c r="D74" s="3253" t="s">
        <v>2535</v>
      </c>
      <c r="E74" s="3276">
        <v>0.2</v>
      </c>
      <c r="F74" s="3275">
        <v>25</v>
      </c>
    </row>
    <row r="75" spans="1:8" s="1025" customFormat="1" ht="24">
      <c r="A75" s="3275">
        <v>3</v>
      </c>
      <c r="B75" s="3929"/>
      <c r="C75" s="3253" t="s">
        <v>2536</v>
      </c>
      <c r="D75" s="3253" t="s">
        <v>2537</v>
      </c>
      <c r="E75" s="3276">
        <v>0.2</v>
      </c>
      <c r="F75" s="3275">
        <v>25</v>
      </c>
    </row>
    <row r="76" spans="1:8" s="1025" customFormat="1">
      <c r="A76" s="3275">
        <v>4</v>
      </c>
      <c r="B76" s="3929"/>
      <c r="C76" s="3253" t="s">
        <v>2538</v>
      </c>
      <c r="D76" s="3253" t="s">
        <v>2539</v>
      </c>
      <c r="E76" s="3276">
        <v>0.15</v>
      </c>
      <c r="F76" s="3275">
        <v>20</v>
      </c>
    </row>
    <row r="77" spans="1:8" s="1025" customFormat="1" ht="24">
      <c r="A77" s="3275">
        <v>5</v>
      </c>
      <c r="B77" s="3929"/>
      <c r="C77" s="3253" t="s">
        <v>2540</v>
      </c>
      <c r="D77" s="3253" t="s">
        <v>2541</v>
      </c>
      <c r="E77" s="3276">
        <v>0.15</v>
      </c>
      <c r="F77" s="3275">
        <v>20</v>
      </c>
    </row>
    <row r="78" spans="1:8" s="1025" customFormat="1" ht="24">
      <c r="A78" s="3275">
        <v>6</v>
      </c>
      <c r="B78" s="3929"/>
      <c r="C78" s="3253" t="s">
        <v>2542</v>
      </c>
      <c r="D78" s="3253" t="s">
        <v>2543</v>
      </c>
      <c r="E78" s="3276">
        <v>0.15</v>
      </c>
      <c r="F78" s="3275">
        <v>20</v>
      </c>
    </row>
    <row r="79" spans="1:8" s="1025" customFormat="1" ht="24">
      <c r="A79" s="3275">
        <v>7</v>
      </c>
      <c r="B79" s="3929"/>
      <c r="C79" s="3253" t="s">
        <v>2544</v>
      </c>
      <c r="D79" s="3253" t="s">
        <v>2545</v>
      </c>
      <c r="E79" s="3276">
        <v>0.15</v>
      </c>
      <c r="F79" s="3275">
        <v>20</v>
      </c>
    </row>
    <row r="80" spans="1:8" s="1025" customFormat="1" ht="24">
      <c r="A80" s="3275">
        <v>8</v>
      </c>
      <c r="B80" s="3929"/>
      <c r="C80" s="3253" t="s">
        <v>2546</v>
      </c>
      <c r="D80" s="3253" t="s">
        <v>2547</v>
      </c>
      <c r="E80" s="3276">
        <v>0.1</v>
      </c>
      <c r="F80" s="3275">
        <v>15</v>
      </c>
    </row>
    <row r="81" spans="1:6" s="1025" customFormat="1" ht="24">
      <c r="A81" s="3275">
        <v>9</v>
      </c>
      <c r="B81" s="3929"/>
      <c r="C81" s="3253" t="s">
        <v>2548</v>
      </c>
      <c r="D81" s="3253" t="s">
        <v>2549</v>
      </c>
      <c r="E81" s="3276">
        <v>0.1</v>
      </c>
      <c r="F81" s="3275">
        <v>15</v>
      </c>
    </row>
    <row r="82" spans="1:6" s="1025" customFormat="1" ht="24">
      <c r="A82" s="3275">
        <v>10</v>
      </c>
      <c r="B82" s="3929"/>
      <c r="C82" s="3253" t="s">
        <v>2550</v>
      </c>
      <c r="D82" s="3253" t="s">
        <v>2551</v>
      </c>
      <c r="E82" s="3276">
        <v>0.1</v>
      </c>
      <c r="F82" s="3275">
        <v>15</v>
      </c>
    </row>
    <row r="83" spans="1:6" s="1025" customFormat="1" ht="24">
      <c r="A83" s="3275">
        <v>11</v>
      </c>
      <c r="B83" s="3929"/>
      <c r="C83" s="3253" t="s">
        <v>2552</v>
      </c>
      <c r="D83" s="3253" t="s">
        <v>2553</v>
      </c>
      <c r="E83" s="3276">
        <v>0.1</v>
      </c>
      <c r="F83" s="3275">
        <v>15</v>
      </c>
    </row>
    <row r="84" spans="1:6" s="1025" customFormat="1" ht="24">
      <c r="A84" s="3275">
        <v>12</v>
      </c>
      <c r="B84" s="3929"/>
      <c r="C84" s="3253" t="s">
        <v>2554</v>
      </c>
      <c r="D84" s="3253" t="s">
        <v>2555</v>
      </c>
      <c r="E84" s="3276">
        <v>0.1</v>
      </c>
      <c r="F84" s="3275">
        <v>15</v>
      </c>
    </row>
    <row r="85" spans="1:6" s="1025" customFormat="1">
      <c r="A85" s="3275">
        <v>13</v>
      </c>
      <c r="B85" s="3929"/>
      <c r="C85" s="3253" t="s">
        <v>2556</v>
      </c>
      <c r="D85" s="3253" t="s">
        <v>2557</v>
      </c>
      <c r="E85" s="3276">
        <v>0.1</v>
      </c>
      <c r="F85" s="3275">
        <v>15</v>
      </c>
    </row>
    <row r="86" spans="1:6" s="1025" customFormat="1">
      <c r="A86" s="3275">
        <v>14</v>
      </c>
      <c r="B86" s="3929"/>
      <c r="C86" s="3253" t="s">
        <v>2558</v>
      </c>
      <c r="D86" s="3253" t="s">
        <v>2559</v>
      </c>
      <c r="E86" s="3276">
        <v>0.1</v>
      </c>
      <c r="F86" s="3275">
        <v>15</v>
      </c>
    </row>
    <row r="87" spans="1:6" s="1025" customFormat="1">
      <c r="A87" s="3275">
        <v>15</v>
      </c>
      <c r="B87" s="3929"/>
      <c r="C87" s="3253" t="s">
        <v>2560</v>
      </c>
      <c r="D87" s="3253" t="s">
        <v>2561</v>
      </c>
      <c r="E87" s="3276">
        <v>0.1</v>
      </c>
      <c r="F87" s="3275">
        <v>15</v>
      </c>
    </row>
    <row r="88" spans="1:6" s="1025" customFormat="1" ht="24">
      <c r="A88" s="3275">
        <v>16</v>
      </c>
      <c r="B88" s="3929"/>
      <c r="C88" s="3253" t="s">
        <v>2562</v>
      </c>
      <c r="D88" s="3253" t="s">
        <v>2563</v>
      </c>
      <c r="E88" s="3276">
        <v>0.1</v>
      </c>
      <c r="F88" s="3275">
        <v>15</v>
      </c>
    </row>
    <row r="89" spans="1:6" s="1025" customFormat="1" ht="24">
      <c r="A89" s="3275">
        <v>17</v>
      </c>
      <c r="B89" s="3928"/>
      <c r="C89" s="3253" t="s">
        <v>2564</v>
      </c>
      <c r="D89" s="3253" t="s">
        <v>2565</v>
      </c>
      <c r="E89" s="3276">
        <v>0.1</v>
      </c>
      <c r="F89" s="3275">
        <v>15</v>
      </c>
    </row>
    <row r="90" spans="1:6" s="1025" customFormat="1">
      <c r="A90" s="3275">
        <v>18</v>
      </c>
      <c r="B90" s="3927" t="s">
        <v>2566</v>
      </c>
      <c r="C90" s="3253" t="s">
        <v>2567</v>
      </c>
      <c r="D90" s="3253" t="s">
        <v>2568</v>
      </c>
      <c r="E90" s="3276">
        <v>0.2</v>
      </c>
      <c r="F90" s="3275">
        <v>25</v>
      </c>
    </row>
    <row r="91" spans="1:6" s="1025" customFormat="1" ht="24">
      <c r="A91" s="3275">
        <v>19</v>
      </c>
      <c r="B91" s="3929"/>
      <c r="C91" s="3253" t="s">
        <v>2569</v>
      </c>
      <c r="D91" s="3253" t="s">
        <v>2570</v>
      </c>
      <c r="E91" s="3276">
        <v>0.2</v>
      </c>
      <c r="F91" s="3275">
        <v>25</v>
      </c>
    </row>
    <row r="92" spans="1:6" s="1025" customFormat="1">
      <c r="A92" s="3275">
        <v>20</v>
      </c>
      <c r="B92" s="3929"/>
      <c r="C92" s="3253" t="s">
        <v>2571</v>
      </c>
      <c r="D92" s="3253" t="s">
        <v>2572</v>
      </c>
      <c r="E92" s="3276">
        <v>0.15</v>
      </c>
      <c r="F92" s="3275">
        <v>20</v>
      </c>
    </row>
    <row r="93" spans="1:6" s="1025" customFormat="1" ht="24">
      <c r="A93" s="3275">
        <v>21</v>
      </c>
      <c r="B93" s="3929"/>
      <c r="C93" s="3253" t="s">
        <v>2573</v>
      </c>
      <c r="D93" s="3253" t="s">
        <v>2574</v>
      </c>
      <c r="E93" s="3276">
        <v>0.15</v>
      </c>
      <c r="F93" s="3275">
        <v>20</v>
      </c>
    </row>
    <row r="94" spans="1:6" s="1025" customFormat="1" ht="24">
      <c r="A94" s="3275">
        <v>22</v>
      </c>
      <c r="B94" s="3929"/>
      <c r="C94" s="3253" t="s">
        <v>2575</v>
      </c>
      <c r="D94" s="3253" t="s">
        <v>2576</v>
      </c>
      <c r="E94" s="3276">
        <v>0.15</v>
      </c>
      <c r="F94" s="3275">
        <v>20</v>
      </c>
    </row>
    <row r="95" spans="1:6" s="1025" customFormat="1" ht="36">
      <c r="A95" s="3275">
        <v>23</v>
      </c>
      <c r="B95" s="3929"/>
      <c r="C95" s="3253" t="s">
        <v>2577</v>
      </c>
      <c r="D95" s="3253" t="s">
        <v>2578</v>
      </c>
      <c r="E95" s="3276">
        <v>0.15</v>
      </c>
      <c r="F95" s="3275">
        <v>20</v>
      </c>
    </row>
    <row r="96" spans="1:6" s="1025" customFormat="1">
      <c r="A96" s="3275">
        <v>24</v>
      </c>
      <c r="B96" s="3929"/>
      <c r="C96" s="3253" t="s">
        <v>2579</v>
      </c>
      <c r="D96" s="3253" t="s">
        <v>2580</v>
      </c>
      <c r="E96" s="3276">
        <v>0.1</v>
      </c>
      <c r="F96" s="3275">
        <v>15</v>
      </c>
    </row>
    <row r="97" spans="1:6" s="1025" customFormat="1" ht="24">
      <c r="A97" s="3275">
        <v>25</v>
      </c>
      <c r="B97" s="3929"/>
      <c r="C97" s="3253" t="s">
        <v>2581</v>
      </c>
      <c r="D97" s="3253" t="s">
        <v>2582</v>
      </c>
      <c r="E97" s="3276">
        <v>0.1</v>
      </c>
      <c r="F97" s="3275">
        <v>15</v>
      </c>
    </row>
    <row r="98" spans="1:6" s="1025" customFormat="1" ht="24">
      <c r="A98" s="3275">
        <v>26</v>
      </c>
      <c r="B98" s="3929"/>
      <c r="C98" s="3253" t="s">
        <v>2583</v>
      </c>
      <c r="D98" s="3253" t="s">
        <v>2584</v>
      </c>
      <c r="E98" s="3276">
        <v>0.1</v>
      </c>
      <c r="F98" s="3275">
        <v>15</v>
      </c>
    </row>
    <row r="99" spans="1:6" s="1025" customFormat="1" ht="24">
      <c r="A99" s="3275">
        <v>27</v>
      </c>
      <c r="B99" s="3929"/>
      <c r="C99" s="3253" t="s">
        <v>2585</v>
      </c>
      <c r="D99" s="3253" t="s">
        <v>2586</v>
      </c>
      <c r="E99" s="3276">
        <v>0.1</v>
      </c>
      <c r="F99" s="3275">
        <v>15</v>
      </c>
    </row>
    <row r="100" spans="1:6" s="1025" customFormat="1" ht="24">
      <c r="A100" s="3275">
        <v>28</v>
      </c>
      <c r="B100" s="3929"/>
      <c r="C100" s="3253" t="s">
        <v>2587</v>
      </c>
      <c r="D100" s="3253" t="s">
        <v>2588</v>
      </c>
      <c r="E100" s="3276">
        <v>0.1</v>
      </c>
      <c r="F100" s="3275">
        <v>15</v>
      </c>
    </row>
    <row r="101" spans="1:6" s="1025" customFormat="1" ht="24">
      <c r="A101" s="3275">
        <v>29</v>
      </c>
      <c r="B101" s="3929"/>
      <c r="C101" s="3253" t="s">
        <v>2589</v>
      </c>
      <c r="D101" s="3253" t="s">
        <v>2590</v>
      </c>
      <c r="E101" s="3276">
        <v>0.1</v>
      </c>
      <c r="F101" s="3275">
        <v>15</v>
      </c>
    </row>
    <row r="102" spans="1:6" s="1025" customFormat="1" ht="24">
      <c r="A102" s="3275">
        <v>30</v>
      </c>
      <c r="B102" s="3929"/>
      <c r="C102" s="3253" t="s">
        <v>2591</v>
      </c>
      <c r="D102" s="3253" t="s">
        <v>2592</v>
      </c>
      <c r="E102" s="3276">
        <v>0.1</v>
      </c>
      <c r="F102" s="3275">
        <v>15</v>
      </c>
    </row>
    <row r="103" spans="1:6" s="1025" customFormat="1" ht="24">
      <c r="A103" s="3275">
        <v>31</v>
      </c>
      <c r="B103" s="3929"/>
      <c r="C103" s="3253" t="s">
        <v>2593</v>
      </c>
      <c r="D103" s="3253" t="s">
        <v>2594</v>
      </c>
      <c r="E103" s="3276">
        <v>0.1</v>
      </c>
      <c r="F103" s="3275">
        <v>15</v>
      </c>
    </row>
    <row r="104" spans="1:6" s="1025" customFormat="1" ht="24">
      <c r="A104" s="3275">
        <v>32</v>
      </c>
      <c r="B104" s="3929"/>
      <c r="C104" s="3253" t="s">
        <v>2595</v>
      </c>
      <c r="D104" s="3253" t="s">
        <v>2596</v>
      </c>
      <c r="E104" s="3276">
        <v>0.1</v>
      </c>
      <c r="F104" s="3275">
        <v>15</v>
      </c>
    </row>
    <row r="105" spans="1:6" s="1025" customFormat="1" ht="24">
      <c r="A105" s="3275">
        <v>33</v>
      </c>
      <c r="B105" s="3929"/>
      <c r="C105" s="3253" t="s">
        <v>2597</v>
      </c>
      <c r="D105" s="3253" t="s">
        <v>2598</v>
      </c>
      <c r="E105" s="3276">
        <v>0.1</v>
      </c>
      <c r="F105" s="3275">
        <v>15</v>
      </c>
    </row>
    <row r="106" spans="1:6" s="1025" customFormat="1" ht="24">
      <c r="A106" s="3275">
        <v>34</v>
      </c>
      <c r="B106" s="3928"/>
      <c r="C106" s="3253" t="s">
        <v>2599</v>
      </c>
      <c r="D106" s="3253" t="s">
        <v>2600</v>
      </c>
      <c r="E106" s="3276">
        <v>0.1</v>
      </c>
      <c r="F106" s="3275">
        <v>15</v>
      </c>
    </row>
    <row r="107" spans="1:6" s="1025" customFormat="1" ht="24">
      <c r="A107" s="3275">
        <v>35</v>
      </c>
      <c r="B107" s="3927" t="s">
        <v>2601</v>
      </c>
      <c r="C107" s="3275" t="s">
        <v>2602</v>
      </c>
      <c r="D107" s="3253" t="s">
        <v>2603</v>
      </c>
      <c r="E107" s="3276">
        <v>0.15</v>
      </c>
      <c r="F107" s="3275">
        <v>20</v>
      </c>
    </row>
    <row r="108" spans="1:6" s="1025" customFormat="1" ht="24">
      <c r="A108" s="3275">
        <v>36</v>
      </c>
      <c r="B108" s="3929"/>
      <c r="C108" s="3275" t="s">
        <v>2604</v>
      </c>
      <c r="D108" s="3253" t="s">
        <v>2605</v>
      </c>
      <c r="E108" s="3276">
        <v>0.15</v>
      </c>
      <c r="F108" s="3275">
        <v>20</v>
      </c>
    </row>
    <row r="109" spans="1:6" s="1025" customFormat="1" ht="24">
      <c r="A109" s="3275">
        <v>37</v>
      </c>
      <c r="B109" s="3929"/>
      <c r="C109" s="3275" t="s">
        <v>2606</v>
      </c>
      <c r="D109" s="3253" t="s">
        <v>2607</v>
      </c>
      <c r="E109" s="3276">
        <v>0.15</v>
      </c>
      <c r="F109" s="3275">
        <v>20</v>
      </c>
    </row>
    <row r="110" spans="1:6" s="1025" customFormat="1">
      <c r="A110" s="3275">
        <v>38</v>
      </c>
      <c r="B110" s="3929"/>
      <c r="C110" s="3275" t="s">
        <v>2608</v>
      </c>
      <c r="D110" s="3253" t="s">
        <v>2609</v>
      </c>
      <c r="E110" s="3276">
        <v>0.1</v>
      </c>
      <c r="F110" s="3275">
        <v>15</v>
      </c>
    </row>
    <row r="111" spans="1:6" s="1025" customFormat="1" ht="24">
      <c r="A111" s="3275">
        <v>39</v>
      </c>
      <c r="B111" s="3929"/>
      <c r="C111" s="3275" t="s">
        <v>2610</v>
      </c>
      <c r="D111" s="3253" t="s">
        <v>2611</v>
      </c>
      <c r="E111" s="3276">
        <v>0.1</v>
      </c>
      <c r="F111" s="3275">
        <v>15</v>
      </c>
    </row>
    <row r="112" spans="1:6" s="1025" customFormat="1" ht="24">
      <c r="A112" s="3275">
        <v>40</v>
      </c>
      <c r="B112" s="3928"/>
      <c r="C112" s="3275" t="s">
        <v>2612</v>
      </c>
      <c r="D112" s="3253" t="s">
        <v>2613</v>
      </c>
      <c r="E112" s="3276">
        <v>0.1</v>
      </c>
      <c r="F112" s="3275">
        <v>15</v>
      </c>
    </row>
    <row r="113" spans="1:6" s="1025" customFormat="1" ht="24">
      <c r="A113" s="3275">
        <v>41</v>
      </c>
      <c r="B113" s="3926" t="s">
        <v>2614</v>
      </c>
      <c r="C113" s="3275" t="s">
        <v>2615</v>
      </c>
      <c r="D113" s="3253" t="s">
        <v>2616</v>
      </c>
      <c r="E113" s="3276">
        <v>0.1</v>
      </c>
      <c r="F113" s="3275">
        <v>15</v>
      </c>
    </row>
    <row r="114" spans="1:6" s="1025" customFormat="1">
      <c r="A114" s="3275">
        <v>42</v>
      </c>
      <c r="B114" s="3926"/>
      <c r="C114" s="3275" t="s">
        <v>2617</v>
      </c>
      <c r="D114" s="3253" t="s">
        <v>2618</v>
      </c>
      <c r="E114" s="3276">
        <v>0.1</v>
      </c>
      <c r="F114" s="3275">
        <v>15</v>
      </c>
    </row>
    <row r="115" spans="1:6" s="1025" customFormat="1" ht="24">
      <c r="A115" s="3275">
        <v>43</v>
      </c>
      <c r="B115" s="3926"/>
      <c r="C115" s="3275" t="s">
        <v>2619</v>
      </c>
      <c r="D115" s="3253" t="s">
        <v>2620</v>
      </c>
      <c r="E115" s="3276">
        <v>0.1</v>
      </c>
      <c r="F115" s="3275">
        <v>15</v>
      </c>
    </row>
    <row r="116" spans="1:6" s="1025" customFormat="1" ht="24">
      <c r="A116" s="3275">
        <v>44</v>
      </c>
      <c r="B116" s="3927" t="s">
        <v>2621</v>
      </c>
      <c r="C116" s="3275" t="s">
        <v>2622</v>
      </c>
      <c r="D116" s="3253" t="s">
        <v>2623</v>
      </c>
      <c r="E116" s="3276">
        <v>0.1</v>
      </c>
      <c r="F116" s="3275">
        <v>15</v>
      </c>
    </row>
    <row r="117" spans="1:6" s="1025" customFormat="1" ht="24">
      <c r="A117" s="3275">
        <v>45</v>
      </c>
      <c r="B117" s="3928"/>
      <c r="C117" s="3253" t="s">
        <v>2624</v>
      </c>
      <c r="D117" s="3253" t="s">
        <v>2625</v>
      </c>
      <c r="E117" s="3276">
        <v>0.1</v>
      </c>
      <c r="F117" s="3275">
        <v>15</v>
      </c>
    </row>
    <row r="118" spans="1:6" s="1025" customFormat="1" ht="24">
      <c r="A118" s="3275">
        <v>46</v>
      </c>
      <c r="B118" s="3927" t="s">
        <v>2626</v>
      </c>
      <c r="C118" s="3275" t="s">
        <v>2627</v>
      </c>
      <c r="D118" s="3253" t="s">
        <v>2628</v>
      </c>
      <c r="E118" s="3276">
        <v>0.1</v>
      </c>
      <c r="F118" s="3275">
        <v>15</v>
      </c>
    </row>
    <row r="119" spans="1:6" s="1025" customFormat="1" ht="24">
      <c r="A119" s="3275">
        <v>47</v>
      </c>
      <c r="B119" s="3928"/>
      <c r="C119" s="3275" t="s">
        <v>2629</v>
      </c>
      <c r="D119" s="3253" t="s">
        <v>2630</v>
      </c>
      <c r="E119" s="3276">
        <v>0.1</v>
      </c>
      <c r="F119" s="3275">
        <v>15</v>
      </c>
    </row>
    <row r="120" spans="1:6" s="1025" customFormat="1" ht="24">
      <c r="A120" s="3275">
        <v>48</v>
      </c>
      <c r="B120" s="3927" t="s">
        <v>2631</v>
      </c>
      <c r="C120" s="3275" t="s">
        <v>2632</v>
      </c>
      <c r="D120" s="3253" t="s">
        <v>2633</v>
      </c>
      <c r="E120" s="3276">
        <v>0.1</v>
      </c>
      <c r="F120" s="3275">
        <v>15</v>
      </c>
    </row>
    <row r="121" spans="1:6" s="1025" customFormat="1">
      <c r="A121" s="3275">
        <v>49</v>
      </c>
      <c r="B121" s="3928"/>
      <c r="C121" s="3275" t="s">
        <v>2634</v>
      </c>
      <c r="D121" s="3253" t="s">
        <v>2635</v>
      </c>
      <c r="E121" s="3276">
        <v>0.1</v>
      </c>
      <c r="F121" s="3275">
        <v>15</v>
      </c>
    </row>
    <row r="122" spans="1:6" s="1025" customFormat="1" ht="24">
      <c r="A122" s="3275">
        <v>50</v>
      </c>
      <c r="B122" s="3926" t="s">
        <v>2636</v>
      </c>
      <c r="C122" s="3275" t="s">
        <v>2637</v>
      </c>
      <c r="D122" s="3253" t="s">
        <v>2638</v>
      </c>
      <c r="E122" s="3276">
        <v>0.1</v>
      </c>
      <c r="F122" s="3275">
        <v>15</v>
      </c>
    </row>
    <row r="123" spans="1:6" s="1025" customFormat="1" ht="24">
      <c r="A123" s="3275">
        <v>51</v>
      </c>
      <c r="B123" s="3926"/>
      <c r="C123" s="3275" t="s">
        <v>2639</v>
      </c>
      <c r="D123" s="3253" t="s">
        <v>2640</v>
      </c>
      <c r="E123" s="3276">
        <v>0.1</v>
      </c>
      <c r="F123" s="3275">
        <v>15</v>
      </c>
    </row>
    <row r="124" spans="1:6" s="1025" customFormat="1" ht="24">
      <c r="A124" s="3275">
        <v>52</v>
      </c>
      <c r="B124" s="3926" t="s">
        <v>2641</v>
      </c>
      <c r="C124" s="3275" t="s">
        <v>2642</v>
      </c>
      <c r="D124" s="3253" t="s">
        <v>2643</v>
      </c>
      <c r="E124" s="3276">
        <v>0.1</v>
      </c>
      <c r="F124" s="3275">
        <v>15</v>
      </c>
    </row>
    <row r="125" spans="1:6" s="1025" customFormat="1" ht="24">
      <c r="A125" s="3275">
        <v>53</v>
      </c>
      <c r="B125" s="3926"/>
      <c r="C125" s="3275" t="s">
        <v>2644</v>
      </c>
      <c r="D125" s="3253" t="s">
        <v>2645</v>
      </c>
      <c r="E125" s="3276">
        <v>0.1</v>
      </c>
      <c r="F125" s="3275">
        <v>15</v>
      </c>
    </row>
    <row r="126" spans="1:6" ht="24">
      <c r="A126" s="3275">
        <v>54</v>
      </c>
      <c r="B126" s="3275" t="s">
        <v>2646</v>
      </c>
      <c r="C126" s="3275" t="s">
        <v>2647</v>
      </c>
      <c r="D126" s="3253" t="s">
        <v>2648</v>
      </c>
      <c r="E126" s="3276">
        <v>0.1</v>
      </c>
      <c r="F126" s="3275">
        <v>15</v>
      </c>
    </row>
    <row r="127" spans="1:6">
      <c r="A127" s="3275">
        <v>55</v>
      </c>
      <c r="B127" s="3926" t="s">
        <v>2649</v>
      </c>
      <c r="C127" s="3275" t="s">
        <v>2650</v>
      </c>
      <c r="D127" s="3253" t="s">
        <v>2651</v>
      </c>
      <c r="E127" s="3276">
        <v>0.1</v>
      </c>
      <c r="F127" s="3275">
        <v>15</v>
      </c>
    </row>
    <row r="128" spans="1:6">
      <c r="A128" s="3275">
        <v>56</v>
      </c>
      <c r="B128" s="3926"/>
      <c r="C128" s="3275" t="s">
        <v>2652</v>
      </c>
      <c r="D128" s="3253" t="s">
        <v>2653</v>
      </c>
      <c r="E128" s="3276">
        <v>0.1</v>
      </c>
      <c r="F128" s="3275">
        <v>15</v>
      </c>
    </row>
    <row r="129" spans="1:14" ht="24">
      <c r="A129" s="3275">
        <v>57</v>
      </c>
      <c r="B129" s="3926"/>
      <c r="C129" s="3275" t="s">
        <v>2654</v>
      </c>
      <c r="D129" s="3253" t="s">
        <v>2655</v>
      </c>
      <c r="E129" s="3276">
        <v>0.1</v>
      </c>
      <c r="F129" s="3275">
        <v>15</v>
      </c>
    </row>
    <row r="130" spans="1:14" ht="24">
      <c r="A130" s="3275">
        <v>58</v>
      </c>
      <c r="B130" s="3926" t="s">
        <v>2656</v>
      </c>
      <c r="C130" s="3275" t="s">
        <v>2657</v>
      </c>
      <c r="D130" s="3253" t="s">
        <v>2658</v>
      </c>
      <c r="E130" s="3276">
        <v>0.1</v>
      </c>
      <c r="F130" s="3275">
        <v>15</v>
      </c>
    </row>
    <row r="131" spans="1:14" ht="24">
      <c r="A131" s="3275">
        <v>59</v>
      </c>
      <c r="B131" s="3926"/>
      <c r="C131" s="3275" t="s">
        <v>2659</v>
      </c>
      <c r="D131" s="3253" t="s">
        <v>2660</v>
      </c>
      <c r="E131" s="3276">
        <v>0.1</v>
      </c>
      <c r="F131" s="3275">
        <v>15</v>
      </c>
    </row>
    <row r="132" spans="1:14" ht="24">
      <c r="A132" s="3275">
        <v>60</v>
      </c>
      <c r="B132" s="3927" t="s">
        <v>2661</v>
      </c>
      <c r="C132" s="3275" t="s">
        <v>2662</v>
      </c>
      <c r="D132" s="3253" t="s">
        <v>2663</v>
      </c>
      <c r="E132" s="3276">
        <v>0.1</v>
      </c>
      <c r="F132" s="3275">
        <v>15</v>
      </c>
    </row>
    <row r="133" spans="1:14" ht="24">
      <c r="A133" s="3275">
        <v>61</v>
      </c>
      <c r="B133" s="3928"/>
      <c r="C133" s="3275" t="s">
        <v>2664</v>
      </c>
      <c r="D133" s="3253" t="s">
        <v>2665</v>
      </c>
      <c r="E133" s="3276">
        <v>0.1</v>
      </c>
      <c r="F133" s="3275">
        <v>15</v>
      </c>
    </row>
    <row r="134" spans="1:14" ht="24">
      <c r="A134" s="3275">
        <v>62</v>
      </c>
      <c r="B134" s="3275" t="s">
        <v>2666</v>
      </c>
      <c r="C134" s="3275" t="s">
        <v>2667</v>
      </c>
      <c r="D134" s="3253" t="s">
        <v>2668</v>
      </c>
      <c r="E134" s="3276">
        <v>0.1</v>
      </c>
      <c r="F134" s="3275">
        <v>15</v>
      </c>
    </row>
    <row r="135" spans="1:14" ht="24">
      <c r="A135" s="3275">
        <v>63</v>
      </c>
      <c r="B135" s="3926" t="s">
        <v>2669</v>
      </c>
      <c r="C135" s="3275" t="s">
        <v>2670</v>
      </c>
      <c r="D135" s="3253" t="s">
        <v>2671</v>
      </c>
      <c r="E135" s="3276">
        <v>0.1</v>
      </c>
      <c r="F135" s="3275">
        <v>15</v>
      </c>
    </row>
    <row r="136" spans="1:14">
      <c r="A136" s="3275">
        <v>64</v>
      </c>
      <c r="B136" s="3926"/>
      <c r="C136" s="3275" t="s">
        <v>2672</v>
      </c>
      <c r="D136" s="3253" t="s">
        <v>2673</v>
      </c>
      <c r="E136" s="3276">
        <v>0.1</v>
      </c>
      <c r="F136" s="3275">
        <v>15</v>
      </c>
    </row>
    <row r="137" spans="1:14" ht="24">
      <c r="A137" s="3275">
        <v>65</v>
      </c>
      <c r="B137" s="3275" t="s">
        <v>2674</v>
      </c>
      <c r="C137" s="3275" t="s">
        <v>2675</v>
      </c>
      <c r="D137" s="3253" t="s">
        <v>2676</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38" t="s">
        <v>2817</v>
      </c>
      <c r="B1" s="3938"/>
      <c r="C1" s="3938"/>
      <c r="D1" s="3938"/>
      <c r="E1" s="3938"/>
      <c r="F1" s="3938"/>
      <c r="G1" s="3939"/>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40" t="s">
        <v>2820</v>
      </c>
      <c r="B3" s="3416"/>
      <c r="C3" s="3417" t="s">
        <v>2797</v>
      </c>
      <c r="D3" s="3417" t="s">
        <v>2821</v>
      </c>
      <c r="E3" s="3417" t="s">
        <v>2799</v>
      </c>
      <c r="F3" s="3417" t="s">
        <v>2822</v>
      </c>
      <c r="G3" s="3417" t="s">
        <v>2741</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41"/>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SUMPRODUCT((B5:B9='基准地价（商业）'!I2)*(C3:G3='基准地价（商业）'!E2)*(C5:G9))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SUMPRODUCT((B10:B29='基准地价（商业）'!I2)*(C3:G3='基准地价（商业）'!E2)*(C10:G29))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SUMPRODUCT((B30:B54='基准地价（商业）'!I2)*(C3:G3='基准地价（商业）'!E2)*(C30:G54))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SUMPRODUCT((B55:B86='基准地价（商业）'!I2)*(C3:G3='基准地价（商业）'!E2)*(C55:G86))</f>
        <v>16610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SUMPRODUCT((B87:B126='基准地价（商业）'!I2)*(C3:G3='基准地价（商业）'!E2)*(C87:G126))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SUMPRODUCT((B127:B189='基准地价（商业）'!I2)*(C3:G3='基准地价（商业）'!E2)*(C127:G189))</f>
        <v>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SUMPRODUCT((B190:B233='基准地价（商业）'!I2)*(C3:G3='基准地价（商业）'!E2)*(C190:G233))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SUMPRODUCT((B234:B276='基准地价（商业）'!I2)*(C3:G3='基准地价（商业）'!E2)*(C234:G276))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SUMPRODUCT((B277:B326='基准地价（商业）'!I2)*(C3:G3='基准地价（商业）'!E2)*(C277:G326))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SUMPRODUCT((B327:B357='基准地价（商业）'!I2)*(C3:G3='基准地价（商业）'!E2)*(C327:G357))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SUMPRODUCT((B358:B377='基准地价（商业）'!I2)*(C3:G3='基准地价（商业）'!E2)*(C358:G377))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SUMPRODUCT((B378:B384='基准地价（商业）'!I2)*(C3:G3='基准地价（商业）'!E2)*(C378:G384))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2766</v>
      </c>
      <c r="B358" s="3451" t="s">
        <v>3011</v>
      </c>
      <c r="C358" s="3451">
        <v>2080</v>
      </c>
      <c r="D358" s="3451">
        <v>2040</v>
      </c>
      <c r="E358" s="3451">
        <v>2010</v>
      </c>
      <c r="F358" s="3451">
        <v>530</v>
      </c>
      <c r="G358" s="3452">
        <v>1230</v>
      </c>
      <c r="H358" s="3446"/>
    </row>
    <row r="359" spans="1:8">
      <c r="A359" s="3453" t="s">
        <v>2766</v>
      </c>
      <c r="B359" s="3433" t="s">
        <v>3012</v>
      </c>
      <c r="C359" s="3433">
        <v>1850</v>
      </c>
      <c r="D359" s="3433">
        <v>1820</v>
      </c>
      <c r="E359" s="3433">
        <v>1780</v>
      </c>
      <c r="F359" s="3433">
        <v>520</v>
      </c>
      <c r="G359" s="3445">
        <v>1100</v>
      </c>
      <c r="H359" s="3446"/>
    </row>
    <row r="360" spans="1:8">
      <c r="A360" s="3453" t="s">
        <v>2766</v>
      </c>
      <c r="B360" s="3433" t="s">
        <v>3013</v>
      </c>
      <c r="C360" s="3433">
        <v>2020</v>
      </c>
      <c r="D360" s="3433">
        <v>1990</v>
      </c>
      <c r="E360" s="3433">
        <v>1950</v>
      </c>
      <c r="F360" s="3433">
        <v>500</v>
      </c>
      <c r="G360" s="3445">
        <v>1200</v>
      </c>
      <c r="H360" s="3446"/>
    </row>
    <row r="361" spans="1:8">
      <c r="A361" s="3453" t="s">
        <v>2766</v>
      </c>
      <c r="B361" s="3433" t="s">
        <v>999</v>
      </c>
      <c r="C361" s="3433">
        <v>2260</v>
      </c>
      <c r="D361" s="3433">
        <v>2220</v>
      </c>
      <c r="E361" s="3433">
        <v>2180</v>
      </c>
      <c r="F361" s="3433">
        <v>580</v>
      </c>
      <c r="G361" s="3445">
        <v>1340</v>
      </c>
      <c r="H361" s="3446"/>
    </row>
    <row r="362" spans="1:8">
      <c r="A362" s="3453" t="s">
        <v>2766</v>
      </c>
      <c r="B362" s="3433" t="s">
        <v>3014</v>
      </c>
      <c r="C362" s="3433">
        <v>2650</v>
      </c>
      <c r="D362" s="3433">
        <v>2610</v>
      </c>
      <c r="E362" s="3433">
        <v>2570</v>
      </c>
      <c r="F362" s="3433">
        <v>630</v>
      </c>
      <c r="G362" s="3445">
        <v>1570</v>
      </c>
      <c r="H362" s="3446"/>
    </row>
    <row r="363" spans="1:8">
      <c r="A363" s="3453" t="s">
        <v>2766</v>
      </c>
      <c r="B363" s="3433" t="s">
        <v>3015</v>
      </c>
      <c r="C363" s="3433">
        <v>2390</v>
      </c>
      <c r="D363" s="3433">
        <v>2360</v>
      </c>
      <c r="E363" s="3433">
        <v>2320</v>
      </c>
      <c r="F363" s="3433">
        <v>600</v>
      </c>
      <c r="G363" s="3445">
        <v>1420</v>
      </c>
      <c r="H363" s="3446"/>
    </row>
    <row r="364" spans="1:8">
      <c r="A364" s="3453" t="s">
        <v>2766</v>
      </c>
      <c r="B364" s="3433" t="s">
        <v>3016</v>
      </c>
      <c r="C364" s="3433">
        <v>2050</v>
      </c>
      <c r="D364" s="3433">
        <v>2030</v>
      </c>
      <c r="E364" s="3433">
        <v>1990</v>
      </c>
      <c r="F364" s="3433">
        <v>550</v>
      </c>
      <c r="G364" s="3445">
        <v>1220</v>
      </c>
      <c r="H364" s="3446"/>
    </row>
    <row r="365" spans="1:8">
      <c r="A365" s="3453" t="s">
        <v>2766</v>
      </c>
      <c r="B365" s="3433" t="s">
        <v>1047</v>
      </c>
      <c r="C365" s="3433">
        <v>2140</v>
      </c>
      <c r="D365" s="3433">
        <v>2100</v>
      </c>
      <c r="E365" s="3433">
        <v>2060</v>
      </c>
      <c r="F365" s="3433">
        <v>540</v>
      </c>
      <c r="G365" s="3445">
        <v>1270</v>
      </c>
      <c r="H365" s="3446"/>
    </row>
    <row r="366" spans="1:8">
      <c r="A366" s="3453" t="s">
        <v>2766</v>
      </c>
      <c r="B366" s="3433" t="s">
        <v>3017</v>
      </c>
      <c r="C366" s="3433">
        <v>2410</v>
      </c>
      <c r="D366" s="3433">
        <v>2370</v>
      </c>
      <c r="E366" s="3433">
        <v>2330</v>
      </c>
      <c r="F366" s="3433">
        <v>570</v>
      </c>
      <c r="G366" s="3445">
        <v>1440</v>
      </c>
      <c r="H366" s="3446"/>
    </row>
    <row r="367" spans="1:8">
      <c r="A367" s="3453" t="s">
        <v>2766</v>
      </c>
      <c r="B367" s="3433" t="s">
        <v>3018</v>
      </c>
      <c r="C367" s="3433">
        <v>2300</v>
      </c>
      <c r="D367" s="3433">
        <v>2260</v>
      </c>
      <c r="E367" s="3433">
        <v>2220</v>
      </c>
      <c r="F367" s="3433">
        <v>560</v>
      </c>
      <c r="G367" s="3445">
        <v>1370</v>
      </c>
      <c r="H367" s="3446"/>
    </row>
    <row r="368" spans="1:8">
      <c r="A368" s="3453" t="s">
        <v>2766</v>
      </c>
      <c r="B368" s="3433" t="s">
        <v>3019</v>
      </c>
      <c r="C368" s="3433">
        <v>2430</v>
      </c>
      <c r="D368" s="3433">
        <v>2390</v>
      </c>
      <c r="E368" s="3433">
        <v>2350</v>
      </c>
      <c r="F368" s="3433">
        <v>570</v>
      </c>
      <c r="G368" s="3445">
        <v>1450</v>
      </c>
      <c r="H368" s="3446"/>
    </row>
    <row r="369" spans="1:8">
      <c r="A369" s="3453" t="s">
        <v>2766</v>
      </c>
      <c r="B369" s="3433" t="s">
        <v>1061</v>
      </c>
      <c r="C369" s="3433">
        <v>2320</v>
      </c>
      <c r="D369" s="3433">
        <v>2290</v>
      </c>
      <c r="E369" s="3433">
        <v>2250</v>
      </c>
      <c r="F369" s="3433">
        <v>550</v>
      </c>
      <c r="G369" s="3445">
        <v>1380</v>
      </c>
      <c r="H369" s="3446"/>
    </row>
    <row r="370" spans="1:8">
      <c r="A370" s="3453" t="s">
        <v>2766</v>
      </c>
      <c r="B370" s="3433" t="s">
        <v>1069</v>
      </c>
      <c r="C370" s="3433">
        <v>2190</v>
      </c>
      <c r="D370" s="3433">
        <v>2170</v>
      </c>
      <c r="E370" s="3433">
        <v>2130</v>
      </c>
      <c r="F370" s="3433">
        <v>530</v>
      </c>
      <c r="G370" s="3445">
        <v>1310</v>
      </c>
      <c r="H370" s="3446"/>
    </row>
    <row r="371" spans="1:8">
      <c r="A371" s="3453" t="s">
        <v>2766</v>
      </c>
      <c r="B371" s="3433" t="s">
        <v>1077</v>
      </c>
      <c r="C371" s="3433">
        <v>2460</v>
      </c>
      <c r="D371" s="3433">
        <v>2420</v>
      </c>
      <c r="E371" s="3433">
        <v>2370</v>
      </c>
      <c r="F371" s="3433">
        <v>560</v>
      </c>
      <c r="G371" s="3445">
        <v>1470</v>
      </c>
      <c r="H371" s="3446"/>
    </row>
    <row r="372" spans="1:8">
      <c r="A372" s="3453" t="s">
        <v>2766</v>
      </c>
      <c r="B372" s="3433" t="s">
        <v>3020</v>
      </c>
      <c r="C372" s="3433">
        <v>2250</v>
      </c>
      <c r="D372" s="3433">
        <v>2210</v>
      </c>
      <c r="E372" s="3433">
        <v>2180</v>
      </c>
      <c r="F372" s="3433">
        <v>550</v>
      </c>
      <c r="G372" s="3445">
        <v>1340</v>
      </c>
      <c r="H372" s="3446"/>
    </row>
    <row r="373" spans="1:8">
      <c r="A373" s="3453" t="s">
        <v>2766</v>
      </c>
      <c r="B373" s="3433" t="s">
        <v>1106</v>
      </c>
      <c r="C373" s="3433">
        <v>2210</v>
      </c>
      <c r="D373" s="3433">
        <v>2190</v>
      </c>
      <c r="E373" s="3433">
        <v>2150</v>
      </c>
      <c r="F373" s="3433">
        <v>530</v>
      </c>
      <c r="G373" s="3445">
        <v>1320</v>
      </c>
      <c r="H373" s="3446"/>
    </row>
    <row r="374" spans="1:8">
      <c r="A374" s="3453" t="s">
        <v>2766</v>
      </c>
      <c r="B374" s="3433" t="s">
        <v>1114</v>
      </c>
      <c r="C374" s="3433">
        <v>2320</v>
      </c>
      <c r="D374" s="3433">
        <v>2280</v>
      </c>
      <c r="E374" s="3433">
        <v>2230</v>
      </c>
      <c r="F374" s="3433">
        <v>580</v>
      </c>
      <c r="G374" s="3445">
        <v>1380</v>
      </c>
      <c r="H374" s="3446"/>
    </row>
    <row r="375" spans="1:8">
      <c r="A375" s="3453" t="s">
        <v>2766</v>
      </c>
      <c r="B375" s="3433" t="s">
        <v>3021</v>
      </c>
      <c r="C375" s="3433">
        <v>2090</v>
      </c>
      <c r="D375" s="3433">
        <v>2050</v>
      </c>
      <c r="E375" s="3433">
        <v>2020</v>
      </c>
      <c r="F375" s="3433">
        <v>520</v>
      </c>
      <c r="G375" s="3445">
        <v>1240</v>
      </c>
      <c r="H375" s="3446"/>
    </row>
    <row r="376" spans="1:8">
      <c r="A376" s="3453" t="s">
        <v>2766</v>
      </c>
      <c r="B376" s="3433" t="s">
        <v>1126</v>
      </c>
      <c r="C376" s="3433">
        <v>2010</v>
      </c>
      <c r="D376" s="3433">
        <v>1980</v>
      </c>
      <c r="E376" s="3433">
        <v>1940</v>
      </c>
      <c r="F376" s="3433">
        <v>540</v>
      </c>
      <c r="G376" s="3445">
        <v>1190</v>
      </c>
      <c r="H376" s="3446"/>
    </row>
    <row r="377" spans="1:8" ht="14.25" thickBot="1">
      <c r="A377" s="3455" t="s">
        <v>2766</v>
      </c>
      <c r="B377" s="3449" t="s">
        <v>3022</v>
      </c>
      <c r="C377" s="3449">
        <v>1930</v>
      </c>
      <c r="D377" s="3449">
        <v>1890</v>
      </c>
      <c r="E377" s="3449">
        <v>1860</v>
      </c>
      <c r="F377" s="3449">
        <v>530</v>
      </c>
      <c r="G377" s="3456">
        <v>1150</v>
      </c>
      <c r="H377" s="3446"/>
    </row>
    <row r="378" spans="1:8">
      <c r="A378" s="3450" t="s">
        <v>2767</v>
      </c>
      <c r="B378" s="3451" t="s">
        <v>3023</v>
      </c>
      <c r="C378" s="3451">
        <v>1520</v>
      </c>
      <c r="D378" s="3451">
        <v>1490</v>
      </c>
      <c r="E378" s="3451">
        <v>1460</v>
      </c>
      <c r="F378" s="3451">
        <v>460</v>
      </c>
      <c r="G378" s="3452">
        <v>940</v>
      </c>
      <c r="H378" s="3446"/>
    </row>
    <row r="379" spans="1:8">
      <c r="A379" s="3453" t="s">
        <v>2767</v>
      </c>
      <c r="B379" s="3433" t="s">
        <v>3024</v>
      </c>
      <c r="C379" s="3433">
        <v>1500</v>
      </c>
      <c r="D379" s="3433">
        <v>1470</v>
      </c>
      <c r="E379" s="3433">
        <v>1430</v>
      </c>
      <c r="F379" s="3433">
        <v>460</v>
      </c>
      <c r="G379" s="3445">
        <v>920</v>
      </c>
      <c r="H379" s="3446"/>
    </row>
    <row r="380" spans="1:8">
      <c r="A380" s="3453" t="s">
        <v>2767</v>
      </c>
      <c r="B380" s="3433" t="s">
        <v>3025</v>
      </c>
      <c r="C380" s="3433">
        <v>1620</v>
      </c>
      <c r="D380" s="3433">
        <v>1590</v>
      </c>
      <c r="E380" s="3433">
        <v>1560</v>
      </c>
      <c r="F380" s="3433">
        <v>480</v>
      </c>
      <c r="G380" s="3445">
        <v>1000</v>
      </c>
      <c r="H380" s="3446"/>
    </row>
    <row r="381" spans="1:8">
      <c r="A381" s="3453" t="s">
        <v>2767</v>
      </c>
      <c r="B381" s="3433" t="s">
        <v>3026</v>
      </c>
      <c r="C381" s="3433">
        <v>1460</v>
      </c>
      <c r="D381" s="3433">
        <v>1430</v>
      </c>
      <c r="E381" s="3433">
        <v>1390</v>
      </c>
      <c r="F381" s="3433">
        <v>450</v>
      </c>
      <c r="G381" s="3445">
        <v>900</v>
      </c>
      <c r="H381" s="3446"/>
    </row>
    <row r="382" spans="1:8">
      <c r="A382" s="3453" t="s">
        <v>2767</v>
      </c>
      <c r="B382" s="3433" t="s">
        <v>3027</v>
      </c>
      <c r="C382" s="3433">
        <v>1310</v>
      </c>
      <c r="D382" s="3433">
        <v>1280</v>
      </c>
      <c r="E382" s="3433">
        <v>1250</v>
      </c>
      <c r="F382" s="3433">
        <v>440</v>
      </c>
      <c r="G382" s="3445">
        <v>800</v>
      </c>
      <c r="H382" s="3446"/>
    </row>
    <row r="383" spans="1:8">
      <c r="A383" s="3453" t="s">
        <v>2767</v>
      </c>
      <c r="B383" s="3433" t="s">
        <v>3028</v>
      </c>
      <c r="C383" s="3433">
        <v>1260</v>
      </c>
      <c r="D383" s="3433">
        <v>1230</v>
      </c>
      <c r="E383" s="3433">
        <v>1200</v>
      </c>
      <c r="F383" s="3433">
        <v>420</v>
      </c>
      <c r="G383" s="3445">
        <v>770</v>
      </c>
      <c r="H383" s="3446"/>
    </row>
    <row r="384" spans="1:8" ht="14.25" thickBot="1">
      <c r="A384" s="3454" t="s">
        <v>2767</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2" t="s">
        <v>3192</v>
      </c>
      <c r="B1" s="3942"/>
      <c r="C1" s="3942"/>
      <c r="D1" s="3942"/>
      <c r="E1" s="3942"/>
      <c r="F1" s="3943"/>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2742</v>
      </c>
      <c r="C4" s="3503" t="s">
        <v>1212</v>
      </c>
      <c r="D4" s="3503" t="s">
        <v>3191</v>
      </c>
      <c r="E4" s="3503" t="s">
        <v>905</v>
      </c>
      <c r="F4" s="3503" t="s">
        <v>3196</v>
      </c>
    </row>
    <row r="5" spans="1:6">
      <c r="A5" s="3504" t="s">
        <v>2765</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2766</v>
      </c>
      <c r="B16" s="3506">
        <v>2230</v>
      </c>
      <c r="C16" s="3506">
        <v>2200</v>
      </c>
      <c r="D16" s="3506">
        <v>2180</v>
      </c>
      <c r="E16" s="3506">
        <v>570</v>
      </c>
      <c r="F16" s="3506">
        <v>1330</v>
      </c>
    </row>
    <row r="17" spans="1:6">
      <c r="A17" s="3504" t="s">
        <v>2767</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44" t="s">
        <v>3030</v>
      </c>
      <c r="B1" s="3944"/>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47" t="s">
        <v>1858</v>
      </c>
      <c r="C1" s="3947"/>
      <c r="D1" s="3947"/>
      <c r="E1" s="3947"/>
      <c r="F1" s="3947"/>
      <c r="G1" s="3946" t="s">
        <v>1859</v>
      </c>
      <c r="H1" s="3946"/>
      <c r="I1" s="3946"/>
      <c r="J1" s="3946"/>
      <c r="K1" s="3946"/>
      <c r="L1" s="3946"/>
      <c r="N1" s="3946" t="s">
        <v>1860</v>
      </c>
      <c r="O1" s="3946"/>
      <c r="P1" s="3946"/>
      <c r="Q1" s="3946"/>
      <c r="S1" s="3946" t="s">
        <v>1861</v>
      </c>
      <c r="T1" s="3946"/>
      <c r="U1" s="3946"/>
      <c r="V1" s="3946"/>
      <c r="X1" s="3945" t="s">
        <v>1921</v>
      </c>
      <c r="Y1" s="3946"/>
      <c r="Z1" s="3946"/>
      <c r="AA1" s="3946"/>
      <c r="AB1" s="3946"/>
      <c r="AD1" s="3945" t="s">
        <v>1925</v>
      </c>
      <c r="AE1" s="3946"/>
      <c r="AF1" s="3946"/>
      <c r="AG1" s="3946"/>
      <c r="AH1" s="3946"/>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2450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49">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49"/>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49"/>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55"/>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5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49"/>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49"/>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55"/>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5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49"/>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49"/>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50"/>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48">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49"/>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49"/>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50"/>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48">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49"/>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49"/>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50"/>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51">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52"/>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52"/>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53"/>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48">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49"/>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49"/>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50"/>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48">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49">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49">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50">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48">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49">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49">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50">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48">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49">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49">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50">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48">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49">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49">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50">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48">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49">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49">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50">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48">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49">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49">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50">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48">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49">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49">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50">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48">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49">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49">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50">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48">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49">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49">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50">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48">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49">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49">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50">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S48" sqref="S48"/>
    </sheetView>
  </sheetViews>
  <sheetFormatPr defaultRowHeight="13.5"/>
  <cols>
    <col min="1" max="1" width="12.375" customWidth="1"/>
    <col min="11" max="17" width="0" hidden="1" customWidth="1"/>
    <col min="24" max="30" width="0" hidden="1" customWidth="1"/>
  </cols>
  <sheetData>
    <row r="1" spans="1:30">
      <c r="A1" s="3400">
        <f>'基准地价（商业）'!G23</f>
        <v>45499</v>
      </c>
      <c r="B1" s="3348" t="s">
        <v>2793</v>
      </c>
      <c r="C1" s="3349"/>
      <c r="D1" s="3349"/>
      <c r="E1" s="3349"/>
      <c r="F1" s="3349"/>
      <c r="G1" s="3349"/>
      <c r="H1" s="3349"/>
      <c r="I1" s="3349"/>
      <c r="J1" s="3350"/>
      <c r="K1" s="3349" t="s">
        <v>2794</v>
      </c>
      <c r="L1" s="3349"/>
      <c r="M1" s="3349"/>
      <c r="N1" s="3349"/>
      <c r="O1" s="3349"/>
      <c r="P1" s="3349"/>
      <c r="Q1" s="3350"/>
      <c r="R1" s="3956" t="s">
        <v>2803</v>
      </c>
      <c r="S1" s="3957"/>
      <c r="T1" s="3957"/>
      <c r="U1" s="3957"/>
      <c r="V1" s="3957"/>
      <c r="W1" s="3957"/>
      <c r="X1" s="3350"/>
      <c r="Y1" s="3956" t="s">
        <v>2814</v>
      </c>
      <c r="Z1" s="3957"/>
      <c r="AA1" s="3957"/>
      <c r="AB1" s="3957"/>
      <c r="AC1" s="3957"/>
      <c r="AD1" s="3957"/>
    </row>
    <row r="2" spans="1:30" ht="14.25" thickBot="1">
      <c r="A2" s="3341"/>
      <c r="B2" s="3351"/>
      <c r="C2" s="3352"/>
      <c r="D2" s="3353" t="s">
        <v>2796</v>
      </c>
      <c r="E2" s="3354" t="s">
        <v>2797</v>
      </c>
      <c r="F2" s="3354" t="s">
        <v>2798</v>
      </c>
      <c r="G2" s="3354" t="s">
        <v>2799</v>
      </c>
      <c r="H2" s="3354" t="s">
        <v>2800</v>
      </c>
      <c r="I2" s="3354" t="s">
        <v>2741</v>
      </c>
      <c r="J2" s="3355"/>
      <c r="K2" s="3353" t="s">
        <v>2796</v>
      </c>
      <c r="L2" s="3354" t="s">
        <v>2797</v>
      </c>
      <c r="M2" s="3354" t="s">
        <v>2798</v>
      </c>
      <c r="N2" s="3354" t="s">
        <v>2799</v>
      </c>
      <c r="O2" s="3354" t="s">
        <v>2800</v>
      </c>
      <c r="P2" s="3354" t="s">
        <v>2741</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2458</v>
      </c>
    </row>
    <row r="3" spans="1:30">
      <c r="A3" s="3342" t="s">
        <v>2784</v>
      </c>
      <c r="B3" s="3356"/>
      <c r="C3" s="3357"/>
      <c r="D3" s="3357">
        <f>ROUND(AVERAGEIF(D4:D19,"&lt;&gt;0"),2)</f>
        <v>0.59</v>
      </c>
      <c r="E3" s="3357">
        <f>ROUND(AVERAGEIF(E4:E19,"&lt;&gt;0"),2)</f>
        <v>0.36</v>
      </c>
      <c r="F3" s="3357">
        <f>ROUND(AVERAGEIF(F4:F19,"&lt;&gt;0"),2)</f>
        <v>0.06</v>
      </c>
      <c r="G3" s="3357">
        <f>ROUND(AVERAGEIF(G4:G19,"&lt;&gt;0"),2)</f>
        <v>0.6</v>
      </c>
      <c r="H3" s="3357">
        <f>ROUND(AVERAGEIF(H4:H19,"&lt;&gt;0"),2)</f>
        <v>0.6</v>
      </c>
      <c r="I3" s="3357">
        <f>F3</f>
        <v>0.06</v>
      </c>
      <c r="J3" s="3358"/>
      <c r="K3" s="3359">
        <f>ROUND(AVERAGEIF(K4:K19,"&lt;&gt;0"),4)</f>
        <v>5.8999999999999999E-3</v>
      </c>
      <c r="L3" s="3360">
        <f>ROUND(AVERAGEIF(L4:L19,"&lt;&gt;0"),4)</f>
        <v>3.5999999999999999E-3</v>
      </c>
      <c r="M3" s="3360">
        <f>ROUND(AVERAGEIF(M4:M19,"&lt;&gt;0"),4)</f>
        <v>5.9999999999999995E-4</v>
      </c>
      <c r="N3" s="3360">
        <f>ROUND(AVERAGEIF(N4:N19,"&lt;&gt;0"),4)</f>
        <v>6.0000000000000001E-3</v>
      </c>
      <c r="O3" s="3360">
        <f>ROUND(AVERAGEIF(O4:O19,"&lt;&gt;0"),4)</f>
        <v>6.0000000000000001E-3</v>
      </c>
      <c r="P3" s="3360">
        <f>M3</f>
        <v>5.9999999999999995E-4</v>
      </c>
      <c r="Q3" s="3358"/>
      <c r="R3" s="3375">
        <f>ROUND(SUMPRODUCT(PRODUCT(1+K4:K19)),4)</f>
        <v>1.0852999999999999</v>
      </c>
      <c r="S3" s="3376">
        <f>ROUND(SUMPRODUCT(PRODUCT(1+L4:L19)),4)</f>
        <v>1.0513999999999999</v>
      </c>
      <c r="T3" s="3376">
        <f>ROUND(SUMPRODUCT(PRODUCT(1+M4:M19)),4)</f>
        <v>1.0083</v>
      </c>
      <c r="U3" s="3376">
        <f>ROUND(SUMPRODUCT(PRODUCT(1+N4:N19)),4)</f>
        <v>1.0871999999999999</v>
      </c>
      <c r="V3" s="3376">
        <f>ROUND(SUMPRODUCT(PRODUCT(1+O4:O19)),4)</f>
        <v>1.0880000000000001</v>
      </c>
      <c r="W3" s="3375">
        <f>T3</f>
        <v>1.0083</v>
      </c>
      <c r="X3" s="3358"/>
      <c r="Y3" s="3383">
        <f>ROUND(AVERAGEIF(Y6:Y19,"&lt;&gt;0"),4)</f>
        <v>8.0999999999999996E-3</v>
      </c>
      <c r="Z3" s="3384">
        <f>ROUND(AVERAGEIF(Z6:Z19,"&lt;&gt;0"),4)</f>
        <v>3.7000000000000002E-3</v>
      </c>
      <c r="AA3" s="3385">
        <f>ROUND(AVERAGEIF(AA6:AA19,"&lt;&gt;0"),4)</f>
        <v>1.2999999999999999E-3</v>
      </c>
      <c r="AB3" s="3383">
        <f>ROUND(AVERAGEIF(AB6:AB19,"&lt;&gt;0"),4)</f>
        <v>8.8000000000000005E-3</v>
      </c>
      <c r="AC3" s="3386">
        <f>ROUND(AVERAGEIF(AC6:AC19,"&lt;&gt;0"),4)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3265</v>
      </c>
      <c r="B5" s="3403">
        <v>2024</v>
      </c>
      <c r="C5" s="3404">
        <v>3</v>
      </c>
      <c r="D5" s="3404">
        <v>0</v>
      </c>
      <c r="E5" s="3404">
        <v>0</v>
      </c>
      <c r="F5" s="3404">
        <v>0</v>
      </c>
      <c r="G5" s="3404">
        <v>0</v>
      </c>
      <c r="H5" s="3404">
        <v>0</v>
      </c>
      <c r="I5" s="3405">
        <f t="shared" ref="I5" si="0">F5</f>
        <v>0</v>
      </c>
      <c r="J5" s="3365"/>
      <c r="K5" s="3366">
        <f t="shared" ref="K5" si="1">D5/100</f>
        <v>0</v>
      </c>
      <c r="L5" s="3367">
        <f t="shared" ref="L5" si="2">E5/100</f>
        <v>0</v>
      </c>
      <c r="M5" s="3367">
        <f t="shared" ref="M5" si="3">F5/100</f>
        <v>0</v>
      </c>
      <c r="N5" s="3367">
        <f t="shared" ref="N5" si="4">G5/100</f>
        <v>0</v>
      </c>
      <c r="O5" s="3367">
        <f t="shared" ref="O5" si="5">H5/100</f>
        <v>0</v>
      </c>
      <c r="P5" s="3367">
        <f>M5</f>
        <v>0</v>
      </c>
      <c r="Q5" s="3365"/>
      <c r="R5" s="3381">
        <f>ROUND(IF(项目基本情况!$B$8="出让",SUMPRODUCT(PRODUCT(1+K5:$K$19)),SUMPRODUCT(PRODUCT(1+K5:$K$18))),4)</f>
        <v>1.0748</v>
      </c>
      <c r="S5" s="3381">
        <f>ROUND(IF(项目基本情况!$B$8="出让",SUMPRODUCT(PRODUCT(1+L5:$L$19)),SUMPRODUCT(PRODUCT(1+L5:$L$18))),4)</f>
        <v>1.0498000000000001</v>
      </c>
      <c r="T5" s="3381">
        <f>ROUND(IF(项目基本情况!$B$8="出让",SUMPRODUCT(PRODUCT(1+M5:$M$19)),SUMPRODUCT(PRODUCT(1+M5:$M$18))),4)</f>
        <v>1.0107999999999999</v>
      </c>
      <c r="U5" s="3381">
        <f>ROUND(IF(项目基本情况!$B$8="出让",SUMPRODUCT(PRODUCT(1+N5:$N$19)),SUMPRODUCT(PRODUCT(1+N5:$N$18))),4)</f>
        <v>1.0752999999999999</v>
      </c>
      <c r="V5" s="3381">
        <f>ROUND(IF(项目基本情况!$B$8="出让",SUMPRODUCT(PRODUCT(1+O5:$O$19)),SUMPRODUCT(PRODUCT(1+O5:$O$18))),4)</f>
        <v>1.0841000000000001</v>
      </c>
      <c r="W5" s="3381">
        <f>T5</f>
        <v>1.0107999999999999</v>
      </c>
      <c r="X5" s="3365"/>
      <c r="Y5" s="3390">
        <f t="shared" ref="Y5:AC6" si="6">IF(D5=0,0,ROUND(AVERAGE(D5:D18)/100,4))</f>
        <v>0</v>
      </c>
      <c r="Z5" s="3390">
        <f t="shared" si="6"/>
        <v>0</v>
      </c>
      <c r="AA5" s="3390">
        <f t="shared" si="6"/>
        <v>0</v>
      </c>
      <c r="AB5" s="3390">
        <f t="shared" si="6"/>
        <v>0</v>
      </c>
      <c r="AC5" s="3390">
        <f t="shared" si="6"/>
        <v>0</v>
      </c>
      <c r="AD5" s="3390">
        <f t="shared" ref="AD5" si="7">AA5</f>
        <v>0</v>
      </c>
    </row>
    <row r="6" spans="1:30">
      <c r="A6" s="3345" t="s">
        <v>3261</v>
      </c>
      <c r="B6" s="3406">
        <v>2024</v>
      </c>
      <c r="C6" s="3407">
        <v>2</v>
      </c>
      <c r="D6" s="3407">
        <v>-0.59</v>
      </c>
      <c r="E6" s="3407">
        <v>-0.21</v>
      </c>
      <c r="F6" s="3407">
        <v>-1.38</v>
      </c>
      <c r="G6" s="3407">
        <v>-1.24</v>
      </c>
      <c r="H6" s="3408">
        <v>0.34</v>
      </c>
      <c r="I6" s="3409">
        <f t="shared" ref="I6:I19" si="8">F6</f>
        <v>-1.38</v>
      </c>
      <c r="J6" s="3368"/>
      <c r="K6" s="3369">
        <f t="shared" ref="K6:O19" si="9">D6/100</f>
        <v>-5.8999999999999999E-3</v>
      </c>
      <c r="L6" s="3370">
        <f t="shared" si="9"/>
        <v>-2.0999999999999999E-3</v>
      </c>
      <c r="M6" s="3370">
        <f t="shared" si="9"/>
        <v>-1.38E-2</v>
      </c>
      <c r="N6" s="3370">
        <f t="shared" si="9"/>
        <v>-1.24E-2</v>
      </c>
      <c r="O6" s="3370">
        <f t="shared" si="9"/>
        <v>3.4000000000000002E-3</v>
      </c>
      <c r="P6" s="3370">
        <f>M6</f>
        <v>-1.38E-2</v>
      </c>
      <c r="Q6" s="3368"/>
      <c r="R6" s="3368">
        <f>ROUND(IF(项目基本情况!$B$8="出让",SUMPRODUCT(PRODUCT(1+K6:$K$19)),SUMPRODUCT(PRODUCT(1+K6:$K$18))),4)</f>
        <v>1.0748</v>
      </c>
      <c r="S6" s="3368">
        <f>ROUND(IF(项目基本情况!$B$8="出让",SUMPRODUCT(PRODUCT(1+L6:$L$19)),SUMPRODUCT(PRODUCT(1+L6:$L$18))),4)</f>
        <v>1.0498000000000001</v>
      </c>
      <c r="T6" s="3368">
        <f>ROUND(IF(项目基本情况!$B$8="出让",SUMPRODUCT(PRODUCT(1+M6:$M$19)),SUMPRODUCT(PRODUCT(1+M6:$M$18))),4)</f>
        <v>1.0107999999999999</v>
      </c>
      <c r="U6" s="3368">
        <f>ROUND(IF(项目基本情况!$B$8="出让",SUMPRODUCT(PRODUCT(1+N6:$N$19)),SUMPRODUCT(PRODUCT(1+N6:$N$18))),4)</f>
        <v>1.0752999999999999</v>
      </c>
      <c r="V6" s="3368">
        <f>ROUND(IF(项目基本情况!$B$8="出让",SUMPRODUCT(PRODUCT(1+O6:$O$19)),SUMPRODUCT(PRODUCT(1+O6:$O$18))),4)</f>
        <v>1.0841000000000001</v>
      </c>
      <c r="W6" s="3368">
        <f>T6</f>
        <v>1.0107999999999999</v>
      </c>
      <c r="X6" s="3368"/>
      <c r="Y6" s="3370">
        <f t="shared" si="6"/>
        <v>5.8999999999999999E-3</v>
      </c>
      <c r="Z6" s="3370">
        <f t="shared" si="6"/>
        <v>3.5999999999999999E-3</v>
      </c>
      <c r="AA6" s="3370">
        <f t="shared" si="6"/>
        <v>5.9999999999999995E-4</v>
      </c>
      <c r="AB6" s="3370">
        <f t="shared" si="6"/>
        <v>6.0000000000000001E-3</v>
      </c>
      <c r="AC6" s="3370">
        <f t="shared" si="6"/>
        <v>6.0000000000000001E-3</v>
      </c>
      <c r="AD6" s="3370">
        <f t="shared" ref="AD6:AD18" si="10">AA6</f>
        <v>5.9999999999999995E-4</v>
      </c>
    </row>
    <row r="7" spans="1:30">
      <c r="A7" s="3344" t="s">
        <v>3267</v>
      </c>
      <c r="B7" s="3403">
        <v>2024</v>
      </c>
      <c r="C7" s="3404">
        <v>1</v>
      </c>
      <c r="D7" s="3404">
        <v>0.08</v>
      </c>
      <c r="E7" s="3404">
        <v>0.46</v>
      </c>
      <c r="F7" s="3404">
        <v>-0.16</v>
      </c>
      <c r="G7" s="3404">
        <v>0.26</v>
      </c>
      <c r="H7" s="3410">
        <v>0.59</v>
      </c>
      <c r="I7" s="3405">
        <f t="shared" si="8"/>
        <v>-0.16</v>
      </c>
      <c r="J7" s="3365"/>
      <c r="K7" s="3366">
        <f t="shared" ref="K7" si="11">D7/100</f>
        <v>8.0000000000000004E-4</v>
      </c>
      <c r="L7" s="3367">
        <f t="shared" ref="L7" si="12">E7/100</f>
        <v>4.5999999999999999E-3</v>
      </c>
      <c r="M7" s="3367">
        <f t="shared" ref="M7" si="13">F7/100</f>
        <v>-1.6000000000000001E-3</v>
      </c>
      <c r="N7" s="3367">
        <f t="shared" ref="N7" si="14">G7/100</f>
        <v>2.5999999999999999E-3</v>
      </c>
      <c r="O7" s="3367">
        <f t="shared" ref="O7" si="15">H7/100</f>
        <v>5.8999999999999999E-3</v>
      </c>
      <c r="P7" s="3367">
        <f t="shared" ref="P7" si="16">M7</f>
        <v>-1.6000000000000001E-3</v>
      </c>
      <c r="Q7" s="3365"/>
      <c r="R7" s="3381">
        <f>ROUND(IF(项目基本情况!$B$8="出让",SUMPRODUCT(PRODUCT(1+K7:$K$19)),SUMPRODUCT(PRODUCT(1+K7:$K$18))),4)</f>
        <v>1.0811999999999999</v>
      </c>
      <c r="S7" s="3381">
        <f>ROUND(IF(项目基本情况!$B$8="出让",SUMPRODUCT(PRODUCT(1+L7:$L$19)),SUMPRODUCT(PRODUCT(1+L7:$L$18))),4)</f>
        <v>1.052</v>
      </c>
      <c r="T7" s="3381">
        <f>ROUND(IF(项目基本情况!$B$8="出让",SUMPRODUCT(PRODUCT(1+M7:$M$19)),SUMPRODUCT(PRODUCT(1+M7:$M$18))),4)</f>
        <v>1.0249999999999999</v>
      </c>
      <c r="U7" s="3381">
        <f>ROUND(IF(项目基本情况!$B$8="出让",SUMPRODUCT(PRODUCT(1+N7:$N$19)),SUMPRODUCT(PRODUCT(1+N7:$N$18))),4)</f>
        <v>1.0888</v>
      </c>
      <c r="V7" s="3381">
        <f>ROUND(IF(项目基本情况!$B$8="出让",SUMPRODUCT(PRODUCT(1+O7:$O$19)),SUMPRODUCT(PRODUCT(1+O7:$O$18))),4)</f>
        <v>1.0804</v>
      </c>
      <c r="W7" s="3381">
        <f t="shared" ref="W7" si="17">T7</f>
        <v>1.0249999999999999</v>
      </c>
      <c r="X7" s="3365"/>
      <c r="Y7" s="3390">
        <f t="shared" ref="Y7" si="18">IF(D7=0,0,ROUND(AVERAGE(D7:D18)/100,4))</f>
        <v>6.4999999999999997E-3</v>
      </c>
      <c r="Z7" s="3390">
        <f t="shared" ref="Z7" si="19">IF(E7=0,0,ROUND(AVERAGE(E7:E18)/100,4))</f>
        <v>4.1999999999999997E-3</v>
      </c>
      <c r="AA7" s="3390">
        <f t="shared" ref="AA7" si="20">IF(F7=0,0,ROUND(AVERAGE(F7:F18)/100,4))</f>
        <v>2.0999999999999999E-3</v>
      </c>
      <c r="AB7" s="3390">
        <f t="shared" ref="AB7" si="21">IF(G7=0,0,ROUND(AVERAGE(G7:G18)/100,4))</f>
        <v>7.1000000000000004E-3</v>
      </c>
      <c r="AC7" s="3390">
        <f t="shared" ref="AC7" si="22">IF(H7=0,0,ROUND(AVERAGE(H7:H18)/100,4))</f>
        <v>6.4999999999999997E-3</v>
      </c>
      <c r="AD7" s="3390">
        <f t="shared" ref="AD7" si="23">AA7</f>
        <v>2.0999999999999999E-3</v>
      </c>
    </row>
    <row r="8" spans="1:30">
      <c r="A8" s="3344" t="s">
        <v>3263</v>
      </c>
      <c r="B8" s="3403">
        <v>2023</v>
      </c>
      <c r="C8" s="3404">
        <v>4</v>
      </c>
      <c r="D8" s="3404">
        <v>0.19</v>
      </c>
      <c r="E8" s="3404">
        <v>0.24</v>
      </c>
      <c r="F8" s="3404">
        <v>-0.16</v>
      </c>
      <c r="G8" s="3404">
        <v>0.17</v>
      </c>
      <c r="H8" s="3410">
        <v>0.61</v>
      </c>
      <c r="I8" s="3405">
        <f t="shared" ref="I8" si="24">F8</f>
        <v>-0.16</v>
      </c>
      <c r="J8" s="3365"/>
      <c r="K8" s="3366">
        <f t="shared" si="9"/>
        <v>1.9E-3</v>
      </c>
      <c r="L8" s="3367">
        <f t="shared" si="9"/>
        <v>2.3999999999999998E-3</v>
      </c>
      <c r="M8" s="3367">
        <f t="shared" si="9"/>
        <v>-1.6000000000000001E-3</v>
      </c>
      <c r="N8" s="3367">
        <f t="shared" si="9"/>
        <v>1.7000000000000001E-3</v>
      </c>
      <c r="O8" s="3367">
        <f t="shared" si="9"/>
        <v>6.0999999999999995E-3</v>
      </c>
      <c r="P8" s="3367">
        <f t="shared" ref="P8" si="25">M8</f>
        <v>-1.6000000000000001E-3</v>
      </c>
      <c r="Q8" s="3365"/>
      <c r="R8" s="3381">
        <f>ROUND(IF(项目基本情况!$B$8="出让",SUMPRODUCT(PRODUCT(1+K8:$K$19)),SUMPRODUCT(PRODUCT(1+K8:$K$18))),4)</f>
        <v>1.0804</v>
      </c>
      <c r="S8" s="3381">
        <f>ROUND(IF(项目基本情况!$B$8="出让",SUMPRODUCT(PRODUCT(1+L8:$L$19)),SUMPRODUCT(PRODUCT(1+L8:$L$18))),4)</f>
        <v>1.0471999999999999</v>
      </c>
      <c r="T8" s="3381">
        <f>ROUND(IF(项目基本情况!$B$8="出让",SUMPRODUCT(PRODUCT(1+M8:$M$19)),SUMPRODUCT(PRODUCT(1+M8:$M$18))),4)</f>
        <v>1.0266</v>
      </c>
      <c r="U8" s="3381">
        <f>ROUND(IF(项目基本情况!$B$8="出让",SUMPRODUCT(PRODUCT(1+N8:$N$19)),SUMPRODUCT(PRODUCT(1+N8:$N$18))),4)</f>
        <v>1.0859000000000001</v>
      </c>
      <c r="V8" s="3381">
        <f>ROUND(IF(项目基本情况!$B$8="出让",SUMPRODUCT(PRODUCT(1+O8:$O$19)),SUMPRODUCT(PRODUCT(1+O8:$O$18))),4)</f>
        <v>1.0741000000000001</v>
      </c>
      <c r="W8" s="3381">
        <f t="shared" ref="W8" si="26">T8</f>
        <v>1.0266</v>
      </c>
      <c r="X8" s="3365"/>
      <c r="Y8" s="3390">
        <f t="shared" ref="Y8" si="27">IF(D8=0,0,ROUND(AVERAGE(D8:D19)/100,4))</f>
        <v>7.3000000000000001E-3</v>
      </c>
      <c r="Z8" s="3390">
        <f t="shared" ref="Z8" si="28">IF(E8=0,0,ROUND(AVERAGE(E8:E19)/100,4))</f>
        <v>4.0000000000000001E-3</v>
      </c>
      <c r="AA8" s="3390">
        <f t="shared" ref="AA8" si="29">IF(F8=0,0,ROUND(AVERAGE(F8:F19)/100,4))</f>
        <v>2E-3</v>
      </c>
      <c r="AB8" s="3390">
        <f t="shared" ref="AB8" si="30">IF(G8=0,0,ROUND(AVERAGE(G8:G19)/100,4))</f>
        <v>7.7999999999999996E-3</v>
      </c>
      <c r="AC8" s="3390">
        <f t="shared" ref="AC8" si="31">IF(H8=0,0,ROUND(AVERAGE(H8:H19)/100,4))</f>
        <v>6.3E-3</v>
      </c>
      <c r="AD8" s="3390">
        <f t="shared" si="10"/>
        <v>2E-3</v>
      </c>
    </row>
    <row r="9" spans="1:30">
      <c r="A9" s="3344" t="s">
        <v>3262</v>
      </c>
      <c r="B9" s="3403">
        <v>2023</v>
      </c>
      <c r="C9" s="3404">
        <v>3</v>
      </c>
      <c r="D9" s="3404">
        <v>0.25</v>
      </c>
      <c r="E9" s="3404">
        <v>0.5</v>
      </c>
      <c r="F9" s="3404">
        <v>0.31</v>
      </c>
      <c r="G9" s="3404">
        <v>0.21</v>
      </c>
      <c r="H9" s="3410">
        <v>0.43</v>
      </c>
      <c r="I9" s="3405">
        <f t="shared" si="8"/>
        <v>0.31</v>
      </c>
      <c r="J9" s="3365"/>
      <c r="K9" s="3366">
        <f t="shared" ref="K9:K11" si="32">D9/100</f>
        <v>2.5000000000000001E-3</v>
      </c>
      <c r="L9" s="3367">
        <f t="shared" ref="L9:L11" si="33">E9/100</f>
        <v>5.0000000000000001E-3</v>
      </c>
      <c r="M9" s="3367">
        <f t="shared" ref="M9:M11" si="34">F9/100</f>
        <v>3.0999999999999999E-3</v>
      </c>
      <c r="N9" s="3367">
        <f t="shared" ref="N9:N11" si="35">G9/100</f>
        <v>2.0999999999999999E-3</v>
      </c>
      <c r="O9" s="3367">
        <f t="shared" ref="O9:O11" si="36">H9/100</f>
        <v>4.3E-3</v>
      </c>
      <c r="P9" s="3367">
        <f t="shared" ref="P9:P11" si="37">M9</f>
        <v>3.0999999999999999E-3</v>
      </c>
      <c r="Q9" s="3365"/>
      <c r="R9" s="3381">
        <f>ROUND(IF(项目基本情况!$B$8="出让",SUMPRODUCT(PRODUCT(1+K9:$K$19)),SUMPRODUCT(PRODUCT(1+K9:$K$18))),4)</f>
        <v>1.0783</v>
      </c>
      <c r="S9" s="3381">
        <f>ROUND(IF(项目基本情况!$B$8="出让",SUMPRODUCT(PRODUCT(1+L9:$L$19)),SUMPRODUCT(PRODUCT(1+L9:$L$18))),4)</f>
        <v>1.0447</v>
      </c>
      <c r="T9" s="3381">
        <f>ROUND(IF(项目基本情况!$B$8="出让",SUMPRODUCT(PRODUCT(1+M9:$M$19)),SUMPRODUCT(PRODUCT(1+M9:$M$18))),4)</f>
        <v>1.0282</v>
      </c>
      <c r="U9" s="3381">
        <f>ROUND(IF(项目基本情况!$B$8="出让",SUMPRODUCT(PRODUCT(1+N9:$N$19)),SUMPRODUCT(PRODUCT(1+N9:$N$18))),4)</f>
        <v>1.0841000000000001</v>
      </c>
      <c r="V9" s="3381">
        <f>ROUND(IF(项目基本情况!$B$8="出让",SUMPRODUCT(PRODUCT(1+O9:$O$19)),SUMPRODUCT(PRODUCT(1+O9:$O$18))),4)</f>
        <v>1.0674999999999999</v>
      </c>
      <c r="W9" s="3381">
        <f t="shared" ref="W9:W11" si="38">T9</f>
        <v>1.0282</v>
      </c>
      <c r="X9" s="3365"/>
      <c r="Y9" s="3390">
        <f t="shared" ref="Y9:AC9" si="39">IF(D9=0,0,ROUND(AVERAGE(D9:D20)/100,4))</f>
        <v>7.7999999999999996E-3</v>
      </c>
      <c r="Z9" s="3390">
        <f t="shared" si="39"/>
        <v>4.1000000000000003E-3</v>
      </c>
      <c r="AA9" s="3390">
        <f t="shared" si="39"/>
        <v>2.3E-3</v>
      </c>
      <c r="AB9" s="3390">
        <f t="shared" si="39"/>
        <v>8.3999999999999995E-3</v>
      </c>
      <c r="AC9" s="3390">
        <f t="shared" si="39"/>
        <v>6.3E-3</v>
      </c>
      <c r="AD9" s="3390">
        <f t="shared" ref="AD9:AD11" si="40">AA9</f>
        <v>2.3E-3</v>
      </c>
    </row>
    <row r="10" spans="1:30">
      <c r="A10" s="3344" t="s">
        <v>3259</v>
      </c>
      <c r="B10" s="3403">
        <v>2023</v>
      </c>
      <c r="C10" s="3404">
        <v>2</v>
      </c>
      <c r="D10" s="3404">
        <v>0.91</v>
      </c>
      <c r="E10" s="3404">
        <v>0.66</v>
      </c>
      <c r="F10" s="3404">
        <v>0.47</v>
      </c>
      <c r="G10" s="3404">
        <v>0.96</v>
      </c>
      <c r="H10" s="3410">
        <v>0.71</v>
      </c>
      <c r="I10" s="3405">
        <f t="shared" si="8"/>
        <v>0.47</v>
      </c>
      <c r="J10" s="3365"/>
      <c r="K10" s="3366">
        <f t="shared" si="32"/>
        <v>9.1000000000000004E-3</v>
      </c>
      <c r="L10" s="3367">
        <f t="shared" si="33"/>
        <v>6.6E-3</v>
      </c>
      <c r="M10" s="3367">
        <f t="shared" si="34"/>
        <v>4.6999999999999993E-3</v>
      </c>
      <c r="N10" s="3367">
        <f t="shared" si="35"/>
        <v>9.5999999999999992E-3</v>
      </c>
      <c r="O10" s="3367">
        <f t="shared" si="36"/>
        <v>7.0999999999999995E-3</v>
      </c>
      <c r="P10" s="3367">
        <f t="shared" si="37"/>
        <v>4.6999999999999993E-3</v>
      </c>
      <c r="Q10" s="3365"/>
      <c r="R10" s="3381">
        <f>ROUND(IF(项目基本情况!$B$8="出让",SUMPRODUCT(PRODUCT(1+K10:$K$19)),SUMPRODUCT(PRODUCT(1+K10:$K$18))),4)</f>
        <v>1.0755999999999999</v>
      </c>
      <c r="S10" s="3381">
        <f>ROUND(IF(项目基本情况!$B$8="出让",SUMPRODUCT(PRODUCT(1+L10:$L$19)),SUMPRODUCT(PRODUCT(1+L10:$L$18))),4)</f>
        <v>1.0395000000000001</v>
      </c>
      <c r="T10" s="3381">
        <f>ROUND(IF(项目基本情况!$B$8="出让",SUMPRODUCT(PRODUCT(1+M10:$M$19)),SUMPRODUCT(PRODUCT(1+M10:$M$18))),4)</f>
        <v>1.0250999999999999</v>
      </c>
      <c r="U10" s="3381">
        <f>ROUND(IF(项目基本情况!$B$8="出让",SUMPRODUCT(PRODUCT(1+N10:$N$19)),SUMPRODUCT(PRODUCT(1+N10:$N$18))),4)</f>
        <v>1.0818000000000001</v>
      </c>
      <c r="V10" s="3381">
        <f>ROUND(IF(项目基本情况!$B$8="出让",SUMPRODUCT(PRODUCT(1+O10:$O$19)),SUMPRODUCT(PRODUCT(1+O10:$O$18))),4)</f>
        <v>1.0629999999999999</v>
      </c>
      <c r="W10" s="3381">
        <f t="shared" si="38"/>
        <v>1.0250999999999999</v>
      </c>
      <c r="X10" s="3365"/>
      <c r="Y10" s="3390">
        <f t="shared" ref="Y10:AC10" si="41">IF(D10=0,0,ROUND(AVERAGE(D10:D21)/100,4))</f>
        <v>8.3000000000000001E-3</v>
      </c>
      <c r="Z10" s="3390">
        <f t="shared" si="41"/>
        <v>4.0000000000000001E-3</v>
      </c>
      <c r="AA10" s="3390">
        <f t="shared" si="41"/>
        <v>2.2000000000000001E-3</v>
      </c>
      <c r="AB10" s="3390">
        <f t="shared" si="41"/>
        <v>8.9999999999999993E-3</v>
      </c>
      <c r="AC10" s="3390">
        <f t="shared" si="41"/>
        <v>6.4999999999999997E-3</v>
      </c>
      <c r="AD10" s="3390">
        <f t="shared" si="40"/>
        <v>2.2000000000000001E-3</v>
      </c>
    </row>
    <row r="11" spans="1:30">
      <c r="A11" s="3344" t="s">
        <v>3257</v>
      </c>
      <c r="B11" s="3403">
        <v>2023</v>
      </c>
      <c r="C11" s="3404">
        <v>1</v>
      </c>
      <c r="D11" s="3404">
        <v>0.89</v>
      </c>
      <c r="E11" s="3404">
        <v>0.74</v>
      </c>
      <c r="F11" s="3404">
        <v>0.56999999999999995</v>
      </c>
      <c r="G11" s="3404">
        <v>0.92</v>
      </c>
      <c r="H11" s="3410">
        <v>0.5</v>
      </c>
      <c r="I11" s="3405">
        <f t="shared" si="8"/>
        <v>0.56999999999999995</v>
      </c>
      <c r="J11" s="3365"/>
      <c r="K11" s="3366">
        <f t="shared" si="32"/>
        <v>8.8999999999999999E-3</v>
      </c>
      <c r="L11" s="3367">
        <f t="shared" si="33"/>
        <v>7.4000000000000003E-3</v>
      </c>
      <c r="M11" s="3367">
        <f t="shared" si="34"/>
        <v>5.6999999999999993E-3</v>
      </c>
      <c r="N11" s="3367">
        <f t="shared" si="35"/>
        <v>9.1999999999999998E-3</v>
      </c>
      <c r="O11" s="3367">
        <f t="shared" si="36"/>
        <v>5.0000000000000001E-3</v>
      </c>
      <c r="P11" s="3367">
        <f t="shared" si="37"/>
        <v>5.6999999999999993E-3</v>
      </c>
      <c r="Q11" s="3365"/>
      <c r="R11" s="3381">
        <f>ROUND(IF(项目基本情况!$B$8="出让",SUMPRODUCT(PRODUCT(1+K11:$K$19)),SUMPRODUCT(PRODUCT(1+K11:$K$18))),4)</f>
        <v>1.0659000000000001</v>
      </c>
      <c r="S11" s="3381">
        <f>ROUND(IF(项目基本情况!$B$8="出让",SUMPRODUCT(PRODUCT(1+L11:$L$19)),SUMPRODUCT(PRODUCT(1+L11:$L$18))),4)</f>
        <v>1.0326</v>
      </c>
      <c r="T11" s="3381">
        <f>ROUND(IF(项目基本情况!$B$8="出让",SUMPRODUCT(PRODUCT(1+M11:$M$19)),SUMPRODUCT(PRODUCT(1+M11:$M$18))),4)</f>
        <v>1.0203</v>
      </c>
      <c r="U11" s="3381">
        <f>ROUND(IF(项目基本情况!$B$8="出让",SUMPRODUCT(PRODUCT(1+N11:$N$19)),SUMPRODUCT(PRODUCT(1+N11:$N$18))),4)</f>
        <v>1.0714999999999999</v>
      </c>
      <c r="V11" s="3381">
        <f>ROUND(IF(项目基本情况!$B$8="出让",SUMPRODUCT(PRODUCT(1+O11:$O$19)),SUMPRODUCT(PRODUCT(1+O11:$O$18))),4)</f>
        <v>1.0555000000000001</v>
      </c>
      <c r="W11" s="3381">
        <f t="shared" si="38"/>
        <v>1.0203</v>
      </c>
      <c r="X11" s="3365"/>
      <c r="Y11" s="3390">
        <f t="shared" ref="Y11:AC11" si="42">IF(D11=0,0,ROUND(AVERAGE(D11:D22)/100,4))</f>
        <v>8.2000000000000007E-3</v>
      </c>
      <c r="Z11" s="3390">
        <f t="shared" si="42"/>
        <v>3.8E-3</v>
      </c>
      <c r="AA11" s="3390">
        <f t="shared" si="42"/>
        <v>2E-3</v>
      </c>
      <c r="AB11" s="3390">
        <f t="shared" si="42"/>
        <v>8.8999999999999999E-3</v>
      </c>
      <c r="AC11" s="3390">
        <f t="shared" si="42"/>
        <v>6.4000000000000003E-3</v>
      </c>
      <c r="AD11" s="3390">
        <f t="shared" si="40"/>
        <v>2E-3</v>
      </c>
    </row>
    <row r="12" spans="1:30">
      <c r="A12" s="3344" t="s">
        <v>3255</v>
      </c>
      <c r="B12" s="3403">
        <v>2022</v>
      </c>
      <c r="C12" s="3404">
        <v>4</v>
      </c>
      <c r="D12" s="3404">
        <v>0.62</v>
      </c>
      <c r="E12" s="3404">
        <v>0.2</v>
      </c>
      <c r="F12" s="3404">
        <v>0.11</v>
      </c>
      <c r="G12" s="3404">
        <v>0.69</v>
      </c>
      <c r="H12" s="3410">
        <v>0.53</v>
      </c>
      <c r="I12" s="3405">
        <f t="shared" si="8"/>
        <v>0.11</v>
      </c>
      <c r="J12" s="3365"/>
      <c r="K12" s="3366">
        <f t="shared" si="9"/>
        <v>6.1999999999999998E-3</v>
      </c>
      <c r="L12" s="3367">
        <f t="shared" si="9"/>
        <v>2E-3</v>
      </c>
      <c r="M12" s="3367">
        <f t="shared" si="9"/>
        <v>1.1000000000000001E-3</v>
      </c>
      <c r="N12" s="3367">
        <f t="shared" si="9"/>
        <v>6.8999999999999999E-3</v>
      </c>
      <c r="O12" s="3367">
        <f t="shared" si="9"/>
        <v>5.3E-3</v>
      </c>
      <c r="P12" s="3367">
        <f t="shared" ref="P12:P19" si="43">M12</f>
        <v>1.1000000000000001E-3</v>
      </c>
      <c r="Q12" s="3365"/>
      <c r="R12" s="3381">
        <f>ROUND(IF(项目基本情况!B8="出让",SUMPRODUCT(PRODUCT(1+K12:K19)),SUMPRODUCT(PRODUCT(1+K12:K18))),4)</f>
        <v>1.0565</v>
      </c>
      <c r="S12" s="3381">
        <f>ROUND(IF(项目基本情况!B8="出让",SUMPRODUCT(PRODUCT(1+L12:L19)),SUMPRODUCT(PRODUCT(1+L12:L18))),4)</f>
        <v>1.0250999999999999</v>
      </c>
      <c r="T12" s="3381">
        <f>ROUND(IF(项目基本情况!B8="出让",SUMPRODUCT(PRODUCT(1+M12:M19)),SUMPRODUCT(PRODUCT(1+M12:M18))),4)</f>
        <v>1.0145</v>
      </c>
      <c r="U12" s="3381">
        <f>ROUND(IF(项目基本情况!B8="出让",SUMPRODUCT(PRODUCT(1+N12:N19)),SUMPRODUCT(PRODUCT(1+N12:N18))),4)</f>
        <v>1.0618000000000001</v>
      </c>
      <c r="V12" s="3381">
        <f>ROUND(IF(项目基本情况!B8="出让",SUMPRODUCT(PRODUCT(1+O12:O19)),SUMPRODUCT(PRODUCT(1+O12:O18))),4)</f>
        <v>1.0502</v>
      </c>
      <c r="W12" s="3381">
        <f t="shared" ref="W12:W19" si="44">T12</f>
        <v>1.0145</v>
      </c>
      <c r="X12" s="3365"/>
      <c r="Y12" s="3390">
        <f>IF(D12=0,0,ROUND(AVERAGE(D12:D20)/100,4))</f>
        <v>8.0999999999999996E-3</v>
      </c>
      <c r="Z12" s="3390">
        <f>IF(E12=0,0,ROUND(AVERAGE(E12:E19)/100,4))</f>
        <v>3.3E-3</v>
      </c>
      <c r="AA12" s="3390">
        <f>IF(F12=0,0,ROUND(AVERAGE(F12:F19)/100,4))</f>
        <v>1.5E-3</v>
      </c>
      <c r="AB12" s="3390">
        <f>IF(G12=0,0,ROUND(AVERAGE(G12:G19)/100,4))</f>
        <v>8.8999999999999999E-3</v>
      </c>
      <c r="AC12" s="3390">
        <f>IF(H12=0,0,ROUND(AVERAGE(H12:H19)/100,4))</f>
        <v>6.6E-3</v>
      </c>
      <c r="AD12" s="3390">
        <f t="shared" si="10"/>
        <v>1.5E-3</v>
      </c>
    </row>
    <row r="13" spans="1:30">
      <c r="A13" s="3344" t="s">
        <v>3250</v>
      </c>
      <c r="B13" s="3403">
        <v>2022</v>
      </c>
      <c r="C13" s="3404">
        <v>3</v>
      </c>
      <c r="D13" s="3404">
        <v>0.66</v>
      </c>
      <c r="E13" s="3404">
        <v>0.32</v>
      </c>
      <c r="F13" s="3404">
        <v>0.23</v>
      </c>
      <c r="G13" s="3404">
        <v>0.72</v>
      </c>
      <c r="H13" s="3410">
        <v>0.63</v>
      </c>
      <c r="I13" s="3405">
        <f t="shared" si="8"/>
        <v>0.23</v>
      </c>
      <c r="J13" s="3365"/>
      <c r="K13" s="3366">
        <f t="shared" si="9"/>
        <v>6.6E-3</v>
      </c>
      <c r="L13" s="3367">
        <f t="shared" si="9"/>
        <v>3.2000000000000002E-3</v>
      </c>
      <c r="M13" s="3367">
        <f t="shared" si="9"/>
        <v>2.3E-3</v>
      </c>
      <c r="N13" s="3367">
        <f t="shared" si="9"/>
        <v>7.1999999999999998E-3</v>
      </c>
      <c r="O13" s="3367">
        <f t="shared" si="9"/>
        <v>6.3E-3</v>
      </c>
      <c r="P13" s="3367">
        <f t="shared" si="43"/>
        <v>2.3E-3</v>
      </c>
      <c r="Q13" s="3365"/>
      <c r="R13" s="3381">
        <f>ROUND(IF(项目基本情况!B8="出让",SUMPRODUCT(PRODUCT(1+K13:K19)),SUMPRODUCT(PRODUCT(1+K13:K18))),4)</f>
        <v>1.05</v>
      </c>
      <c r="S13" s="3381">
        <f>ROUND(IF(项目基本情况!B8="出让",SUMPRODUCT(PRODUCT(1+L13:L19)),SUMPRODUCT(PRODUCT(1+L13:L18))),4)</f>
        <v>1.0229999999999999</v>
      </c>
      <c r="T13" s="3381">
        <f>ROUND(IF(项目基本情况!B8="出让",SUMPRODUCT(PRODUCT(1+M13:M19)),SUMPRODUCT(PRODUCT(1+M13:M18))),4)</f>
        <v>1.0134000000000001</v>
      </c>
      <c r="U13" s="3381">
        <f>ROUND(IF(项目基本情况!B8="出让",SUMPRODUCT(PRODUCT(1+N13:N19)),SUMPRODUCT(PRODUCT(1+N13:N18))),4)</f>
        <v>1.0545</v>
      </c>
      <c r="V13" s="3381">
        <f>ROUND(IF(项目基本情况!B8="出让",SUMPRODUCT(PRODUCT(1+O13:O19)),SUMPRODUCT(PRODUCT(1+O13:O18))),4)</f>
        <v>1.0447</v>
      </c>
      <c r="W13" s="3381">
        <f t="shared" si="44"/>
        <v>1.0134000000000001</v>
      </c>
      <c r="X13" s="3365"/>
      <c r="Y13" s="3390">
        <f>IF(D13=0,0,ROUND(AVERAGE(D13:D19)/100,4))</f>
        <v>8.3999999999999995E-3</v>
      </c>
      <c r="Z13" s="3390">
        <f>IF(E13=0,0,ROUND(AVERAGE(E13:E19)/100,4))</f>
        <v>3.5000000000000001E-3</v>
      </c>
      <c r="AA13" s="3390">
        <f>IF(F13=0,0,ROUND(AVERAGE(F13:F19)/100,4))</f>
        <v>1.5E-3</v>
      </c>
      <c r="AB13" s="3390">
        <f>IF(G13=0,0,ROUND(AVERAGE(G13:G19)/100,4))</f>
        <v>9.1999999999999998E-3</v>
      </c>
      <c r="AC13" s="3390">
        <f>IF(H13=0,0,ROUND(AVERAGE(H13:H19)/100,4))</f>
        <v>6.7999999999999996E-3</v>
      </c>
      <c r="AD13" s="3390">
        <f t="shared" si="10"/>
        <v>1.5E-3</v>
      </c>
    </row>
    <row r="14" spans="1:30">
      <c r="A14" s="3344" t="s">
        <v>3251</v>
      </c>
      <c r="B14" s="3403">
        <v>2022</v>
      </c>
      <c r="C14" s="3404">
        <v>2</v>
      </c>
      <c r="D14" s="3404">
        <v>0.93</v>
      </c>
      <c r="E14" s="3404">
        <v>0.15</v>
      </c>
      <c r="F14" s="3404">
        <v>0.01</v>
      </c>
      <c r="G14" s="3404">
        <v>1.05</v>
      </c>
      <c r="H14" s="3410">
        <v>1.08</v>
      </c>
      <c r="I14" s="3405">
        <f t="shared" si="8"/>
        <v>0.01</v>
      </c>
      <c r="J14" s="3365"/>
      <c r="K14" s="3366">
        <f t="shared" si="9"/>
        <v>9.300000000000001E-3</v>
      </c>
      <c r="L14" s="3367">
        <f t="shared" si="9"/>
        <v>1.5E-3</v>
      </c>
      <c r="M14" s="3367">
        <f t="shared" si="9"/>
        <v>1E-4</v>
      </c>
      <c r="N14" s="3367">
        <f t="shared" si="9"/>
        <v>1.0500000000000001E-2</v>
      </c>
      <c r="O14" s="3367">
        <f t="shared" si="9"/>
        <v>1.0800000000000001E-2</v>
      </c>
      <c r="P14" s="3367">
        <f t="shared" si="43"/>
        <v>1E-4</v>
      </c>
      <c r="Q14" s="3365"/>
      <c r="R14" s="3381">
        <f>ROUND(IF(项目基本情况!B8="出让",SUMPRODUCT(PRODUCT(1+K14:K19)),SUMPRODUCT(PRODUCT(1+K14:K18))),4)</f>
        <v>1.0430999999999999</v>
      </c>
      <c r="S14" s="3381">
        <f>ROUND(IF(项目基本情况!B8="出让",SUMPRODUCT(PRODUCT(1+L14:L19)),SUMPRODUCT(PRODUCT(1+L14:L18))),4)</f>
        <v>1.0197000000000001</v>
      </c>
      <c r="T14" s="3381">
        <f>ROUND(IF(项目基本情况!B8="出让",SUMPRODUCT(PRODUCT(1+M14:M19)),SUMPRODUCT(PRODUCT(1+M14:M18))),4)</f>
        <v>1.0109999999999999</v>
      </c>
      <c r="U14" s="3381">
        <f>ROUND(IF(项目基本情况!B8="出让",SUMPRODUCT(PRODUCT(1+N14:N19)),SUMPRODUCT(PRODUCT(1+N14:N18))),4)</f>
        <v>1.0468999999999999</v>
      </c>
      <c r="V14" s="3381">
        <f>ROUND(IF(项目基本情况!B8="出让",SUMPRODUCT(PRODUCT(1+O14:O19)),SUMPRODUCT(PRODUCT(1+O14:O18))),4)</f>
        <v>1.0382</v>
      </c>
      <c r="W14" s="3381">
        <f t="shared" si="44"/>
        <v>1.0109999999999999</v>
      </c>
      <c r="X14" s="3365"/>
      <c r="Y14" s="3390">
        <f>IF(D14=0,0,ROUND(AVERAGE(D14:D19)/100,4))</f>
        <v>8.6999999999999994E-3</v>
      </c>
      <c r="Z14" s="3390">
        <f>IF(E14=0,0,ROUND(AVERAGE(E14:E19)/100,4))</f>
        <v>3.5000000000000001E-3</v>
      </c>
      <c r="AA14" s="3390">
        <f>IF(F14=0,0,ROUND(AVERAGE(F14:F19)/100,4))</f>
        <v>1.4E-3</v>
      </c>
      <c r="AB14" s="3390">
        <f>IF(G14=0,0,ROUND(AVERAGE(G14:G19)/100,4))</f>
        <v>9.4999999999999998E-3</v>
      </c>
      <c r="AC14" s="3390">
        <f>IF(H14=0,0,ROUND(AVERAGE(H14:H19)/100,4))</f>
        <v>6.8999999999999999E-3</v>
      </c>
      <c r="AD14" s="3390">
        <f t="shared" si="10"/>
        <v>1.4E-3</v>
      </c>
    </row>
    <row r="15" spans="1:30">
      <c r="A15" s="3344" t="s">
        <v>2785</v>
      </c>
      <c r="B15" s="3403">
        <v>2022</v>
      </c>
      <c r="C15" s="3404">
        <v>1</v>
      </c>
      <c r="D15" s="3404">
        <v>0.89</v>
      </c>
      <c r="E15" s="3404">
        <v>0.44</v>
      </c>
      <c r="F15" s="3404">
        <v>0.37</v>
      </c>
      <c r="G15" s="3404">
        <v>0.96</v>
      </c>
      <c r="H15" s="3410">
        <v>0.64</v>
      </c>
      <c r="I15" s="3405">
        <f t="shared" si="8"/>
        <v>0.37</v>
      </c>
      <c r="J15" s="3365"/>
      <c r="K15" s="3366">
        <f t="shared" si="9"/>
        <v>8.8999999999999999E-3</v>
      </c>
      <c r="L15" s="3367">
        <f t="shared" si="9"/>
        <v>4.4000000000000003E-3</v>
      </c>
      <c r="M15" s="3367">
        <f t="shared" si="9"/>
        <v>3.7000000000000002E-3</v>
      </c>
      <c r="N15" s="3367">
        <f t="shared" si="9"/>
        <v>9.5999999999999992E-3</v>
      </c>
      <c r="O15" s="3367">
        <f t="shared" si="9"/>
        <v>6.4000000000000003E-3</v>
      </c>
      <c r="P15" s="3367">
        <f t="shared" si="43"/>
        <v>3.7000000000000002E-3</v>
      </c>
      <c r="Q15" s="3365"/>
      <c r="R15" s="3381">
        <f>ROUND(IF(项目基本情况!B8="出让",SUMPRODUCT(PRODUCT(1+K15:K19)),SUMPRODUCT(PRODUCT(1+K15:K18))),4)</f>
        <v>1.0335000000000001</v>
      </c>
      <c r="S15" s="3381">
        <f>ROUND(IF(项目基本情况!B8="出让",SUMPRODUCT(PRODUCT(1+L15:L19)),SUMPRODUCT(PRODUCT(1+L15:L18))),4)</f>
        <v>1.0182</v>
      </c>
      <c r="T15" s="3381">
        <f>ROUND(IF(项目基本情况!B8="出让",SUMPRODUCT(PRODUCT(1+M15:M19)),SUMPRODUCT(PRODUCT(1+M15:M18))),4)</f>
        <v>1.0108999999999999</v>
      </c>
      <c r="U15" s="3381">
        <f>ROUND(IF(项目基本情况!B8="出让",SUMPRODUCT(PRODUCT(1+N15:N19)),SUMPRODUCT(PRODUCT(1+N15:N18))),4)</f>
        <v>1.0361</v>
      </c>
      <c r="V15" s="3381">
        <f>ROUND(IF(项目基本情况!B8="出让",SUMPRODUCT(PRODUCT(1+O15:O19)),SUMPRODUCT(PRODUCT(1+O15:O18))),4)</f>
        <v>1.0270999999999999</v>
      </c>
      <c r="W15" s="3381">
        <f t="shared" si="44"/>
        <v>1.0108999999999999</v>
      </c>
      <c r="X15" s="3365"/>
      <c r="Y15" s="3390">
        <f>IF(D15=0,0,ROUND(AVERAGE(D15:D19)/100,4))</f>
        <v>8.6E-3</v>
      </c>
      <c r="Z15" s="3390">
        <f>IF(E15=0,0,ROUND(AVERAGE(E15:E19)/100,4))</f>
        <v>3.8999999999999998E-3</v>
      </c>
      <c r="AA15" s="3390">
        <f>IF(F15=0,0,ROUND(AVERAGE(F15:F19)/100,4))</f>
        <v>1.6999999999999999E-3</v>
      </c>
      <c r="AB15" s="3390">
        <f>IF(G15=0,0,ROUND(AVERAGE(G15:G19)/100,4))</f>
        <v>9.2999999999999992E-3</v>
      </c>
      <c r="AC15" s="3390">
        <f>IF(H15=0,0,ROUND(AVERAGE(H15:H19)/100,4))</f>
        <v>6.1000000000000004E-3</v>
      </c>
      <c r="AD15" s="3390">
        <f t="shared" si="10"/>
        <v>1.6999999999999999E-3</v>
      </c>
    </row>
    <row r="16" spans="1:30">
      <c r="A16" s="3344" t="s">
        <v>2786</v>
      </c>
      <c r="B16" s="3403">
        <v>2021</v>
      </c>
      <c r="C16" s="3404">
        <v>4</v>
      </c>
      <c r="D16" s="3404">
        <v>1.03</v>
      </c>
      <c r="E16" s="3404">
        <v>0.24</v>
      </c>
      <c r="F16" s="3404">
        <v>7.0000000000000007E-2</v>
      </c>
      <c r="G16" s="3404">
        <v>1.17</v>
      </c>
      <c r="H16" s="3410">
        <v>0.55000000000000004</v>
      </c>
      <c r="I16" s="3405">
        <f t="shared" si="8"/>
        <v>7.0000000000000007E-2</v>
      </c>
      <c r="J16" s="3365"/>
      <c r="K16" s="3366">
        <f t="shared" si="9"/>
        <v>1.03E-2</v>
      </c>
      <c r="L16" s="3367">
        <f t="shared" si="9"/>
        <v>2.3999999999999998E-3</v>
      </c>
      <c r="M16" s="3367">
        <f t="shared" si="9"/>
        <v>7.000000000000001E-4</v>
      </c>
      <c r="N16" s="3367">
        <f t="shared" si="9"/>
        <v>1.1699999999999999E-2</v>
      </c>
      <c r="O16" s="3367">
        <f t="shared" si="9"/>
        <v>5.5000000000000005E-3</v>
      </c>
      <c r="P16" s="3367">
        <f t="shared" si="43"/>
        <v>7.000000000000001E-4</v>
      </c>
      <c r="Q16" s="3365"/>
      <c r="R16" s="3381">
        <f>ROUND(IF(项目基本情况!B8="出让",SUMPRODUCT(PRODUCT(1+K16:K19)),SUMPRODUCT(PRODUCT(1+K16:K18))),4)</f>
        <v>1.0244</v>
      </c>
      <c r="S16" s="3381">
        <f>ROUND(IF(项目基本情况!B8="出让",SUMPRODUCT(PRODUCT(1+L16:L19)),SUMPRODUCT(PRODUCT(1+L16:L18))),4)</f>
        <v>1.0138</v>
      </c>
      <c r="T16" s="3381">
        <f>ROUND(IF(项目基本情况!B8="出让",SUMPRODUCT(PRODUCT(1+M16:M19)),SUMPRODUCT(PRODUCT(1+M16:M18))),4)</f>
        <v>1.0072000000000001</v>
      </c>
      <c r="U16" s="3381">
        <f>ROUND(IF(项目基本情况!B8="出让",SUMPRODUCT(PRODUCT(1+N16:N19)),SUMPRODUCT(PRODUCT(1+N16:N18))),4)</f>
        <v>1.0262</v>
      </c>
      <c r="V16" s="3381">
        <f>ROUND(IF(项目基本情况!B8="出让",SUMPRODUCT(PRODUCT(1+O16:O19)),SUMPRODUCT(PRODUCT(1+O16:O18))),4)</f>
        <v>1.0205</v>
      </c>
      <c r="W16" s="3381">
        <f t="shared" si="44"/>
        <v>1.0072000000000001</v>
      </c>
      <c r="X16" s="3365"/>
      <c r="Y16" s="3390">
        <f>IF(D16=0,0,ROUND(AVERAGE(D16:D19)/100,4))</f>
        <v>8.5000000000000006E-3</v>
      </c>
      <c r="Z16" s="3390">
        <f>IF(E16=0,0,ROUND(AVERAGE(E16:E19)/100,4))</f>
        <v>3.8E-3</v>
      </c>
      <c r="AA16" s="3390">
        <f>IF(F16=0,0,ROUND(AVERAGE(F16:F19)/100,4))</f>
        <v>1.1999999999999999E-3</v>
      </c>
      <c r="AB16" s="3390">
        <f>IF(G16=0,0,ROUND(AVERAGE(G16:G19)/100,4))</f>
        <v>9.2999999999999992E-3</v>
      </c>
      <c r="AC16" s="3390">
        <f>IF(H16=0,0,ROUND(AVERAGE(H16:H19)/100,4))</f>
        <v>6.0000000000000001E-3</v>
      </c>
      <c r="AD16" s="3390">
        <f t="shared" si="10"/>
        <v>1.1999999999999999E-3</v>
      </c>
    </row>
    <row r="17" spans="1:30">
      <c r="A17" s="3344" t="s">
        <v>2787</v>
      </c>
      <c r="B17" s="3403">
        <v>2021</v>
      </c>
      <c r="C17" s="3404">
        <v>3</v>
      </c>
      <c r="D17" s="3404">
        <v>0.47</v>
      </c>
      <c r="E17" s="3404">
        <v>0.41</v>
      </c>
      <c r="F17" s="3404">
        <v>0.24</v>
      </c>
      <c r="G17" s="3404">
        <v>0.48</v>
      </c>
      <c r="H17" s="3410">
        <v>0.48</v>
      </c>
      <c r="I17" s="3405">
        <f t="shared" si="8"/>
        <v>0.24</v>
      </c>
      <c r="J17" s="3365"/>
      <c r="K17" s="3366">
        <f t="shared" si="9"/>
        <v>4.6999999999999993E-3</v>
      </c>
      <c r="L17" s="3367">
        <f t="shared" si="9"/>
        <v>4.0999999999999995E-3</v>
      </c>
      <c r="M17" s="3367">
        <f t="shared" si="9"/>
        <v>2.3999999999999998E-3</v>
      </c>
      <c r="N17" s="3367">
        <f t="shared" si="9"/>
        <v>4.7999999999999996E-3</v>
      </c>
      <c r="O17" s="3367">
        <f t="shared" si="9"/>
        <v>4.7999999999999996E-3</v>
      </c>
      <c r="P17" s="3367">
        <f t="shared" si="43"/>
        <v>2.3999999999999998E-3</v>
      </c>
      <c r="Q17" s="3365"/>
      <c r="R17" s="3381">
        <f>ROUND(IF(项目基本情况!B8="出让",SUMPRODUCT(PRODUCT(1+K17:K19)),SUMPRODUCT(PRODUCT(1+K17:K18))),4)</f>
        <v>1.0139</v>
      </c>
      <c r="S17" s="3381">
        <f>ROUND(IF(项目基本情况!B8="出让",SUMPRODUCT(PRODUCT(1+L17:L19)),SUMPRODUCT(PRODUCT(1+L17:L18))),4)</f>
        <v>1.0113000000000001</v>
      </c>
      <c r="T17" s="3381">
        <f>ROUND(IF(项目基本情况!B8="出让",SUMPRODUCT(PRODUCT(1+M17:M19)),SUMPRODUCT(PRODUCT(1+M17:M18))),4)</f>
        <v>1.0065</v>
      </c>
      <c r="U17" s="3381">
        <f>ROUND(IF(项目基本情况!B8="出让",SUMPRODUCT(PRODUCT(1+N17:N19)),SUMPRODUCT(PRODUCT(1+N17:N18))),4)</f>
        <v>1.0143</v>
      </c>
      <c r="V17" s="3381">
        <f>ROUND(IF(项目基本情况!B8="出让",SUMPRODUCT(PRODUCT(1+O17:O19)),SUMPRODUCT(PRODUCT(1+O17:O18))),4)</f>
        <v>1.0148999999999999</v>
      </c>
      <c r="W17" s="3381">
        <f t="shared" si="44"/>
        <v>1.0065</v>
      </c>
      <c r="X17" s="3365"/>
      <c r="Y17" s="3390">
        <f>IF(D17=0,0,ROUND(AVERAGE(D17:D19)/100,4))</f>
        <v>7.9000000000000008E-3</v>
      </c>
      <c r="Z17" s="3390">
        <f>IF(E17=0,0,ROUND(AVERAGE(E17:E19)/100,4))</f>
        <v>4.3E-3</v>
      </c>
      <c r="AA17" s="3390">
        <f>IF(F17=0,0,ROUND(AVERAGE(F17:F19)/100,4))</f>
        <v>1.2999999999999999E-3</v>
      </c>
      <c r="AB17" s="3390">
        <f>IF(G17=0,0,ROUND(AVERAGE(G17:G19)/100,4))</f>
        <v>8.5000000000000006E-3</v>
      </c>
      <c r="AC17" s="3390">
        <f>IF(H17=0,0,ROUND(AVERAGE(H17:H19)/100,4))</f>
        <v>6.1999999999999998E-3</v>
      </c>
      <c r="AD17" s="3390">
        <f t="shared" si="10"/>
        <v>1.2999999999999999E-3</v>
      </c>
    </row>
    <row r="18" spans="1:30">
      <c r="A18" s="3344" t="s">
        <v>2788</v>
      </c>
      <c r="B18" s="3403">
        <v>2021</v>
      </c>
      <c r="C18" s="3404">
        <v>2</v>
      </c>
      <c r="D18" s="3404">
        <v>0.92</v>
      </c>
      <c r="E18" s="3404">
        <v>0.72</v>
      </c>
      <c r="F18" s="3404">
        <v>0.41</v>
      </c>
      <c r="G18" s="3404">
        <v>0.95</v>
      </c>
      <c r="H18" s="3410">
        <v>1.01</v>
      </c>
      <c r="I18" s="3405">
        <f t="shared" si="8"/>
        <v>0.41</v>
      </c>
      <c r="J18" s="3365"/>
      <c r="K18" s="3366">
        <f t="shared" si="9"/>
        <v>9.1999999999999998E-3</v>
      </c>
      <c r="L18" s="3367">
        <f t="shared" si="9"/>
        <v>7.1999999999999998E-3</v>
      </c>
      <c r="M18" s="3367">
        <f t="shared" si="9"/>
        <v>4.0999999999999995E-3</v>
      </c>
      <c r="N18" s="3367">
        <f t="shared" si="9"/>
        <v>9.4999999999999998E-3</v>
      </c>
      <c r="O18" s="3367">
        <f t="shared" si="9"/>
        <v>1.01E-2</v>
      </c>
      <c r="P18" s="3367">
        <f t="shared" si="43"/>
        <v>4.0999999999999995E-3</v>
      </c>
      <c r="Q18" s="3365"/>
      <c r="R18" s="3381">
        <f>ROUND(IF(项目基本情况!B8="出让",SUMPRODUCT(PRODUCT(1+K18:K19)),SUMPRODUCT(PRODUCT(1+K18:K18))),4)</f>
        <v>1.0092000000000001</v>
      </c>
      <c r="S18" s="3381">
        <f>ROUND(IF(项目基本情况!B8="出让",SUMPRODUCT(PRODUCT(1+L18:L19)),SUMPRODUCT(PRODUCT(1+L18:L18))),4)</f>
        <v>1.0072000000000001</v>
      </c>
      <c r="T18" s="3381">
        <f>ROUND(IF(项目基本情况!B8="出让",SUMPRODUCT(PRODUCT(1+M18:M19)),SUMPRODUCT(PRODUCT(1+M18:M18))),4)</f>
        <v>1.0041</v>
      </c>
      <c r="U18" s="3381">
        <f>ROUND(IF(项目基本情况!B8="出让",SUMPRODUCT(PRODUCT(1+N18:N19)),SUMPRODUCT(PRODUCT(1+N18:N18))),4)</f>
        <v>1.0095000000000001</v>
      </c>
      <c r="V18" s="3381">
        <f>ROUND(IF(项目基本情况!B8="出让",SUMPRODUCT(PRODUCT(1+O18:O19)),SUMPRODUCT(PRODUCT(1+O18:O18))),4)</f>
        <v>1.0101</v>
      </c>
      <c r="W18" s="3381">
        <f t="shared" si="44"/>
        <v>1.0041</v>
      </c>
      <c r="X18" s="3365"/>
      <c r="Y18" s="3390">
        <f>IF(D18=0,0,ROUND(AVERAGE(D18:D19)/100,4))</f>
        <v>9.4999999999999998E-3</v>
      </c>
      <c r="Z18" s="3390">
        <f>IF(E18=0,0,ROUND(AVERAGE(E18:E19)/100,4))</f>
        <v>4.4000000000000003E-3</v>
      </c>
      <c r="AA18" s="3390">
        <f>IF(F18=0,0,ROUND(AVERAGE(F18:F19)/100,4))</f>
        <v>8.0000000000000004E-4</v>
      </c>
      <c r="AB18" s="3390">
        <f>IF(G18=0,0,ROUND(AVERAGE(G18:G19)/100,4))</f>
        <v>1.03E-2</v>
      </c>
      <c r="AC18" s="3390">
        <f>IF(H18=0,0,ROUND(AVERAGE(H18:H19)/100,4))</f>
        <v>6.8999999999999999E-3</v>
      </c>
      <c r="AD18" s="3390">
        <f t="shared" si="10"/>
        <v>8.0000000000000004E-4</v>
      </c>
    </row>
    <row r="19" spans="1:30" ht="14.25" thickBot="1">
      <c r="A19" s="3346" t="s">
        <v>2789</v>
      </c>
      <c r="B19" s="3411">
        <v>2021</v>
      </c>
      <c r="C19" s="3412">
        <v>1</v>
      </c>
      <c r="D19" s="3412">
        <v>0.97</v>
      </c>
      <c r="E19" s="3412">
        <v>0.16</v>
      </c>
      <c r="F19" s="3412">
        <v>-0.25</v>
      </c>
      <c r="G19" s="3412">
        <v>1.1100000000000001</v>
      </c>
      <c r="H19" s="3413">
        <v>0.36</v>
      </c>
      <c r="I19" s="3414">
        <f t="shared" si="8"/>
        <v>-0.25</v>
      </c>
      <c r="J19" s="3371"/>
      <c r="K19" s="3372">
        <f t="shared" si="9"/>
        <v>9.7000000000000003E-3</v>
      </c>
      <c r="L19" s="3373">
        <f t="shared" si="9"/>
        <v>1.6000000000000001E-3</v>
      </c>
      <c r="M19" s="3373">
        <f>F19/100</f>
        <v>-2.5000000000000001E-3</v>
      </c>
      <c r="N19" s="3373">
        <f t="shared" si="9"/>
        <v>1.11E-2</v>
      </c>
      <c r="O19" s="3373">
        <f t="shared" si="9"/>
        <v>3.5999999999999999E-3</v>
      </c>
      <c r="P19" s="3373">
        <f t="shared" si="43"/>
        <v>-2.5000000000000001E-3</v>
      </c>
      <c r="Q19" s="3371"/>
      <c r="R19" s="3382">
        <v>1</v>
      </c>
      <c r="S19" s="3382">
        <v>1</v>
      </c>
      <c r="T19" s="3382">
        <v>1</v>
      </c>
      <c r="U19" s="3382">
        <v>1</v>
      </c>
      <c r="V19" s="3382">
        <v>1</v>
      </c>
      <c r="W19" s="3382">
        <f t="shared" si="44"/>
        <v>1</v>
      </c>
      <c r="X19" s="3371"/>
      <c r="Y19" s="3373">
        <f>IF(D19=0,0,ROUND(AVERAGE(D19:D19)/100,4))</f>
        <v>9.7000000000000003E-3</v>
      </c>
      <c r="Z19" s="3373">
        <f>IF(E19=0,0,ROUND(AVERAGE(E19:E19)/100,4))</f>
        <v>1.6000000000000001E-3</v>
      </c>
      <c r="AA19" s="3373">
        <f>IF(F19=0,0,ROUND(AVERAGE(F19:F19)/100,4))</f>
        <v>-2.5000000000000001E-3</v>
      </c>
      <c r="AB19" s="3373">
        <f>IF(G19=0,0,ROUND(AVERAGE(G19:G19)/100,4))</f>
        <v>1.11E-2</v>
      </c>
      <c r="AC19" s="3373">
        <f>IF(H19=0,0,ROUND(AVERAGE(H19:H19)/100,4))</f>
        <v>3.5999999999999999E-3</v>
      </c>
      <c r="AD19" s="3373">
        <f>AA19</f>
        <v>-2.5000000000000001E-3</v>
      </c>
    </row>
    <row r="20" spans="1:30" ht="14.25" thickTop="1">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662" t="s">
        <v>3253</v>
      </c>
      <c r="B21" s="3281"/>
      <c r="C21" s="3281"/>
      <c r="D21" s="3281"/>
      <c r="E21" s="3281"/>
      <c r="F21" s="3281"/>
      <c r="G21" s="3281"/>
      <c r="H21" s="3281"/>
      <c r="I21" s="3281"/>
      <c r="J21" s="3281"/>
      <c r="K21" s="3281"/>
      <c r="L21" s="3281"/>
      <c r="M21" s="3281"/>
      <c r="N21" s="3281"/>
      <c r="O21" s="3281"/>
      <c r="P21" s="3281"/>
      <c r="Q21" s="3281"/>
      <c r="R21" s="3281"/>
      <c r="S21" s="3281"/>
      <c r="T21" s="3281"/>
      <c r="U21" s="3281"/>
      <c r="V21" s="3281"/>
      <c r="W21" s="3281"/>
      <c r="X21" s="3281"/>
      <c r="Y21" s="3281"/>
      <c r="Z21" s="3281"/>
      <c r="AA21" s="3281"/>
      <c r="AB21" s="3281"/>
      <c r="AC21" s="3281"/>
      <c r="AD21" s="3281"/>
    </row>
    <row r="22" spans="1:30">
      <c r="A22" s="3281"/>
      <c r="B22" s="3281"/>
      <c r="C22" s="3281"/>
      <c r="D22" s="3281"/>
      <c r="E22" s="3281"/>
      <c r="F22" s="3281"/>
      <c r="G22" s="3281"/>
      <c r="H22" s="3281"/>
      <c r="I22" s="3374" t="s">
        <v>2801</v>
      </c>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281"/>
      <c r="B23" s="3281"/>
      <c r="C23" s="3281"/>
      <c r="D23" s="3281"/>
      <c r="E23" s="3281"/>
      <c r="F23" s="3281"/>
      <c r="G23" s="3281"/>
      <c r="H23" s="3281"/>
      <c r="I23" s="3281"/>
      <c r="J23" s="3281"/>
      <c r="K23" s="3281"/>
      <c r="L23" s="3281"/>
      <c r="M23" s="3281"/>
      <c r="N23" s="3281"/>
      <c r="O23" s="3281"/>
      <c r="P23" s="3281"/>
      <c r="Q23" s="3281"/>
      <c r="R23" s="3281"/>
      <c r="S23" s="3281"/>
      <c r="T23" s="3281"/>
      <c r="U23" s="3281"/>
      <c r="V23" s="3281"/>
      <c r="W23" s="3281"/>
      <c r="X23" s="3281"/>
      <c r="Y23" s="3281"/>
      <c r="Z23" s="3281"/>
      <c r="AA23" s="3281"/>
      <c r="AB23" s="3281"/>
      <c r="AC23" s="3281"/>
      <c r="AD23" s="3281"/>
    </row>
    <row r="24" spans="1:30">
      <c r="A24" s="3347"/>
      <c r="B24" s="3348" t="s">
        <v>2802</v>
      </c>
      <c r="C24" s="3349"/>
      <c r="D24" s="3349"/>
      <c r="E24" s="3349"/>
      <c r="F24" s="3349"/>
      <c r="G24" s="3349"/>
      <c r="H24" s="3349"/>
      <c r="I24" s="3349"/>
      <c r="J24" s="3350"/>
      <c r="K24" s="3349" t="s">
        <v>2794</v>
      </c>
      <c r="L24" s="3349"/>
      <c r="M24" s="3349"/>
      <c r="N24" s="3349"/>
      <c r="O24" s="3349"/>
      <c r="P24" s="3349"/>
      <c r="Q24" s="3350"/>
      <c r="R24" s="3956" t="s">
        <v>2810</v>
      </c>
      <c r="S24" s="3957"/>
      <c r="T24" s="3957"/>
      <c r="U24" s="3957"/>
      <c r="V24" s="3957"/>
      <c r="W24" s="3957"/>
      <c r="X24" s="3350"/>
      <c r="Y24" s="3956" t="s">
        <v>1925</v>
      </c>
      <c r="Z24" s="3957"/>
      <c r="AA24" s="3957"/>
      <c r="AB24" s="3957"/>
      <c r="AC24" s="3957"/>
      <c r="AD24" s="3957"/>
    </row>
    <row r="25" spans="1:30" ht="14.25" thickBot="1">
      <c r="A25" s="3341"/>
      <c r="B25" s="3351"/>
      <c r="C25" s="3352"/>
      <c r="D25" s="3353" t="s">
        <v>2796</v>
      </c>
      <c r="E25" s="3354" t="s">
        <v>2797</v>
      </c>
      <c r="F25" s="3354" t="s">
        <v>2798</v>
      </c>
      <c r="G25" s="3354" t="s">
        <v>1469</v>
      </c>
      <c r="H25" s="3354"/>
      <c r="I25" s="3354" t="s">
        <v>2741</v>
      </c>
      <c r="J25" s="3355"/>
      <c r="K25" s="3353" t="s">
        <v>2796</v>
      </c>
      <c r="L25" s="3354" t="s">
        <v>2797</v>
      </c>
      <c r="M25" s="3354" t="s">
        <v>2798</v>
      </c>
      <c r="N25" s="3354" t="s">
        <v>2799</v>
      </c>
      <c r="O25" s="3354"/>
      <c r="P25" s="3354" t="s">
        <v>2741</v>
      </c>
      <c r="Q25" s="3355"/>
      <c r="R25" s="3353" t="s">
        <v>2811</v>
      </c>
      <c r="S25" s="3354" t="s">
        <v>2812</v>
      </c>
      <c r="T25" s="3354" t="s">
        <v>2798</v>
      </c>
      <c r="U25" s="3354" t="s">
        <v>1469</v>
      </c>
      <c r="V25" s="3354"/>
      <c r="W25" s="3354" t="s">
        <v>2813</v>
      </c>
      <c r="X25" s="3355"/>
      <c r="Y25" s="3353" t="s">
        <v>2795</v>
      </c>
      <c r="Z25" s="3354" t="s">
        <v>2797</v>
      </c>
      <c r="AA25" s="3354" t="s">
        <v>2798</v>
      </c>
      <c r="AB25" s="3354" t="s">
        <v>1469</v>
      </c>
      <c r="AC25" s="3354"/>
      <c r="AD25" s="3354" t="s">
        <v>2816</v>
      </c>
    </row>
    <row r="26" spans="1:30">
      <c r="A26" s="3342" t="s">
        <v>2790</v>
      </c>
      <c r="B26" s="3356"/>
      <c r="C26" s="3357"/>
      <c r="D26" s="3357"/>
      <c r="E26" s="3357">
        <f>ROUND(AVERAGEIF(E27:E42,"&lt;&gt;0"),2)</f>
        <v>0.33</v>
      </c>
      <c r="F26" s="3357">
        <f>ROUND(AVERAGEIF(F27:F42,"&lt;&gt;0"),2)</f>
        <v>0.24</v>
      </c>
      <c r="G26" s="3357">
        <f>ROUND(AVERAGEIF(G27:G42,"&lt;&gt;0"),2)</f>
        <v>0.62</v>
      </c>
      <c r="H26" s="3357"/>
      <c r="I26" s="3357">
        <f>F26</f>
        <v>0.24</v>
      </c>
      <c r="J26" s="3358"/>
      <c r="K26" s="3359"/>
      <c r="L26" s="3360">
        <f>ROUND(AVERAGEIF(L27:L42,"&lt;&gt;0"),4)</f>
        <v>3.3E-3</v>
      </c>
      <c r="M26" s="3360">
        <f>ROUND(AVERAGEIF(M27:M42,"&lt;&gt;0"),4)</f>
        <v>2.3999999999999998E-3</v>
      </c>
      <c r="N26" s="3360">
        <f>ROUND(AVERAGEIF(N27:N42,"&lt;&gt;0"),4)</f>
        <v>6.1999999999999998E-3</v>
      </c>
      <c r="O26" s="3360"/>
      <c r="P26" s="3360">
        <f>M26</f>
        <v>2.3999999999999998E-3</v>
      </c>
      <c r="Q26" s="3358"/>
      <c r="R26" s="3375"/>
      <c r="S26" s="3376">
        <f>ROUND(SUMPRODUCT(PRODUCT(1+L27:L42)),4)</f>
        <v>1.0468999999999999</v>
      </c>
      <c r="T26" s="3376">
        <f>ROUND(SUMPRODUCT(PRODUCT(1+M27:M42)),4)</f>
        <v>1.0347</v>
      </c>
      <c r="U26" s="3376">
        <f>ROUND(SUMPRODUCT(PRODUCT(1+N27:N42)),4)</f>
        <v>1.0895999999999999</v>
      </c>
      <c r="V26" s="3376"/>
      <c r="W26" s="3375">
        <f>T26</f>
        <v>1.0347</v>
      </c>
      <c r="X26" s="3358"/>
      <c r="Y26" s="3383"/>
      <c r="Z26" s="3384">
        <f>ROUND(AVERAGEIF(Z27:Z42,"&lt;&gt;0"),4)</f>
        <v>4.1999999999999997E-3</v>
      </c>
      <c r="AA26" s="3385">
        <f>ROUND(AVERAGEIF(AA27:AA42,"&lt;&gt;0"),4)</f>
        <v>3.3E-3</v>
      </c>
      <c r="AB26" s="3383">
        <f>ROUND(AVERAGEIF(AB27:AB42,"&lt;&gt;0"),4)</f>
        <v>8.0000000000000002E-3</v>
      </c>
      <c r="AC26" s="3386"/>
      <c r="AD26" s="3383">
        <f>AA26</f>
        <v>3.3E-3</v>
      </c>
    </row>
    <row r="27" spans="1:30">
      <c r="A27" s="3343"/>
      <c r="B27" s="3361"/>
      <c r="C27" s="3362"/>
      <c r="D27" s="3362"/>
      <c r="E27" s="3362"/>
      <c r="F27" s="3362"/>
      <c r="G27" s="3362"/>
      <c r="H27" s="3362"/>
      <c r="I27" s="3362"/>
      <c r="J27" s="3350"/>
      <c r="K27" s="3363"/>
      <c r="L27" s="3364"/>
      <c r="M27" s="3364"/>
      <c r="N27" s="3364"/>
      <c r="O27" s="3364"/>
      <c r="P27" s="3364"/>
      <c r="Q27" s="3350"/>
      <c r="R27" s="3377"/>
      <c r="S27" s="3378"/>
      <c r="T27" s="3379"/>
      <c r="U27" s="3377"/>
      <c r="V27" s="3380"/>
      <c r="W27" s="3377"/>
      <c r="X27" s="3350"/>
      <c r="Y27" s="3367"/>
      <c r="Z27" s="3387"/>
      <c r="AA27" s="3388"/>
      <c r="AB27" s="3367"/>
      <c r="AC27" s="3389"/>
      <c r="AD27" s="3367"/>
    </row>
    <row r="28" spans="1:30">
      <c r="A28" s="3663" t="s">
        <v>3266</v>
      </c>
      <c r="B28" s="3403">
        <v>2024</v>
      </c>
      <c r="C28" s="3404">
        <v>3</v>
      </c>
      <c r="D28" s="3404"/>
      <c r="E28" s="3404">
        <v>0</v>
      </c>
      <c r="F28" s="3404">
        <v>0</v>
      </c>
      <c r="G28" s="3404">
        <v>0</v>
      </c>
      <c r="H28" s="3404"/>
      <c r="I28" s="3405">
        <f t="shared" ref="I28" si="45">F28</f>
        <v>0</v>
      </c>
      <c r="J28" s="3365"/>
      <c r="K28" s="3366"/>
      <c r="L28" s="3367">
        <f t="shared" ref="L28" si="46">E28/100</f>
        <v>0</v>
      </c>
      <c r="M28" s="3367">
        <f t="shared" ref="M28" si="47">F28/100</f>
        <v>0</v>
      </c>
      <c r="N28" s="3367">
        <f t="shared" ref="N28" si="48">G28/100</f>
        <v>0</v>
      </c>
      <c r="O28" s="3367"/>
      <c r="P28" s="3367">
        <f>M28</f>
        <v>0</v>
      </c>
      <c r="Q28" s="3365"/>
      <c r="R28" s="3381"/>
      <c r="S28" s="3381">
        <f>ROUND(IF(项目基本情况!$B$8="出让",SUMPRODUCT(PRODUCT(1+L28:L$42)),SUMPRODUCT(PRODUCT(1+L28:L$41))),4)</f>
        <v>1.0432999999999999</v>
      </c>
      <c r="T28" s="3381">
        <f>ROUND(IF(项目基本情况!$B$8="出让",SUMPRODUCT(PRODUCT(1+M28:M$42)),SUMPRODUCT(PRODUCT(1+M28:M$41))),4)</f>
        <v>1.0298</v>
      </c>
      <c r="U28" s="3381">
        <f>ROUND(IF(项目基本情况!$B$8="出让",SUMPRODUCT(PRODUCT(1+N28:N$42)),SUMPRODUCT(PRODUCT(1+N28:N$41))),4)</f>
        <v>1.079</v>
      </c>
      <c r="V28" s="3381"/>
      <c r="W28" s="3381">
        <f>T28</f>
        <v>1.0298</v>
      </c>
      <c r="X28" s="3365"/>
      <c r="Y28" s="3390"/>
      <c r="Z28" s="3391">
        <f t="shared" ref="Z28:AB29" si="49">IF(E28=0,0,ROUND(AVERAGE(E28:E41)/100,4))</f>
        <v>0</v>
      </c>
      <c r="AA28" s="3391">
        <f t="shared" si="49"/>
        <v>0</v>
      </c>
      <c r="AB28" s="3391">
        <f t="shared" si="49"/>
        <v>0</v>
      </c>
      <c r="AC28" s="3392"/>
      <c r="AD28" s="3390">
        <f>IF(I28=0,0,ROUND(AVERAGE(I28:I41)/100,4))</f>
        <v>0</v>
      </c>
    </row>
    <row r="29" spans="1:30">
      <c r="A29" s="3345" t="s">
        <v>3268</v>
      </c>
      <c r="B29" s="3406">
        <v>2024</v>
      </c>
      <c r="C29" s="3407">
        <v>2</v>
      </c>
      <c r="D29" s="3407"/>
      <c r="E29" s="3407">
        <v>-0.31</v>
      </c>
      <c r="F29" s="3407">
        <v>-0.39</v>
      </c>
      <c r="G29" s="3407">
        <v>1.23</v>
      </c>
      <c r="H29" s="3408"/>
      <c r="I29" s="3409">
        <f t="shared" ref="I29:I42" si="50">F29</f>
        <v>-0.39</v>
      </c>
      <c r="J29" s="3368"/>
      <c r="K29" s="3369"/>
      <c r="L29" s="3370">
        <f t="shared" ref="L29:N42" si="51">E29/100</f>
        <v>-3.0999999999999999E-3</v>
      </c>
      <c r="M29" s="3370">
        <f t="shared" si="51"/>
        <v>-3.9000000000000003E-3</v>
      </c>
      <c r="N29" s="3370">
        <f t="shared" si="51"/>
        <v>1.23E-2</v>
      </c>
      <c r="O29" s="3370"/>
      <c r="P29" s="3370">
        <f>M29</f>
        <v>-3.9000000000000003E-3</v>
      </c>
      <c r="Q29" s="3368"/>
      <c r="R29" s="3368"/>
      <c r="S29" s="3368">
        <f>ROUND(IF(项目基本情况!$B$8="出让",SUMPRODUCT(PRODUCT(1+L29:L$42)),SUMPRODUCT(PRODUCT(1+L29:L$41))),4)</f>
        <v>1.0432999999999999</v>
      </c>
      <c r="T29" s="3368">
        <f>ROUND(IF(项目基本情况!$B$8="出让",SUMPRODUCT(PRODUCT(1+M29:M$42)),SUMPRODUCT(PRODUCT(1+M29:M$41))),4)</f>
        <v>1.0298</v>
      </c>
      <c r="U29" s="3368">
        <f>ROUND(IF(项目基本情况!$B$8="出让",SUMPRODUCT(PRODUCT(1+N29:N$42)),SUMPRODUCT(PRODUCT(1+N29:N$41))),4)</f>
        <v>1.079</v>
      </c>
      <c r="V29" s="3368"/>
      <c r="W29" s="3368">
        <f>T29</f>
        <v>1.0298</v>
      </c>
      <c r="X29" s="3368"/>
      <c r="Y29" s="3370"/>
      <c r="Z29" s="3394">
        <f t="shared" si="49"/>
        <v>3.3E-3</v>
      </c>
      <c r="AA29" s="3395">
        <f t="shared" si="49"/>
        <v>2.3999999999999998E-3</v>
      </c>
      <c r="AB29" s="3370">
        <f t="shared" si="49"/>
        <v>6.1999999999999998E-3</v>
      </c>
      <c r="AC29" s="3396"/>
      <c r="AD29" s="3370">
        <f>IF(I29=0,0,ROUND(AVERAGE(I29:I42)/100,4))</f>
        <v>2.3999999999999998E-3</v>
      </c>
    </row>
    <row r="30" spans="1:30">
      <c r="A30" s="3344" t="s">
        <v>3269</v>
      </c>
      <c r="B30" s="3403">
        <v>2024</v>
      </c>
      <c r="C30" s="3404">
        <v>1</v>
      </c>
      <c r="D30" s="3404"/>
      <c r="E30" s="3404">
        <v>0.25</v>
      </c>
      <c r="F30" s="3404">
        <v>0.4</v>
      </c>
      <c r="G30" s="3404">
        <v>-0.63</v>
      </c>
      <c r="H30" s="3410"/>
      <c r="I30" s="3405">
        <f t="shared" si="50"/>
        <v>0.4</v>
      </c>
      <c r="J30" s="3365"/>
      <c r="K30" s="3366"/>
      <c r="L30" s="3367">
        <f t="shared" ref="L30" si="52">E30/100</f>
        <v>2.5000000000000001E-3</v>
      </c>
      <c r="M30" s="3367">
        <f t="shared" ref="M30" si="53">F30/100</f>
        <v>4.0000000000000001E-3</v>
      </c>
      <c r="N30" s="3367">
        <f t="shared" ref="N30" si="54">G30/100</f>
        <v>-6.3E-3</v>
      </c>
      <c r="O30" s="3367"/>
      <c r="P30" s="3367">
        <f t="shared" ref="P30" si="55">M30</f>
        <v>4.0000000000000001E-3</v>
      </c>
      <c r="Q30" s="3365"/>
      <c r="R30" s="3381"/>
      <c r="S30" s="3381">
        <f>ROUND(IF(项目基本情况!$B$8="出让",SUMPRODUCT(PRODUCT(1+L30:L$42)),SUMPRODUCT(PRODUCT(1+L30:L$41))),4)</f>
        <v>1.0465</v>
      </c>
      <c r="T30" s="3381">
        <f>ROUND(IF(项目基本情况!$B$8="出让",SUMPRODUCT(PRODUCT(1+M30:M$42)),SUMPRODUCT(PRODUCT(1+M30:M$41))),4)</f>
        <v>1.0338000000000001</v>
      </c>
      <c r="U30" s="3381">
        <f>ROUND(IF(项目基本情况!$B$8="出让",SUMPRODUCT(PRODUCT(1+N30:N$42)),SUMPRODUCT(PRODUCT(1+N30:N$41))),4)</f>
        <v>1.0659000000000001</v>
      </c>
      <c r="V30" s="3381"/>
      <c r="W30" s="3381">
        <f t="shared" ref="W30" si="56">T30</f>
        <v>1.0338000000000001</v>
      </c>
      <c r="X30" s="3365"/>
      <c r="Y30" s="3390"/>
      <c r="Z30" s="3391">
        <f t="shared" ref="Z30" si="57">IF(E30=0,0,ROUND(AVERAGE(E30:E41)/100,4))</f>
        <v>3.8E-3</v>
      </c>
      <c r="AA30" s="3393">
        <f t="shared" ref="AA30" si="58">IF(F30=0,0,ROUND(AVERAGE(F30:F41)/100,4))</f>
        <v>2.8E-3</v>
      </c>
      <c r="AB30" s="3390">
        <f t="shared" ref="AB30" si="59">IF(G30=0,0,ROUND(AVERAGE(G30:G41)/100,4))</f>
        <v>5.3E-3</v>
      </c>
      <c r="AC30" s="3392"/>
      <c r="AD30" s="3390">
        <f t="shared" ref="AD30" si="60">IF(I30=0,0,ROUND(AVERAGE(I30:I41)/100,4))</f>
        <v>2.8E-3</v>
      </c>
    </row>
    <row r="31" spans="1:30">
      <c r="A31" s="3344" t="s">
        <v>3264</v>
      </c>
      <c r="B31" s="3403">
        <v>2023</v>
      </c>
      <c r="C31" s="3404">
        <v>4</v>
      </c>
      <c r="D31" s="3404"/>
      <c r="E31" s="3404">
        <v>7.0000000000000007E-2</v>
      </c>
      <c r="F31" s="3404">
        <v>0.09</v>
      </c>
      <c r="G31" s="3404">
        <v>0.03</v>
      </c>
      <c r="H31" s="3410"/>
      <c r="I31" s="3405">
        <f t="shared" ref="I31" si="61">F31</f>
        <v>0.09</v>
      </c>
      <c r="J31" s="3365"/>
      <c r="K31" s="3366"/>
      <c r="L31" s="3367">
        <f t="shared" si="51"/>
        <v>7.000000000000001E-4</v>
      </c>
      <c r="M31" s="3367">
        <f t="shared" si="51"/>
        <v>8.9999999999999998E-4</v>
      </c>
      <c r="N31" s="3367">
        <f t="shared" si="51"/>
        <v>2.9999999999999997E-4</v>
      </c>
      <c r="O31" s="3367"/>
      <c r="P31" s="3367">
        <f t="shared" ref="P31" si="62">M31</f>
        <v>8.9999999999999998E-4</v>
      </c>
      <c r="Q31" s="3365"/>
      <c r="R31" s="3381"/>
      <c r="S31" s="3381">
        <f>ROUND(IF(项目基本情况!$B$8="出让",SUMPRODUCT(PRODUCT(1+L31:L$42)),SUMPRODUCT(PRODUCT(1+L31:L$41))),4)</f>
        <v>1.0439000000000001</v>
      </c>
      <c r="T31" s="3381">
        <f>ROUND(IF(项目基本情况!$B$8="出让",SUMPRODUCT(PRODUCT(1+M31:M$42)),SUMPRODUCT(PRODUCT(1+M31:M$41))),4)</f>
        <v>1.0297000000000001</v>
      </c>
      <c r="U31" s="3381">
        <f>ROUND(IF(项目基本情况!$B$8="出让",SUMPRODUCT(PRODUCT(1+N31:N$42)),SUMPRODUCT(PRODUCT(1+N31:N$41))),4)</f>
        <v>1.0727</v>
      </c>
      <c r="V31" s="3381"/>
      <c r="W31" s="3381">
        <f t="shared" ref="W31" si="63">T31</f>
        <v>1.0297000000000001</v>
      </c>
      <c r="X31" s="3365"/>
      <c r="Y31" s="3390"/>
      <c r="Z31" s="3391">
        <f t="shared" ref="Z31" si="64">IF(E31=0,0,ROUND(AVERAGE(E31:E42)/100,4))</f>
        <v>3.8999999999999998E-3</v>
      </c>
      <c r="AA31" s="3393">
        <f t="shared" ref="AA31" si="65">IF(F31=0,0,ROUND(AVERAGE(F31:F42)/100,4))</f>
        <v>2.8E-3</v>
      </c>
      <c r="AB31" s="3390">
        <f t="shared" ref="AB31" si="66">IF(G31=0,0,ROUND(AVERAGE(G31:G42)/100,4))</f>
        <v>6.7000000000000002E-3</v>
      </c>
      <c r="AC31" s="3392"/>
      <c r="AD31" s="3390">
        <f t="shared" ref="AD31" si="67">IF(I31=0,0,ROUND(AVERAGE(I31:I42)/100,4))</f>
        <v>2.8E-3</v>
      </c>
    </row>
    <row r="32" spans="1:30">
      <c r="A32" s="3344" t="s">
        <v>3262</v>
      </c>
      <c r="B32" s="3403">
        <v>2023</v>
      </c>
      <c r="C32" s="3404">
        <v>3</v>
      </c>
      <c r="D32" s="3404"/>
      <c r="E32" s="3404">
        <v>0.35</v>
      </c>
      <c r="F32" s="3404">
        <v>0.17</v>
      </c>
      <c r="G32" s="3404">
        <v>0.52</v>
      </c>
      <c r="H32" s="3410"/>
      <c r="I32" s="3405">
        <f t="shared" si="50"/>
        <v>0.17</v>
      </c>
      <c r="J32" s="3365"/>
      <c r="K32" s="3366"/>
      <c r="L32" s="3367">
        <f t="shared" ref="L32:L34" si="68">E32/100</f>
        <v>3.4999999999999996E-3</v>
      </c>
      <c r="M32" s="3367">
        <f t="shared" ref="M32:M34" si="69">F32/100</f>
        <v>1.7000000000000001E-3</v>
      </c>
      <c r="N32" s="3367">
        <f t="shared" ref="N32:N34" si="70">G32/100</f>
        <v>5.1999999999999998E-3</v>
      </c>
      <c r="O32" s="3367"/>
      <c r="P32" s="3367">
        <f t="shared" ref="P32:P34" si="71">M32</f>
        <v>1.7000000000000001E-3</v>
      </c>
      <c r="Q32" s="3365"/>
      <c r="R32" s="3381"/>
      <c r="S32" s="3381">
        <f>ROUND(IF(项目基本情况!$B$8="出让",SUMPRODUCT(PRODUCT(1+L32:L$42)),SUMPRODUCT(PRODUCT(1+L32:L$41))),4)</f>
        <v>1.0431999999999999</v>
      </c>
      <c r="T32" s="3381">
        <f>ROUND(IF(项目基本情况!$B$8="出让",SUMPRODUCT(PRODUCT(1+M32:M$42)),SUMPRODUCT(PRODUCT(1+M32:M$41))),4)</f>
        <v>1.0286999999999999</v>
      </c>
      <c r="U32" s="3381">
        <f>ROUND(IF(项目基本情况!$B$8="出让",SUMPRODUCT(PRODUCT(1+N32:N$42)),SUMPRODUCT(PRODUCT(1+N32:N$41))),4)</f>
        <v>1.0723</v>
      </c>
      <c r="V32" s="3381"/>
      <c r="W32" s="3381">
        <f t="shared" ref="W32:W34" si="72">T32</f>
        <v>1.0286999999999999</v>
      </c>
      <c r="X32" s="3365"/>
      <c r="Y32" s="3390"/>
      <c r="Z32" s="3391">
        <f t="shared" ref="Z32:AB32" si="73">IF(E32=0,0,ROUND(AVERAGE(E32:E43)/100,4))</f>
        <v>4.1999999999999997E-3</v>
      </c>
      <c r="AA32" s="3393">
        <f t="shared" si="73"/>
        <v>3.0000000000000001E-3</v>
      </c>
      <c r="AB32" s="3390">
        <f t="shared" si="73"/>
        <v>7.3000000000000001E-3</v>
      </c>
      <c r="AC32" s="3392"/>
      <c r="AD32" s="3390">
        <f t="shared" ref="AD32:AD34" si="74">IF(I32=0,0,ROUND(AVERAGE(I32:I43)/100,4))</f>
        <v>3.0000000000000001E-3</v>
      </c>
    </row>
    <row r="33" spans="1:30">
      <c r="A33" s="3344" t="s">
        <v>3260</v>
      </c>
      <c r="B33" s="3403">
        <v>2023</v>
      </c>
      <c r="C33" s="3404">
        <v>2</v>
      </c>
      <c r="D33" s="3404"/>
      <c r="E33" s="3404">
        <v>0.5</v>
      </c>
      <c r="F33" s="3404">
        <v>0.45</v>
      </c>
      <c r="G33" s="3404">
        <v>0.89</v>
      </c>
      <c r="H33" s="3410"/>
      <c r="I33" s="3405">
        <f t="shared" si="50"/>
        <v>0.45</v>
      </c>
      <c r="J33" s="3365"/>
      <c r="K33" s="3366"/>
      <c r="L33" s="3367">
        <f t="shared" si="68"/>
        <v>5.0000000000000001E-3</v>
      </c>
      <c r="M33" s="3367">
        <f t="shared" si="69"/>
        <v>4.5000000000000005E-3</v>
      </c>
      <c r="N33" s="3367">
        <f t="shared" si="70"/>
        <v>8.8999999999999999E-3</v>
      </c>
      <c r="O33" s="3367"/>
      <c r="P33" s="3367">
        <f t="shared" si="71"/>
        <v>4.5000000000000005E-3</v>
      </c>
      <c r="Q33" s="3365"/>
      <c r="R33" s="3381"/>
      <c r="S33" s="3381">
        <f>ROUND(IF(项目基本情况!$B$8="出让",SUMPRODUCT(PRODUCT(1+L33:L$42)),SUMPRODUCT(PRODUCT(1+L33:L$41))),4)</f>
        <v>1.0396000000000001</v>
      </c>
      <c r="T33" s="3381">
        <f>ROUND(IF(项目基本情况!$B$8="出让",SUMPRODUCT(PRODUCT(1+M33:M$42)),SUMPRODUCT(PRODUCT(1+M33:M$41))),4)</f>
        <v>1.0269999999999999</v>
      </c>
      <c r="U33" s="3381">
        <f>ROUND(IF(项目基本情况!$B$8="出让",SUMPRODUCT(PRODUCT(1+N33:N$42)),SUMPRODUCT(PRODUCT(1+N33:N$41))),4)</f>
        <v>1.0668</v>
      </c>
      <c r="V33" s="3381"/>
      <c r="W33" s="3381">
        <f t="shared" si="72"/>
        <v>1.0269999999999999</v>
      </c>
      <c r="X33" s="3365"/>
      <c r="Y33" s="3390"/>
      <c r="Z33" s="3391">
        <f t="shared" ref="Z33:AB33" si="75">IF(E33=0,0,ROUND(AVERAGE(E33:E44)/100,4))</f>
        <v>4.1999999999999997E-3</v>
      </c>
      <c r="AA33" s="3393">
        <f t="shared" si="75"/>
        <v>3.2000000000000002E-3</v>
      </c>
      <c r="AB33" s="3390">
        <f t="shared" si="75"/>
        <v>7.4999999999999997E-3</v>
      </c>
      <c r="AC33" s="3392"/>
      <c r="AD33" s="3390">
        <f t="shared" si="74"/>
        <v>3.2000000000000002E-3</v>
      </c>
    </row>
    <row r="34" spans="1:30">
      <c r="A34" s="3344" t="s">
        <v>3258</v>
      </c>
      <c r="B34" s="3403">
        <v>2023</v>
      </c>
      <c r="C34" s="3404">
        <v>1</v>
      </c>
      <c r="D34" s="3404"/>
      <c r="E34" s="3404">
        <v>0.55000000000000004</v>
      </c>
      <c r="F34" s="3404">
        <v>0.59</v>
      </c>
      <c r="G34" s="3404">
        <v>0.64</v>
      </c>
      <c r="H34" s="3410"/>
      <c r="I34" s="3405">
        <f t="shared" si="50"/>
        <v>0.59</v>
      </c>
      <c r="J34" s="3365"/>
      <c r="K34" s="3366"/>
      <c r="L34" s="3367">
        <f t="shared" si="68"/>
        <v>5.5000000000000005E-3</v>
      </c>
      <c r="M34" s="3367">
        <f t="shared" si="69"/>
        <v>5.8999999999999999E-3</v>
      </c>
      <c r="N34" s="3367">
        <f t="shared" si="70"/>
        <v>6.4000000000000003E-3</v>
      </c>
      <c r="O34" s="3367"/>
      <c r="P34" s="3367">
        <f t="shared" si="71"/>
        <v>5.8999999999999999E-3</v>
      </c>
      <c r="Q34" s="3365"/>
      <c r="R34" s="3381"/>
      <c r="S34" s="3381">
        <f>ROUND(IF(项目基本情况!$B$8="出让",SUMPRODUCT(PRODUCT(1+L34:L$42)),SUMPRODUCT(PRODUCT(1+L34:L$41))),4)</f>
        <v>1.0344</v>
      </c>
      <c r="T34" s="3381">
        <f>ROUND(IF(项目基本情况!$B$8="出让",SUMPRODUCT(PRODUCT(1+M34:M$42)),SUMPRODUCT(PRODUCT(1+M34:M$41))),4)</f>
        <v>1.0224</v>
      </c>
      <c r="U34" s="3381">
        <f>ROUND(IF(项目基本情况!$B$8="出让",SUMPRODUCT(PRODUCT(1+N34:N$42)),SUMPRODUCT(PRODUCT(1+N34:N$41))),4)</f>
        <v>1.0573999999999999</v>
      </c>
      <c r="V34" s="3381"/>
      <c r="W34" s="3381">
        <f t="shared" si="72"/>
        <v>1.0224</v>
      </c>
      <c r="X34" s="3365"/>
      <c r="Y34" s="3390"/>
      <c r="Z34" s="3391">
        <f t="shared" ref="Z34:AB34" si="76">IF(E34=0,0,ROUND(AVERAGE(E34:E45)/100,4))</f>
        <v>4.1999999999999997E-3</v>
      </c>
      <c r="AA34" s="3393">
        <f t="shared" si="76"/>
        <v>3.0000000000000001E-3</v>
      </c>
      <c r="AB34" s="3390">
        <f t="shared" si="76"/>
        <v>7.3000000000000001E-3</v>
      </c>
      <c r="AC34" s="3392"/>
      <c r="AD34" s="3390">
        <f t="shared" si="74"/>
        <v>3.0000000000000001E-3</v>
      </c>
    </row>
    <row r="35" spans="1:30">
      <c r="A35" s="3344" t="s">
        <v>3256</v>
      </c>
      <c r="B35" s="3403">
        <v>2022</v>
      </c>
      <c r="C35" s="3404">
        <v>4</v>
      </c>
      <c r="D35" s="3404"/>
      <c r="E35" s="3404">
        <v>0.45</v>
      </c>
      <c r="F35" s="3404">
        <v>0.2</v>
      </c>
      <c r="G35" s="3404">
        <v>0.38</v>
      </c>
      <c r="H35" s="3410"/>
      <c r="I35" s="3405">
        <f t="shared" si="50"/>
        <v>0.2</v>
      </c>
      <c r="J35" s="3365"/>
      <c r="K35" s="3366"/>
      <c r="L35" s="3367">
        <f t="shared" si="51"/>
        <v>4.5000000000000005E-3</v>
      </c>
      <c r="M35" s="3367">
        <f t="shared" si="51"/>
        <v>2E-3</v>
      </c>
      <c r="N35" s="3367">
        <f t="shared" si="51"/>
        <v>3.8E-3</v>
      </c>
      <c r="O35" s="3367"/>
      <c r="P35" s="3367">
        <f t="shared" ref="P35:P42" si="77">M35</f>
        <v>2E-3</v>
      </c>
      <c r="Q35" s="3365"/>
      <c r="R35" s="3381"/>
      <c r="S35" s="3381">
        <f>ROUND(IF(项目基本情况!$B$8="出让",SUMPRODUCT(PRODUCT(1+L35:L$42)),SUMPRODUCT(PRODUCT(1+L35:L$41))),4)</f>
        <v>1.0286999999999999</v>
      </c>
      <c r="T35" s="3381">
        <f>ROUND(IF(项目基本情况!$B$8="出让",SUMPRODUCT(PRODUCT(1+M35:M$42)),SUMPRODUCT(PRODUCT(1+M35:M$41))),4)</f>
        <v>1.0164</v>
      </c>
      <c r="U35" s="3381">
        <f>ROUND(IF(项目基本情况!$B$8="出让",SUMPRODUCT(PRODUCT(1+N35:N$42)),SUMPRODUCT(PRODUCT(1+N35:N$41))),4)</f>
        <v>1.0506</v>
      </c>
      <c r="V35" s="3381"/>
      <c r="W35" s="3381">
        <f t="shared" ref="W35:W42" si="78">T35</f>
        <v>1.0164</v>
      </c>
      <c r="X35" s="3365"/>
      <c r="Y35" s="3390"/>
      <c r="Z35" s="3391">
        <f t="shared" ref="Z35:AD42" si="79">IF(E35=0,0,ROUND(AVERAGE(E35:E43)/100,4))</f>
        <v>4.0000000000000001E-3</v>
      </c>
      <c r="AA35" s="3393">
        <f t="shared" si="79"/>
        <v>2.5999999999999999E-3</v>
      </c>
      <c r="AB35" s="3390">
        <f t="shared" si="79"/>
        <v>7.4000000000000003E-3</v>
      </c>
      <c r="AC35" s="3392"/>
      <c r="AD35" s="3390">
        <f t="shared" si="79"/>
        <v>2.5999999999999999E-3</v>
      </c>
    </row>
    <row r="36" spans="1:30">
      <c r="A36" s="3344" t="s">
        <v>3252</v>
      </c>
      <c r="B36" s="3403">
        <v>2022</v>
      </c>
      <c r="C36" s="3404">
        <v>3</v>
      </c>
      <c r="D36" s="3404"/>
      <c r="E36" s="3404">
        <v>0.3</v>
      </c>
      <c r="F36" s="3404">
        <v>0.28999999999999998</v>
      </c>
      <c r="G36" s="3404">
        <v>0.83</v>
      </c>
      <c r="H36" s="3410"/>
      <c r="I36" s="3405">
        <f t="shared" si="50"/>
        <v>0.28999999999999998</v>
      </c>
      <c r="J36" s="3365"/>
      <c r="K36" s="3366"/>
      <c r="L36" s="3367">
        <f t="shared" si="51"/>
        <v>3.0000000000000001E-3</v>
      </c>
      <c r="M36" s="3367">
        <f t="shared" si="51"/>
        <v>2.8999999999999998E-3</v>
      </c>
      <c r="N36" s="3367">
        <f t="shared" si="51"/>
        <v>8.3000000000000001E-3</v>
      </c>
      <c r="O36" s="3367"/>
      <c r="P36" s="3367">
        <f t="shared" si="77"/>
        <v>2.8999999999999998E-3</v>
      </c>
      <c r="Q36" s="3365"/>
      <c r="R36" s="3381"/>
      <c r="S36" s="3381">
        <f>ROUND(IF(项目基本情况!$B$8="出让",SUMPRODUCT(PRODUCT(1+L36:L$42)),SUMPRODUCT(PRODUCT(1+L36:L$41))),4)</f>
        <v>1.0241</v>
      </c>
      <c r="T36" s="3381">
        <f>ROUND(IF(项目基本情况!$B$8="出让",SUMPRODUCT(PRODUCT(1+M36:M$42)),SUMPRODUCT(PRODUCT(1+M36:M$41))),4)</f>
        <v>1.0144</v>
      </c>
      <c r="U36" s="3381">
        <f>ROUND(IF(项目基本情况!$B$8="出让",SUMPRODUCT(PRODUCT(1+N36:N$42)),SUMPRODUCT(PRODUCT(1+N36:N$41))),4)</f>
        <v>1.0467</v>
      </c>
      <c r="V36" s="3381"/>
      <c r="W36" s="3381">
        <f t="shared" si="78"/>
        <v>1.0144</v>
      </c>
      <c r="X36" s="3365"/>
      <c r="Y36" s="3390"/>
      <c r="Z36" s="3391">
        <f t="shared" si="79"/>
        <v>3.8999999999999998E-3</v>
      </c>
      <c r="AA36" s="3393">
        <f t="shared" si="79"/>
        <v>2.7000000000000001E-3</v>
      </c>
      <c r="AB36" s="3390">
        <f t="shared" si="79"/>
        <v>7.9000000000000008E-3</v>
      </c>
      <c r="AC36" s="3392"/>
      <c r="AD36" s="3390">
        <f t="shared" si="79"/>
        <v>2.7000000000000001E-3</v>
      </c>
    </row>
    <row r="37" spans="1:30">
      <c r="A37" s="3344" t="s">
        <v>3251</v>
      </c>
      <c r="B37" s="3403">
        <v>2022</v>
      </c>
      <c r="C37" s="3404">
        <v>2</v>
      </c>
      <c r="D37" s="3404"/>
      <c r="E37" s="3404">
        <v>-0.11</v>
      </c>
      <c r="F37" s="3404">
        <v>-0.13</v>
      </c>
      <c r="G37" s="3404">
        <v>0.53</v>
      </c>
      <c r="H37" s="3410"/>
      <c r="I37" s="3405">
        <f t="shared" si="50"/>
        <v>-0.13</v>
      </c>
      <c r="J37" s="3365"/>
      <c r="K37" s="3366"/>
      <c r="L37" s="3367">
        <f t="shared" si="51"/>
        <v>-1.1000000000000001E-3</v>
      </c>
      <c r="M37" s="3367">
        <f t="shared" si="51"/>
        <v>-1.2999999999999999E-3</v>
      </c>
      <c r="N37" s="3367">
        <f t="shared" si="51"/>
        <v>5.3E-3</v>
      </c>
      <c r="O37" s="3367"/>
      <c r="P37" s="3367">
        <f t="shared" si="77"/>
        <v>-1.2999999999999999E-3</v>
      </c>
      <c r="Q37" s="3365"/>
      <c r="R37" s="3381"/>
      <c r="S37" s="3381">
        <f>ROUND(IF(项目基本情况!$B$8="出让",SUMPRODUCT(PRODUCT(1+L37:L$42)),SUMPRODUCT(PRODUCT(1+L37:L$41))),4)</f>
        <v>1.0210999999999999</v>
      </c>
      <c r="T37" s="3381">
        <f>ROUND(IF(项目基本情况!$B$8="出让",SUMPRODUCT(PRODUCT(1+M37:M$42)),SUMPRODUCT(PRODUCT(1+M37:M$41))),4)</f>
        <v>1.0114000000000001</v>
      </c>
      <c r="U37" s="3381">
        <f>ROUND(IF(项目基本情况!$B$8="出让",SUMPRODUCT(PRODUCT(1+N37:N$42)),SUMPRODUCT(PRODUCT(1+N37:N$41))),4)</f>
        <v>1.0381</v>
      </c>
      <c r="V37" s="3381"/>
      <c r="W37" s="3381">
        <f t="shared" si="78"/>
        <v>1.0114000000000001</v>
      </c>
      <c r="X37" s="3365"/>
      <c r="Y37" s="3390"/>
      <c r="Z37" s="3391">
        <f t="shared" si="79"/>
        <v>4.1000000000000003E-3</v>
      </c>
      <c r="AA37" s="3393">
        <f t="shared" si="79"/>
        <v>2.7000000000000001E-3</v>
      </c>
      <c r="AB37" s="3390">
        <f t="shared" si="79"/>
        <v>7.9000000000000008E-3</v>
      </c>
      <c r="AC37" s="3392"/>
      <c r="AD37" s="3390">
        <f t="shared" si="79"/>
        <v>2.7000000000000001E-3</v>
      </c>
    </row>
    <row r="38" spans="1:30">
      <c r="A38" s="3344" t="s">
        <v>2785</v>
      </c>
      <c r="B38" s="3403">
        <v>2022</v>
      </c>
      <c r="C38" s="3404">
        <v>1</v>
      </c>
      <c r="D38" s="3404"/>
      <c r="E38" s="3404">
        <v>0.6</v>
      </c>
      <c r="F38" s="3404">
        <v>0.45</v>
      </c>
      <c r="G38" s="3404">
        <v>0.53</v>
      </c>
      <c r="H38" s="3410"/>
      <c r="I38" s="3405">
        <f t="shared" si="50"/>
        <v>0.45</v>
      </c>
      <c r="J38" s="3365"/>
      <c r="K38" s="3366"/>
      <c r="L38" s="3367">
        <f t="shared" si="51"/>
        <v>6.0000000000000001E-3</v>
      </c>
      <c r="M38" s="3367">
        <f t="shared" si="51"/>
        <v>4.5000000000000005E-3</v>
      </c>
      <c r="N38" s="3367">
        <f t="shared" si="51"/>
        <v>5.3E-3</v>
      </c>
      <c r="O38" s="3367"/>
      <c r="P38" s="3367">
        <f t="shared" si="77"/>
        <v>4.5000000000000005E-3</v>
      </c>
      <c r="Q38" s="3365"/>
      <c r="R38" s="3381"/>
      <c r="S38" s="3381">
        <f>ROUND(IF(项目基本情况!$B$8="出让",SUMPRODUCT(PRODUCT(1+L38:L$42)),SUMPRODUCT(PRODUCT(1+L38:L$41))),4)</f>
        <v>1.0222</v>
      </c>
      <c r="T38" s="3381">
        <f>ROUND(IF(项目基本情况!$B$8="出让",SUMPRODUCT(PRODUCT(1+M38:M$42)),SUMPRODUCT(PRODUCT(1+M38:M$41))),4)</f>
        <v>1.0127999999999999</v>
      </c>
      <c r="U38" s="3381">
        <f>ROUND(IF(项目基本情况!$B$8="出让",SUMPRODUCT(PRODUCT(1+N38:N$42)),SUMPRODUCT(PRODUCT(1+N38:N$41))),4)</f>
        <v>1.0326</v>
      </c>
      <c r="V38" s="3381"/>
      <c r="W38" s="3381">
        <f t="shared" si="78"/>
        <v>1.0127999999999999</v>
      </c>
      <c r="X38" s="3365"/>
      <c r="Y38" s="3390"/>
      <c r="Z38" s="3391">
        <f t="shared" si="79"/>
        <v>5.1000000000000004E-3</v>
      </c>
      <c r="AA38" s="3393">
        <f t="shared" si="79"/>
        <v>3.5000000000000001E-3</v>
      </c>
      <c r="AB38" s="3390">
        <f t="shared" si="79"/>
        <v>8.3999999999999995E-3</v>
      </c>
      <c r="AC38" s="3392"/>
      <c r="AD38" s="3390">
        <f t="shared" si="79"/>
        <v>3.5000000000000001E-3</v>
      </c>
    </row>
    <row r="39" spans="1:30">
      <c r="A39" s="3344" t="s">
        <v>2786</v>
      </c>
      <c r="B39" s="3403">
        <v>2021</v>
      </c>
      <c r="C39" s="3404">
        <v>4</v>
      </c>
      <c r="D39" s="3404"/>
      <c r="E39" s="3404">
        <v>0.57999999999999996</v>
      </c>
      <c r="F39" s="3404">
        <v>0.08</v>
      </c>
      <c r="G39" s="3404">
        <v>0.68</v>
      </c>
      <c r="H39" s="3410"/>
      <c r="I39" s="3405">
        <f t="shared" si="50"/>
        <v>0.08</v>
      </c>
      <c r="J39" s="3365"/>
      <c r="K39" s="3366"/>
      <c r="L39" s="3367">
        <f t="shared" si="51"/>
        <v>5.7999999999999996E-3</v>
      </c>
      <c r="M39" s="3367">
        <f t="shared" si="51"/>
        <v>8.0000000000000004E-4</v>
      </c>
      <c r="N39" s="3367">
        <f t="shared" si="51"/>
        <v>6.8000000000000005E-3</v>
      </c>
      <c r="O39" s="3367"/>
      <c r="P39" s="3367">
        <f t="shared" si="77"/>
        <v>8.0000000000000004E-4</v>
      </c>
      <c r="Q39" s="3365"/>
      <c r="R39" s="3381"/>
      <c r="S39" s="3381">
        <f>ROUND(IF(项目基本情况!$B$8="出让",SUMPRODUCT(PRODUCT(1+L39:L$42)),SUMPRODUCT(PRODUCT(1+L39:L$41))),4)</f>
        <v>1.0161</v>
      </c>
      <c r="T39" s="3381">
        <f>ROUND(IF(项目基本情况!$B$8="出让",SUMPRODUCT(PRODUCT(1+M39:M$42)),SUMPRODUCT(PRODUCT(1+M39:M$41))),4)</f>
        <v>1.0082</v>
      </c>
      <c r="U39" s="3381">
        <f>ROUND(IF(项目基本情况!$B$8="出让",SUMPRODUCT(PRODUCT(1+N39:N$42)),SUMPRODUCT(PRODUCT(1+N39:N$41))),4)</f>
        <v>1.0270999999999999</v>
      </c>
      <c r="V39" s="3381"/>
      <c r="W39" s="3381">
        <f t="shared" si="78"/>
        <v>1.0082</v>
      </c>
      <c r="X39" s="3365"/>
      <c r="Y39" s="3390"/>
      <c r="Z39" s="3391">
        <f t="shared" si="79"/>
        <v>4.8999999999999998E-3</v>
      </c>
      <c r="AA39" s="3393">
        <f t="shared" si="79"/>
        <v>3.3E-3</v>
      </c>
      <c r="AB39" s="3390">
        <f t="shared" si="79"/>
        <v>9.1999999999999998E-3</v>
      </c>
      <c r="AC39" s="3392"/>
      <c r="AD39" s="3390">
        <f t="shared" si="79"/>
        <v>3.3E-3</v>
      </c>
    </row>
    <row r="40" spans="1:30">
      <c r="A40" s="3344" t="s">
        <v>2787</v>
      </c>
      <c r="B40" s="3403">
        <v>2021</v>
      </c>
      <c r="C40" s="3404">
        <v>3</v>
      </c>
      <c r="D40" s="3404"/>
      <c r="E40" s="3404">
        <v>0.47</v>
      </c>
      <c r="F40" s="3404">
        <v>0.28000000000000003</v>
      </c>
      <c r="G40" s="3404">
        <v>0.91</v>
      </c>
      <c r="H40" s="3410"/>
      <c r="I40" s="3405">
        <f t="shared" si="50"/>
        <v>0.28000000000000003</v>
      </c>
      <c r="J40" s="3365"/>
      <c r="K40" s="3366"/>
      <c r="L40" s="3367">
        <f t="shared" si="51"/>
        <v>4.6999999999999993E-3</v>
      </c>
      <c r="M40" s="3367">
        <f t="shared" si="51"/>
        <v>2.8000000000000004E-3</v>
      </c>
      <c r="N40" s="3367">
        <f t="shared" si="51"/>
        <v>9.1000000000000004E-3</v>
      </c>
      <c r="O40" s="3367"/>
      <c r="P40" s="3367">
        <f t="shared" si="77"/>
        <v>2.8000000000000004E-3</v>
      </c>
      <c r="Q40" s="3365"/>
      <c r="R40" s="3381"/>
      <c r="S40" s="3381">
        <f>ROUND(IF(项目基本情况!$B$8="出让",SUMPRODUCT(PRODUCT(1+L40:L$42)),SUMPRODUCT(PRODUCT(1+L40:L$41))),4)</f>
        <v>1.0102</v>
      </c>
      <c r="T40" s="3381">
        <f>ROUND(IF(项目基本情况!$B$8="出让",SUMPRODUCT(PRODUCT(1+M40:M$42)),SUMPRODUCT(PRODUCT(1+M40:M$41))),4)</f>
        <v>1.0074000000000001</v>
      </c>
      <c r="U40" s="3381">
        <f>ROUND(IF(项目基本情况!$B$8="出让",SUMPRODUCT(PRODUCT(1+N40:N$42)),SUMPRODUCT(PRODUCT(1+N40:N$41))),4)</f>
        <v>1.0202</v>
      </c>
      <c r="V40" s="3381"/>
      <c r="W40" s="3381">
        <f t="shared" si="78"/>
        <v>1.0074000000000001</v>
      </c>
      <c r="X40" s="3365"/>
      <c r="Y40" s="3390"/>
      <c r="Z40" s="3391">
        <f t="shared" si="79"/>
        <v>4.5999999999999999E-3</v>
      </c>
      <c r="AA40" s="3393">
        <f t="shared" si="79"/>
        <v>4.1000000000000003E-3</v>
      </c>
      <c r="AB40" s="3390">
        <f t="shared" si="79"/>
        <v>0.01</v>
      </c>
      <c r="AC40" s="3392"/>
      <c r="AD40" s="3390">
        <f t="shared" si="79"/>
        <v>4.1000000000000003E-3</v>
      </c>
    </row>
    <row r="41" spans="1:30">
      <c r="A41" s="3344" t="s">
        <v>2791</v>
      </c>
      <c r="B41" s="3403">
        <v>2021</v>
      </c>
      <c r="C41" s="3404">
        <v>2</v>
      </c>
      <c r="D41" s="3404"/>
      <c r="E41" s="3404">
        <v>0.55000000000000004</v>
      </c>
      <c r="F41" s="3404">
        <v>0.46</v>
      </c>
      <c r="G41" s="3404">
        <v>1.1000000000000001</v>
      </c>
      <c r="H41" s="3410"/>
      <c r="I41" s="3405">
        <f t="shared" si="50"/>
        <v>0.46</v>
      </c>
      <c r="J41" s="3365"/>
      <c r="K41" s="3366"/>
      <c r="L41" s="3367">
        <f t="shared" si="51"/>
        <v>5.5000000000000005E-3</v>
      </c>
      <c r="M41" s="3367">
        <f t="shared" si="51"/>
        <v>4.5999999999999999E-3</v>
      </c>
      <c r="N41" s="3367">
        <f t="shared" si="51"/>
        <v>1.1000000000000001E-2</v>
      </c>
      <c r="O41" s="3367"/>
      <c r="P41" s="3367">
        <f t="shared" si="77"/>
        <v>4.5999999999999999E-3</v>
      </c>
      <c r="Q41" s="3365"/>
      <c r="R41" s="3381"/>
      <c r="S41" s="3381">
        <f>ROUND(IF(项目基本情况!$B$8="出让",SUMPRODUCT(PRODUCT(1+L41:L$42)),SUMPRODUCT(PRODUCT(1+L41:L$41))),4)</f>
        <v>1.0055000000000001</v>
      </c>
      <c r="T41" s="3381">
        <f>ROUND(IF(项目基本情况!$B$8="出让",SUMPRODUCT(PRODUCT(1+M41:M$42)),SUMPRODUCT(PRODUCT(1+M41:M$41))),4)</f>
        <v>1.0045999999999999</v>
      </c>
      <c r="U41" s="3381">
        <f>ROUND(IF(项目基本情况!$B$8="出让",SUMPRODUCT(PRODUCT(1+N41:N$42)),SUMPRODUCT(PRODUCT(1+N41:N$41))),4)</f>
        <v>1.0109999999999999</v>
      </c>
      <c r="V41" s="3381"/>
      <c r="W41" s="3381">
        <f t="shared" si="78"/>
        <v>1.0045999999999999</v>
      </c>
      <c r="X41" s="3365"/>
      <c r="Y41" s="3390"/>
      <c r="Z41" s="3391">
        <f t="shared" si="79"/>
        <v>4.4999999999999997E-3</v>
      </c>
      <c r="AA41" s="3393">
        <f t="shared" si="79"/>
        <v>4.7000000000000002E-3</v>
      </c>
      <c r="AB41" s="3390">
        <f t="shared" si="79"/>
        <v>1.04E-2</v>
      </c>
      <c r="AC41" s="3392"/>
      <c r="AD41" s="3390">
        <f t="shared" si="79"/>
        <v>4.7000000000000002E-3</v>
      </c>
    </row>
    <row r="42" spans="1:30" ht="14.25" thickBot="1">
      <c r="A42" s="3346" t="s">
        <v>2792</v>
      </c>
      <c r="B42" s="3411">
        <v>2021</v>
      </c>
      <c r="C42" s="3412">
        <v>1</v>
      </c>
      <c r="D42" s="3412"/>
      <c r="E42" s="3412">
        <v>0.35</v>
      </c>
      <c r="F42" s="3412">
        <v>0.48</v>
      </c>
      <c r="G42" s="3412">
        <v>0.98</v>
      </c>
      <c r="H42" s="3413"/>
      <c r="I42" s="3414">
        <f t="shared" si="50"/>
        <v>0.48</v>
      </c>
      <c r="J42" s="3371"/>
      <c r="K42" s="3372"/>
      <c r="L42" s="3373">
        <f t="shared" si="51"/>
        <v>3.4999999999999996E-3</v>
      </c>
      <c r="M42" s="3373">
        <f>F42/100</f>
        <v>4.7999999999999996E-3</v>
      </c>
      <c r="N42" s="3373">
        <f t="shared" si="51"/>
        <v>9.7999999999999997E-3</v>
      </c>
      <c r="O42" s="3373"/>
      <c r="P42" s="3373">
        <f t="shared" si="77"/>
        <v>4.7999999999999996E-3</v>
      </c>
      <c r="Q42" s="3371"/>
      <c r="R42" s="3382"/>
      <c r="S42" s="3382">
        <v>1</v>
      </c>
      <c r="T42" s="3382">
        <v>1</v>
      </c>
      <c r="U42" s="3382">
        <v>1</v>
      </c>
      <c r="V42" s="3382"/>
      <c r="W42" s="3382">
        <f t="shared" si="78"/>
        <v>1</v>
      </c>
      <c r="X42" s="3371"/>
      <c r="Y42" s="3373"/>
      <c r="Z42" s="3397">
        <f t="shared" si="79"/>
        <v>3.5000000000000001E-3</v>
      </c>
      <c r="AA42" s="3398">
        <f t="shared" si="79"/>
        <v>4.7999999999999996E-3</v>
      </c>
      <c r="AB42" s="3373">
        <f t="shared" si="79"/>
        <v>9.7999999999999997E-3</v>
      </c>
      <c r="AC42" s="3399"/>
      <c r="AD42" s="3373">
        <f t="shared" si="79"/>
        <v>4.7999999999999996E-3</v>
      </c>
    </row>
    <row r="43" spans="1:30" ht="14.25" thickTop="1"/>
    <row r="44" spans="1:30">
      <c r="A44" s="3662" t="s">
        <v>3254</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受贵公司委托，我公司对北京市出让国有建设用地使用权进行了预评估。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0平方米。根据《建设工程规划许可证》[]、《出让合同》[]，估价对象规划建筑面积为0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2024年7月26日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根据《国有土地使用证》[]，估价对象（分摊）出让国有建设用地使用权面积为0平方米。根据《建设工程规划许可证》[]、《出让合同》[]，估价对象规划建筑面积为0平方米。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7月25日、办公2074年7月25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2024年7月26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70" zoomScaleNormal="60" zoomScaleSheetLayoutView="70" workbookViewId="0">
      <selection activeCell="G19" sqref="G19"/>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915</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1174</v>
      </c>
      <c r="T1" s="2415" t="s">
        <v>2061</v>
      </c>
      <c r="U1" s="2415" t="s">
        <v>2062</v>
      </c>
      <c r="V1" s="2415" t="s">
        <v>916</v>
      </c>
      <c r="W1" s="1911"/>
      <c r="X1" s="1911"/>
      <c r="Y1" s="1911"/>
      <c r="Z1" s="1911"/>
      <c r="AA1" s="1911"/>
      <c r="AB1" s="1911"/>
      <c r="AC1" s="1912"/>
    </row>
    <row r="2" spans="1:39" ht="15.75">
      <c r="A2" s="1261" t="s">
        <v>848</v>
      </c>
      <c r="B2" s="991">
        <f>C30</f>
        <v>0</v>
      </c>
      <c r="C2" s="1262" t="s">
        <v>849</v>
      </c>
      <c r="D2" s="1263" t="s">
        <v>833</v>
      </c>
      <c r="E2" s="1264" t="s">
        <v>1212</v>
      </c>
      <c r="F2" s="1263" t="s">
        <v>834</v>
      </c>
      <c r="G2" s="1457" t="str">
        <f>IF(E2="商业",项目基本情况!B43,IF(E2="办公",项目基本情况!C43,IF(E2="住宅",项目基本情况!D43,IF(E2="工业",项目基本情况!E43,项目基本情况!F43))))</f>
        <v>四级</v>
      </c>
      <c r="H2" s="1263" t="s">
        <v>854</v>
      </c>
      <c r="I2" s="1458" t="str">
        <f>IF(E2="商业",项目基本情况!B44,IF(E2="办公",项目基本情况!C44,IF(E2="住宅",项目基本情况!D44,IF(E2="工业",项目基本情况!E44,项目基本情况!F44))))</f>
        <v>Ⅳ-通1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24375</v>
      </c>
      <c r="U2" s="2406"/>
      <c r="V2" s="2416">
        <f>ROUND(T2*U2/10000,0)</f>
        <v>0</v>
      </c>
      <c r="W2" s="1911"/>
      <c r="X2" s="1911"/>
      <c r="Y2" s="1911"/>
      <c r="Z2" s="1911"/>
      <c r="AA2" s="1911"/>
      <c r="AB2" s="1911"/>
      <c r="AC2" s="1912"/>
    </row>
    <row r="3" spans="1:39" ht="15.75">
      <c r="A3" s="1266" t="s">
        <v>1220</v>
      </c>
      <c r="B3" s="991" t="e">
        <f>ROUND(B2*10000/D1,0)</f>
        <v>#DIV/0!</v>
      </c>
      <c r="C3" s="1262" t="s">
        <v>855</v>
      </c>
      <c r="D3" s="1263" t="s">
        <v>856</v>
      </c>
      <c r="E3" s="1267" t="s">
        <v>3284</v>
      </c>
      <c r="F3" s="1268" t="s">
        <v>3274</v>
      </c>
      <c r="G3" s="992">
        <f>IF(F3="宗地容积率",'数据-汇总表'!I4,IF(F3="估价对象容积率",'数据-汇总表'!I6,'数据-汇总表'!I7))</f>
        <v>3.25</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19213</v>
      </c>
      <c r="U3" s="2406"/>
      <c r="V3" s="2416">
        <f t="shared" ref="V3:V16" si="1">ROUND(T3*U3/10000,0)</f>
        <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16540</v>
      </c>
      <c r="N4" s="1643">
        <f>SUMPRODUCT((因素修正幅度!B55:B86=I2)*(因素修正幅度!C3:G3=E2)*(因素修正幅度!C55:G86))</f>
        <v>9.8000000000000004E-2</v>
      </c>
      <c r="O4" s="2976"/>
      <c r="P4" s="1911"/>
      <c r="Q4" s="1911"/>
      <c r="R4" s="2416">
        <v>3</v>
      </c>
      <c r="S4" s="2416">
        <f>ROUND(SUMPRODUCT((B107:B111=R4)*(C106:N106=G2)*(C107:N111)),4)</f>
        <v>1.0004999999999999</v>
      </c>
      <c r="T4" s="2416">
        <f t="shared" si="0"/>
        <v>16238</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15760</v>
      </c>
      <c r="D5" s="2548">
        <f>ROUND(C6*C17+C20,0)</f>
        <v>15760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14321</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16540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13763</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f>IF(C8="不临65条商业街",1,ROUND(1+(1.6*E8+1.2*E9+0.8*E10+0.4*E11)*C9,4))</f>
        <v>1</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3668" t="s">
        <v>2046</v>
      </c>
      <c r="X7" s="2407" t="str">
        <f>G2</f>
        <v>四级</v>
      </c>
      <c r="Y7" s="2407" t="s">
        <v>2047</v>
      </c>
      <c r="Z7" s="2408">
        <f>G3</f>
        <v>3.25</v>
      </c>
      <c r="AA7" s="1914"/>
      <c r="AB7" s="1914"/>
      <c r="AC7" s="1915"/>
      <c r="AD7" s="2409"/>
      <c r="AE7" s="2409"/>
      <c r="AF7" s="2409"/>
      <c r="AG7" s="2409"/>
      <c r="AH7" s="2409"/>
      <c r="AI7" s="2409"/>
      <c r="AJ7" s="2410"/>
    </row>
    <row r="8" spans="1:39" ht="25.5">
      <c r="A8" s="3532"/>
      <c r="B8" s="1269" t="s">
        <v>862</v>
      </c>
      <c r="C8" s="3533" t="s">
        <v>3275</v>
      </c>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19" t="s">
        <v>2060</v>
      </c>
      <c r="X8" s="3920"/>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918"/>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18"/>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3198</v>
      </c>
      <c r="B12" s="3507" t="s">
        <v>3199</v>
      </c>
      <c r="C12" s="3513">
        <v>1</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3202</v>
      </c>
      <c r="B13" s="1283" t="s">
        <v>874</v>
      </c>
      <c r="C13" s="3527">
        <f>ROUND(C16*D16*E16*F16*G16*H16*I16*J16,4)</f>
        <v>1</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1369</v>
      </c>
      <c r="B17" s="3557" t="s">
        <v>3207</v>
      </c>
      <c r="C17" s="3565">
        <f>ROUND(IF(OR(E2="工业",E2="公共服务"),1,IF(AND(E18=0,E19=0),1,IF(AND(E18=J24,E19=G19),0.8,IF(E19=0,1+E17*(-0.2),1+E17*G17*(-0.2))))),4)</f>
        <v>0.95320000000000005</v>
      </c>
      <c r="D17" s="3558" t="s">
        <v>3208</v>
      </c>
      <c r="E17" s="3565">
        <f>ROUND(G18/I18,2)</f>
        <v>0.45</v>
      </c>
      <c r="F17" s="3558" t="s">
        <v>3211</v>
      </c>
      <c r="G17" s="3565">
        <f>ROUND(E19/G19,2)</f>
        <v>0.52</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v>10</v>
      </c>
      <c r="F18" s="3561" t="s">
        <v>3212</v>
      </c>
      <c r="G18" s="3563">
        <f>ROUND(1-(1/(POWER(1+G24,E18))),4)</f>
        <v>0.41460000000000002</v>
      </c>
      <c r="H18" s="3561" t="s">
        <v>3214</v>
      </c>
      <c r="I18" s="3563">
        <f>ROUND(1-(1/(POWER(1+G24,J24))),4)</f>
        <v>0.93120000000000003</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v>108700</v>
      </c>
      <c r="F19" s="3562" t="s">
        <v>3213</v>
      </c>
      <c r="G19" s="3566">
        <f>E19+99200</f>
        <v>207900</v>
      </c>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12" t="s">
        <v>1370</v>
      </c>
      <c r="B20" s="1278" t="s">
        <v>875</v>
      </c>
      <c r="C20" s="998">
        <f>ROUND(IF(F21="与级别开发程度一致",0,(G21-E21)/C21),0)</f>
        <v>-6</v>
      </c>
      <c r="D20" s="3924" t="s">
        <v>879</v>
      </c>
      <c r="E20" s="3925"/>
      <c r="F20" s="3924" t="s">
        <v>876</v>
      </c>
      <c r="G20" s="3925"/>
      <c r="H20" s="1291" t="s">
        <v>2769</v>
      </c>
      <c r="I20" s="1291" t="s">
        <v>2770</v>
      </c>
      <c r="J20" s="1291" t="s">
        <v>2772</v>
      </c>
      <c r="K20" s="1291" t="s">
        <v>2773</v>
      </c>
      <c r="L20" s="1291" t="s">
        <v>2775</v>
      </c>
      <c r="M20" s="1291" t="s">
        <v>2774</v>
      </c>
      <c r="N20" s="1291" t="s">
        <v>2776</v>
      </c>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913"/>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3276</v>
      </c>
      <c r="G21" s="2599">
        <f>SUM(H21:O21)</f>
        <v>300</v>
      </c>
      <c r="H21" s="997">
        <f>SUMPRODUCT((七通一平=H20)*(修正!B1:M1=G2)*(修正!B8:M16))</f>
        <v>70</v>
      </c>
      <c r="I21" s="997">
        <f>SUMPRODUCT((七通一平=I20)*(修正!B1:M1=G2)*(修正!B8:M16))</f>
        <v>60</v>
      </c>
      <c r="J21" s="997">
        <f>SUMPRODUCT((七通一平=J20)*(修正!B1:M1=G2)*(修正!B8:M16))</f>
        <v>25</v>
      </c>
      <c r="K21" s="997">
        <f>SUMPRODUCT((七通一平=K20)*(修正!B1:M1=G2)*(修正!B8:M16))</f>
        <v>40</v>
      </c>
      <c r="L21" s="997">
        <f>SUMPRODUCT((七通一平=L20)*(修正!B1:M1=G2)*(修正!B8:M16))</f>
        <v>40</v>
      </c>
      <c r="M21" s="997">
        <f>SUMPRODUCT((七通一平=M20)*(修正!B1:M1=G2)*(修正!B8:M16))</f>
        <v>50</v>
      </c>
      <c r="N21" s="997">
        <f>SUMPRODUCT((七通一平=N20)*(修正!B1:M1=G2)*(修正!B8:M16))</f>
        <v>15</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1355</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1356</v>
      </c>
      <c r="B23" s="1294" t="s">
        <v>881</v>
      </c>
      <c r="C23" s="99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1.0298</v>
      </c>
      <c r="D23" s="1297" t="s">
        <v>882</v>
      </c>
      <c r="E23" s="1000">
        <v>44197</v>
      </c>
      <c r="F23" s="1297" t="s">
        <v>883</v>
      </c>
      <c r="G23" s="1001">
        <f>'数据-取费表'!B2</f>
        <v>45499</v>
      </c>
      <c r="H23" s="1298" t="s">
        <v>2247</v>
      </c>
      <c r="I23" s="2266" t="str">
        <f>IF(H23="季度增幅（自定义）",SUMIF(N25:N28,E2,O25:O28),"")</f>
        <v/>
      </c>
      <c r="J23" s="3567" t="s">
        <v>3277</v>
      </c>
      <c r="K23" s="2977"/>
      <c r="L23" s="2511" t="s">
        <v>2116</v>
      </c>
      <c r="M23" s="2512">
        <f>ROUND(SUMIF(地价!B2:F2,E2,地价!B41:F41),0)</f>
        <v>258</v>
      </c>
      <c r="N23" s="2268" t="s">
        <v>1211</v>
      </c>
      <c r="O23" s="2267">
        <f>ROUNDDOWN(DATEDIF(E23,G23,"M")/3,0)</f>
        <v>14</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1357</v>
      </c>
      <c r="B24" s="2261" t="s">
        <v>896</v>
      </c>
      <c r="C24" s="2262">
        <f>ROUND(POWER(1+G24,J24-I24)*(POWER(1+G24,I24)-1)/(POWER(1+G24,J24)-1),4)</f>
        <v>1</v>
      </c>
      <c r="D24" s="2263" t="s">
        <v>897</v>
      </c>
      <c r="E24" s="2540">
        <f>存贷款利率!E24/100</f>
        <v>4.3499999999999997E-2</v>
      </c>
      <c r="F24" s="2263" t="s">
        <v>898</v>
      </c>
      <c r="G24" s="2264">
        <f>SUMIF(M30:Q30,E2,M33:Q33)</f>
        <v>5.5E-2</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0.94899999999999995</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0.94899999999999995</v>
      </c>
      <c r="E26" s="992">
        <f>ROUNDDOWN(G3,1)</f>
        <v>3.2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0.9516</v>
      </c>
      <c r="G26" s="992">
        <f>ROUNDUP(G3,1)</f>
        <v>3.3000000000000003</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0.94640000000000002</v>
      </c>
      <c r="I26" s="3568" t="s">
        <v>3216</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0</v>
      </c>
      <c r="D30" s="1312"/>
      <c r="E30" s="1290"/>
      <c r="F30" s="1313"/>
      <c r="G30" s="1290"/>
      <c r="H30" s="1290"/>
      <c r="I30" s="1290"/>
      <c r="J30" s="1314"/>
      <c r="K30" s="2978"/>
      <c r="L30" s="1407" t="s">
        <v>833</v>
      </c>
      <c r="M30" s="1279" t="s">
        <v>900</v>
      </c>
      <c r="N30" s="1279" t="s">
        <v>902</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15402</v>
      </c>
      <c r="D33" s="1326"/>
      <c r="E33" s="1635">
        <f>ROUND(C33*D33/10000,0)</f>
        <v>0</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3851</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t="e">
        <f ca="1">'数据-取费表'!B40</f>
        <v>#VALUE!</v>
      </c>
      <c r="M36" s="3644" t="e">
        <f ca="1">ROUND($L$36*(1+M31),3)</f>
        <v>#VALUE!</v>
      </c>
      <c r="N36" s="3644" t="e">
        <f ca="1">ROUND($L$36*(1+N31),3)</f>
        <v>#VALUE!</v>
      </c>
      <c r="O36" s="3644" t="e">
        <f ca="1">ROUND($L$36*(1+O31),3)</f>
        <v>#VALUE!</v>
      </c>
      <c r="P36" s="3644" t="e">
        <f ca="1">ROUND($L$36*(1+P31),3)</f>
        <v>#VALUE!</v>
      </c>
      <c r="Q36" s="3644" t="e">
        <f ca="1">ROUND($L$36*(1+Q31),3)</f>
        <v>#VALUE!</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16"/>
      <c r="B37" s="1344" t="s">
        <v>923</v>
      </c>
      <c r="C37" s="1005">
        <f>ROUND(D5*C22*C23*C24*C28*F37,0)</f>
        <v>9738</v>
      </c>
      <c r="D37" s="1356"/>
      <c r="E37" s="996">
        <f>ROUND(C37*D37/10000,0)</f>
        <v>0</v>
      </c>
      <c r="F37" s="996">
        <f>SUMIF(修正!A57:A68,G2,修正!B57:B68)</f>
        <v>0.6</v>
      </c>
      <c r="G37" s="996">
        <f>ROUND(IF(E2="工业",C37*$M$42,C37*$M$41),0)</f>
        <v>2435</v>
      </c>
      <c r="H37" s="996">
        <f>D37</f>
        <v>0</v>
      </c>
      <c r="I37" s="996">
        <f>ROUND(G37*H37/10000,0)</f>
        <v>0</v>
      </c>
      <c r="J37" s="3916"/>
      <c r="K37" s="3642" t="s">
        <v>3246</v>
      </c>
      <c r="L37" s="3643" t="e">
        <f ca="1">L36+K38</f>
        <v>#VALUE!</v>
      </c>
      <c r="M37" s="3644" t="e">
        <f ca="1">ROUND($L$37*(1+M31),3)</f>
        <v>#VALUE!</v>
      </c>
      <c r="N37" s="3644" t="e">
        <f t="shared" ref="N37:Q37" ca="1" si="3">ROUND($L$37*(1+N31),3)</f>
        <v>#VALUE!</v>
      </c>
      <c r="O37" s="3644" t="e">
        <f t="shared" ca="1" si="3"/>
        <v>#VALUE!</v>
      </c>
      <c r="P37" s="3644" t="e">
        <f t="shared" ca="1" si="3"/>
        <v>#VALUE!</v>
      </c>
      <c r="Q37" s="3644" t="e">
        <f t="shared" ca="1" si="3"/>
        <v>#VALUE!</v>
      </c>
      <c r="R37" s="1912"/>
      <c r="S37" s="1912"/>
      <c r="T37" s="1912"/>
      <c r="U37" s="1912"/>
      <c r="V37" s="1912"/>
      <c r="W37" s="1911"/>
      <c r="X37" s="1911"/>
      <c r="Y37" s="1911"/>
      <c r="Z37" s="1911"/>
      <c r="AA37" s="1911"/>
      <c r="AB37" s="1911"/>
      <c r="AC37" s="1912"/>
    </row>
    <row r="38" spans="1:44" ht="12.75">
      <c r="A38" s="3917"/>
      <c r="B38" s="1288" t="s">
        <v>924</v>
      </c>
      <c r="C38" s="1005">
        <f>ROUND(D5*C22*C23*C24*C28*F38,0)</f>
        <v>4869</v>
      </c>
      <c r="D38" s="1356"/>
      <c r="E38" s="996">
        <f t="shared" ref="E38:E42" si="4">ROUND(C38*D38/10000,0)</f>
        <v>0</v>
      </c>
      <c r="F38" s="996">
        <f>SUMIF(修正!A57:A68,G2,修正!C57:C68)</f>
        <v>0.3</v>
      </c>
      <c r="G38" s="996">
        <f>ROUND(IF(E2="工业",C38*$M$42,C38*$M$41),0)</f>
        <v>1217</v>
      </c>
      <c r="H38" s="996">
        <f t="shared" ref="H38:H42" si="5">D38</f>
        <v>0</v>
      </c>
      <c r="I38" s="996">
        <f t="shared" ref="I38:I42" si="6">ROUND(G38*H38/10000,0)</f>
        <v>0</v>
      </c>
      <c r="J38" s="3917"/>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17"/>
      <c r="B39" s="3571" t="s">
        <v>3219</v>
      </c>
      <c r="C39" s="1005">
        <f>ROUND(D5*C22*C23*C24*C28*F39,0)</f>
        <v>4057</v>
      </c>
      <c r="D39" s="1356"/>
      <c r="E39" s="996">
        <f t="shared" si="4"/>
        <v>0</v>
      </c>
      <c r="F39" s="996">
        <f>SUMIF(修正!A57:A68,G2,修正!D57:D68)</f>
        <v>0.25</v>
      </c>
      <c r="G39" s="996">
        <f>ROUND(IF(E2="工业",C39*$M$42,C39*$M$41),0)</f>
        <v>1014</v>
      </c>
      <c r="H39" s="996">
        <f t="shared" si="5"/>
        <v>0</v>
      </c>
      <c r="I39" s="996">
        <f t="shared" si="6"/>
        <v>0</v>
      </c>
      <c r="J39" s="3917"/>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4057</v>
      </c>
      <c r="D40" s="1356"/>
      <c r="E40" s="996">
        <f t="shared" si="4"/>
        <v>0</v>
      </c>
      <c r="F40" s="1005">
        <f>SUMIF(修正!A57:A68,G2,修正!E57:E68)</f>
        <v>0.25</v>
      </c>
      <c r="G40" s="996">
        <f>ROUND(IF(E2="工业",C40*$M$42,C40*$M$41),0)</f>
        <v>1014</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5.5E-2</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900</v>
      </c>
      <c r="B48" s="3649">
        <f>1+E50</f>
        <v>1.0442</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664"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t="s">
        <v>3278</v>
      </c>
      <c r="D50" s="3599">
        <f t="shared" ref="D50:D58" si="7">SUMIF($J$49:$N$49,C50,J50:N50)</f>
        <v>1.47E-2</v>
      </c>
      <c r="E50" s="3600">
        <f>ROUND(SUM(D50:D58),4)</f>
        <v>4.4200000000000003E-2</v>
      </c>
      <c r="F50" s="3601" t="str">
        <f>IF(E2="商业",SUMIF(L1:L12,G2,N1:N12),"——")</f>
        <v>——</v>
      </c>
      <c r="G50" s="3602">
        <v>1.47E-2</v>
      </c>
      <c r="H50" s="3603" t="str">
        <f t="shared" ref="H50:H58" si="8">IFERROR(ROUNDDOWN(($F$50*I50/2),4),"——")</f>
        <v>——</v>
      </c>
      <c r="I50" s="3577">
        <v>0.3</v>
      </c>
      <c r="J50" s="3604">
        <f t="shared" ref="J50:J58" si="9">K50+$G50</f>
        <v>2.9399999999999999E-2</v>
      </c>
      <c r="K50" s="3604">
        <f t="shared" ref="K50:K58" si="10">$L50+$G50</f>
        <v>1.47E-2</v>
      </c>
      <c r="L50" s="3604">
        <v>0</v>
      </c>
      <c r="M50" s="3604">
        <f t="shared" ref="M50:N58" si="11">L50-$G50</f>
        <v>-1.47E-2</v>
      </c>
      <c r="N50" s="3604">
        <f t="shared" si="11"/>
        <v>-2.9399999999999999E-2</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t="s">
        <v>3279</v>
      </c>
      <c r="D51" s="3599">
        <f t="shared" si="7"/>
        <v>0</v>
      </c>
      <c r="E51" s="3605"/>
      <c r="F51" s="3601"/>
      <c r="G51" s="3602">
        <v>1.0699999999999999E-2</v>
      </c>
      <c r="H51" s="3603" t="str">
        <f t="shared" si="8"/>
        <v>——</v>
      </c>
      <c r="I51" s="3577">
        <v>0.22</v>
      </c>
      <c r="J51" s="3604">
        <f t="shared" si="9"/>
        <v>2.1399999999999999E-2</v>
      </c>
      <c r="K51" s="3604">
        <f t="shared" si="10"/>
        <v>1.0699999999999999E-2</v>
      </c>
      <c r="L51" s="3604">
        <v>0</v>
      </c>
      <c r="M51" s="3604">
        <f t="shared" si="11"/>
        <v>-1.0699999999999999E-2</v>
      </c>
      <c r="N51" s="3604">
        <f t="shared" si="11"/>
        <v>-2.1399999999999999E-2</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t="s">
        <v>3278</v>
      </c>
      <c r="D52" s="3599">
        <f t="shared" si="7"/>
        <v>5.7999999999999996E-3</v>
      </c>
      <c r="E52" s="3605"/>
      <c r="F52" s="3601"/>
      <c r="G52" s="3602">
        <v>5.7999999999999996E-3</v>
      </c>
      <c r="H52" s="3603" t="str">
        <f t="shared" si="8"/>
        <v>——</v>
      </c>
      <c r="I52" s="3577">
        <v>0.12</v>
      </c>
      <c r="J52" s="3604">
        <f t="shared" si="9"/>
        <v>1.1599999999999999E-2</v>
      </c>
      <c r="K52" s="3604">
        <f t="shared" si="10"/>
        <v>5.7999999999999996E-3</v>
      </c>
      <c r="L52" s="3604">
        <v>0</v>
      </c>
      <c r="M52" s="3604">
        <f t="shared" si="11"/>
        <v>-5.7999999999999996E-3</v>
      </c>
      <c r="N52" s="3604">
        <f t="shared" si="11"/>
        <v>-1.1599999999999999E-2</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t="s">
        <v>3278</v>
      </c>
      <c r="D53" s="3599">
        <f t="shared" si="7"/>
        <v>2.3999999999999998E-3</v>
      </c>
      <c r="E53" s="3605"/>
      <c r="F53" s="3601"/>
      <c r="G53" s="3602">
        <v>2.3999999999999998E-3</v>
      </c>
      <c r="H53" s="3603" t="str">
        <f t="shared" si="8"/>
        <v>——</v>
      </c>
      <c r="I53" s="3577">
        <v>0.05</v>
      </c>
      <c r="J53" s="3604">
        <f t="shared" si="9"/>
        <v>4.7999999999999996E-3</v>
      </c>
      <c r="K53" s="3604">
        <f t="shared" si="10"/>
        <v>2.3999999999999998E-3</v>
      </c>
      <c r="L53" s="3604">
        <v>0</v>
      </c>
      <c r="M53" s="3604">
        <f t="shared" si="11"/>
        <v>-2.3999999999999998E-3</v>
      </c>
      <c r="N53" s="3604">
        <f t="shared" si="11"/>
        <v>-4.7999999999999996E-3</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t="s">
        <v>3278</v>
      </c>
      <c r="D54" s="3599">
        <f t="shared" si="7"/>
        <v>3.8999999999999998E-3</v>
      </c>
      <c r="E54" s="3605"/>
      <c r="F54" s="3601"/>
      <c r="G54" s="3602">
        <v>3.8999999999999998E-3</v>
      </c>
      <c r="H54" s="3603" t="str">
        <f t="shared" si="8"/>
        <v>——</v>
      </c>
      <c r="I54" s="3577">
        <v>0.08</v>
      </c>
      <c r="J54" s="3604">
        <f t="shared" si="9"/>
        <v>7.7999999999999996E-3</v>
      </c>
      <c r="K54" s="3604">
        <f t="shared" si="10"/>
        <v>3.8999999999999998E-3</v>
      </c>
      <c r="L54" s="3604">
        <v>0</v>
      </c>
      <c r="M54" s="3604">
        <f t="shared" si="11"/>
        <v>-3.8999999999999998E-3</v>
      </c>
      <c r="N54" s="3604">
        <f t="shared" si="11"/>
        <v>-7.7999999999999996E-3</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t="s">
        <v>3278</v>
      </c>
      <c r="D55" s="3599">
        <f t="shared" si="7"/>
        <v>2.3999999999999998E-3</v>
      </c>
      <c r="E55" s="3605"/>
      <c r="F55" s="3601"/>
      <c r="G55" s="3602">
        <v>2.3999999999999998E-3</v>
      </c>
      <c r="H55" s="3603" t="str">
        <f t="shared" si="8"/>
        <v>——</v>
      </c>
      <c r="I55" s="3577">
        <v>0.05</v>
      </c>
      <c r="J55" s="3604">
        <f t="shared" si="9"/>
        <v>4.7999999999999996E-3</v>
      </c>
      <c r="K55" s="3604">
        <f t="shared" si="10"/>
        <v>2.3999999999999998E-3</v>
      </c>
      <c r="L55" s="3604">
        <v>0</v>
      </c>
      <c r="M55" s="3604">
        <f t="shared" si="11"/>
        <v>-2.3999999999999998E-3</v>
      </c>
      <c r="N55" s="3604">
        <f t="shared" si="11"/>
        <v>-4.7999999999999996E-3</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t="s">
        <v>3278</v>
      </c>
      <c r="D56" s="3599">
        <f t="shared" si="7"/>
        <v>2.3999999999999998E-3</v>
      </c>
      <c r="E56" s="3605"/>
      <c r="F56" s="3601"/>
      <c r="G56" s="3602">
        <v>2.3999999999999998E-3</v>
      </c>
      <c r="H56" s="3603" t="str">
        <f t="shared" si="8"/>
        <v>——</v>
      </c>
      <c r="I56" s="3577">
        <v>0.05</v>
      </c>
      <c r="J56" s="3604">
        <f t="shared" si="9"/>
        <v>4.7999999999999996E-3</v>
      </c>
      <c r="K56" s="3604">
        <f t="shared" si="10"/>
        <v>2.3999999999999998E-3</v>
      </c>
      <c r="L56" s="3604">
        <v>0</v>
      </c>
      <c r="M56" s="3604">
        <f t="shared" si="11"/>
        <v>-2.3999999999999998E-3</v>
      </c>
      <c r="N56" s="3604">
        <f t="shared" si="11"/>
        <v>-4.7999999999999996E-3</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t="s">
        <v>3280</v>
      </c>
      <c r="D57" s="3599">
        <f t="shared" si="7"/>
        <v>7.7999999999999996E-3</v>
      </c>
      <c r="E57" s="3605"/>
      <c r="F57" s="3601"/>
      <c r="G57" s="3602">
        <v>3.8999999999999998E-3</v>
      </c>
      <c r="H57" s="3603" t="str">
        <f t="shared" si="8"/>
        <v>——</v>
      </c>
      <c r="I57" s="3577">
        <v>0.08</v>
      </c>
      <c r="J57" s="3604">
        <f t="shared" si="9"/>
        <v>7.7999999999999996E-3</v>
      </c>
      <c r="K57" s="3604">
        <f t="shared" si="10"/>
        <v>3.8999999999999998E-3</v>
      </c>
      <c r="L57" s="3604">
        <v>0</v>
      </c>
      <c r="M57" s="3604">
        <f t="shared" si="11"/>
        <v>-3.8999999999999998E-3</v>
      </c>
      <c r="N57" s="3604">
        <f t="shared" si="11"/>
        <v>-7.7999999999999996E-3</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t="s">
        <v>3280</v>
      </c>
      <c r="D58" s="3599">
        <f t="shared" si="7"/>
        <v>4.7999999999999996E-3</v>
      </c>
      <c r="E58" s="3612"/>
      <c r="F58" s="3601"/>
      <c r="G58" s="3602">
        <v>2.3999999999999998E-3</v>
      </c>
      <c r="H58" s="3603" t="str">
        <f t="shared" si="8"/>
        <v>——</v>
      </c>
      <c r="I58" s="3579">
        <v>0.05</v>
      </c>
      <c r="J58" s="3604">
        <f t="shared" si="9"/>
        <v>4.7999999999999996E-3</v>
      </c>
      <c r="K58" s="3604">
        <f t="shared" si="10"/>
        <v>2.3999999999999998E-3</v>
      </c>
      <c r="L58" s="3604">
        <v>0</v>
      </c>
      <c r="M58" s="3604">
        <f t="shared" si="11"/>
        <v>-2.3999999999999998E-3</v>
      </c>
      <c r="N58" s="3604">
        <f t="shared" si="11"/>
        <v>-4.7999999999999996E-3</v>
      </c>
      <c r="P58" s="1920"/>
      <c r="Q58" s="1920"/>
      <c r="R58" s="1920"/>
      <c r="S58" s="1920"/>
      <c r="T58" s="1920"/>
      <c r="U58" s="1920"/>
      <c r="V58" s="1920"/>
      <c r="W58" s="1920"/>
      <c r="X58" s="1920"/>
      <c r="Y58" s="1920"/>
      <c r="Z58" s="1920"/>
      <c r="AA58" s="1920"/>
      <c r="AB58" s="1920"/>
      <c r="AC58" s="1920"/>
      <c r="AD58" s="1920"/>
    </row>
    <row r="59" spans="1:30" s="3584" customFormat="1" ht="15">
      <c r="A59" s="3585" t="s">
        <v>902</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664" t="s">
        <v>1609</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f>IF(E2="办公",SUMIF(L1:L12,G2,N1:N12),"——")</f>
        <v>9.8000000000000004E-2</v>
      </c>
      <c r="G61" s="3602"/>
      <c r="H61" s="3603">
        <f>IFERROR(ROUNDDOWN($F$61*I61/2,4),"——")</f>
        <v>1.2200000000000001E-2</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f t="shared" ref="H62:H69" si="16">IFERROR(ROUNDDOWN($F$61*I62/2,4),"——")</f>
        <v>1.2699999999999999E-2</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2"/>
        <v>0</v>
      </c>
      <c r="E63" s="3605"/>
      <c r="F63" s="3601"/>
      <c r="G63" s="3602"/>
      <c r="H63" s="3603">
        <f t="shared" si="16"/>
        <v>5.3E-3</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2200</v>
      </c>
      <c r="C64" s="3598"/>
      <c r="D64" s="3599">
        <f t="shared" si="12"/>
        <v>0</v>
      </c>
      <c r="E64" s="3605"/>
      <c r="F64" s="3601"/>
      <c r="G64" s="3602"/>
      <c r="H64" s="3603">
        <f t="shared" si="16"/>
        <v>2.3999999999999998E-3</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f t="shared" si="16"/>
        <v>2.3999999999999998E-3</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f t="shared" si="16"/>
        <v>2.8999999999999998E-3</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f t="shared" si="16"/>
        <v>2.8999999999999998E-3</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f t="shared" si="16"/>
        <v>4.4000000000000003E-3</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f t="shared" si="16"/>
        <v>3.3999999999999998E-3</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835</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664" t="s">
        <v>1609</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943</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909</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664" t="s">
        <v>1609</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943</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2458</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101" si="28">L93-$G93</f>
        <v>0</v>
      </c>
      <c r="N93" s="3628">
        <f t="shared" si="28"/>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si="28"/>
        <v>0</v>
      </c>
      <c r="N94" s="3628">
        <f t="shared" si="28"/>
        <v>0</v>
      </c>
      <c r="AE94" s="3584"/>
      <c r="AF94" s="3584"/>
      <c r="AG94" s="3584"/>
      <c r="AH94" s="3584"/>
      <c r="AI94" s="3584"/>
      <c r="AJ94" s="3584"/>
    </row>
    <row r="95" spans="1:36" s="1348" customFormat="1" ht="36">
      <c r="A95" s="3629" t="s">
        <v>3221</v>
      </c>
      <c r="B95" s="3591">
        <f>估价对象房地状况!G17</f>
        <v>0</v>
      </c>
      <c r="C95" s="3598"/>
      <c r="D95" s="3599">
        <f t="shared" si="29"/>
        <v>0</v>
      </c>
      <c r="E95" s="3623"/>
      <c r="F95" s="3601"/>
      <c r="G95" s="3616"/>
      <c r="H95" s="3603" t="str">
        <f t="shared" si="30"/>
        <v>——</v>
      </c>
      <c r="I95" s="3577">
        <v>0.11</v>
      </c>
      <c r="J95" s="3628">
        <f t="shared" ref="J95:J101" si="31">K95+$G95</f>
        <v>0</v>
      </c>
      <c r="K95" s="3628">
        <f t="shared" si="27"/>
        <v>0</v>
      </c>
      <c r="L95" s="3628">
        <v>0</v>
      </c>
      <c r="M95" s="3628">
        <f t="shared" si="28"/>
        <v>0</v>
      </c>
      <c r="N95" s="3628">
        <f t="shared" si="28"/>
        <v>0</v>
      </c>
      <c r="AE95" s="3584"/>
      <c r="AF95" s="3584"/>
      <c r="AG95" s="3584"/>
      <c r="AH95" s="3584"/>
      <c r="AI95" s="3584"/>
      <c r="AJ95" s="3584"/>
    </row>
    <row r="96" spans="1:36" s="1348" customFormat="1" ht="36.75">
      <c r="A96" s="3574" t="s">
        <v>3225</v>
      </c>
      <c r="B96" s="3578" t="s">
        <v>3226</v>
      </c>
      <c r="C96" s="3598"/>
      <c r="D96" s="3599">
        <f t="shared" si="29"/>
        <v>0</v>
      </c>
      <c r="E96" s="3623"/>
      <c r="F96" s="3601"/>
      <c r="G96" s="3616"/>
      <c r="H96" s="3603" t="str">
        <f t="shared" si="30"/>
        <v>——</v>
      </c>
      <c r="I96" s="3577">
        <v>0.05</v>
      </c>
      <c r="J96" s="3628">
        <f t="shared" si="31"/>
        <v>0</v>
      </c>
      <c r="K96" s="3628">
        <f t="shared" si="27"/>
        <v>0</v>
      </c>
      <c r="L96" s="3628">
        <v>0</v>
      </c>
      <c r="M96" s="3628">
        <f>L96-$G96</f>
        <v>0</v>
      </c>
      <c r="N96" s="3628">
        <f t="shared" si="28"/>
        <v>0</v>
      </c>
      <c r="AE96" s="3584"/>
      <c r="AF96" s="3584"/>
      <c r="AG96" s="3584"/>
      <c r="AH96" s="3584"/>
      <c r="AI96" s="3584"/>
      <c r="AJ96" s="3584"/>
    </row>
    <row r="97" spans="1:36" s="1348" customFormat="1" ht="24">
      <c r="A97" s="3574" t="s">
        <v>3227</v>
      </c>
      <c r="B97" s="3591">
        <f>估价对象房地状况!G22</f>
        <v>0</v>
      </c>
      <c r="C97" s="3598"/>
      <c r="D97" s="3599">
        <f t="shared" si="29"/>
        <v>0</v>
      </c>
      <c r="E97" s="3623"/>
      <c r="F97" s="3601"/>
      <c r="G97" s="3616"/>
      <c r="H97" s="3603" t="str">
        <f t="shared" si="30"/>
        <v>——</v>
      </c>
      <c r="I97" s="3577">
        <v>0.05</v>
      </c>
      <c r="J97" s="3628">
        <f t="shared" si="31"/>
        <v>0</v>
      </c>
      <c r="K97" s="3628">
        <f t="shared" si="27"/>
        <v>0</v>
      </c>
      <c r="L97" s="3628">
        <v>0</v>
      </c>
      <c r="M97" s="3628">
        <f t="shared" si="28"/>
        <v>0</v>
      </c>
      <c r="N97" s="3628">
        <f t="shared" si="28"/>
        <v>0</v>
      </c>
      <c r="AE97" s="3584"/>
      <c r="AF97" s="3584"/>
      <c r="AG97" s="3584"/>
      <c r="AH97" s="3584"/>
      <c r="AI97" s="3584"/>
      <c r="AJ97" s="3584"/>
    </row>
    <row r="98" spans="1:36" s="1348" customFormat="1" ht="24">
      <c r="A98" s="3574" t="s">
        <v>3234</v>
      </c>
      <c r="B98" s="3606" t="s">
        <v>2199</v>
      </c>
      <c r="C98" s="3598"/>
      <c r="D98" s="3599">
        <f t="shared" si="29"/>
        <v>0</v>
      </c>
      <c r="E98" s="3623"/>
      <c r="F98" s="3601"/>
      <c r="G98" s="3616"/>
      <c r="H98" s="3603" t="str">
        <f t="shared" si="30"/>
        <v>——</v>
      </c>
      <c r="I98" s="3577">
        <v>0.06</v>
      </c>
      <c r="J98" s="3628">
        <f t="shared" si="31"/>
        <v>0</v>
      </c>
      <c r="K98" s="3628">
        <f t="shared" si="27"/>
        <v>0</v>
      </c>
      <c r="L98" s="3628">
        <v>0</v>
      </c>
      <c r="M98" s="3628">
        <f t="shared" si="28"/>
        <v>0</v>
      </c>
      <c r="N98" s="3628">
        <f t="shared" si="28"/>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1"/>
        <v>0</v>
      </c>
      <c r="K99" s="3628">
        <f t="shared" si="27"/>
        <v>0</v>
      </c>
      <c r="L99" s="3628">
        <v>0</v>
      </c>
      <c r="M99" s="3628">
        <f t="shared" si="28"/>
        <v>0</v>
      </c>
      <c r="N99" s="3628">
        <f t="shared" si="28"/>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29"/>
        <v>0</v>
      </c>
      <c r="E100" s="3623"/>
      <c r="F100" s="3601"/>
      <c r="G100" s="3616"/>
      <c r="H100" s="3603" t="str">
        <f t="shared" si="30"/>
        <v>——</v>
      </c>
      <c r="I100" s="3577">
        <v>0.09</v>
      </c>
      <c r="J100" s="3628">
        <f t="shared" si="31"/>
        <v>0</v>
      </c>
      <c r="K100" s="3628">
        <f t="shared" si="27"/>
        <v>0</v>
      </c>
      <c r="L100" s="3628">
        <v>0</v>
      </c>
      <c r="M100" s="3628">
        <f t="shared" si="28"/>
        <v>0</v>
      </c>
      <c r="N100" s="3628">
        <f t="shared" si="28"/>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1"/>
        <v>0</v>
      </c>
      <c r="K101" s="3628">
        <f t="shared" si="27"/>
        <v>0</v>
      </c>
      <c r="L101" s="3628">
        <v>0</v>
      </c>
      <c r="M101" s="3628">
        <f t="shared" si="28"/>
        <v>0</v>
      </c>
      <c r="N101" s="3628">
        <f t="shared" si="28"/>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14" t="s">
        <v>1172</v>
      </c>
      <c r="B104" s="3914"/>
      <c r="C104" s="3914"/>
      <c r="D104" s="3914"/>
      <c r="E104" s="3914"/>
      <c r="F104" s="3914"/>
      <c r="G104" s="3914"/>
      <c r="H104" s="3914"/>
      <c r="I104" s="3914"/>
      <c r="J104" s="3914"/>
      <c r="K104" s="3666"/>
      <c r="L104" s="3666"/>
      <c r="M104" s="3666"/>
      <c r="N104" s="3666"/>
    </row>
    <row r="105" spans="1:36">
      <c r="A105" s="3915" t="s">
        <v>833</v>
      </c>
      <c r="B105" s="3915" t="s">
        <v>1173</v>
      </c>
      <c r="C105" s="1041" t="s">
        <v>1174</v>
      </c>
      <c r="D105" s="1042"/>
      <c r="E105" s="1042"/>
      <c r="F105" s="1042"/>
      <c r="G105" s="1042"/>
      <c r="H105" s="1042"/>
      <c r="I105" s="1042"/>
      <c r="J105" s="1043"/>
      <c r="K105" s="1035"/>
      <c r="L105" s="1035"/>
      <c r="M105" s="1035"/>
      <c r="N105" s="1035"/>
    </row>
    <row r="106" spans="1:36">
      <c r="A106" s="3915"/>
      <c r="B106" s="3915"/>
      <c r="C106" s="3667" t="s">
        <v>819</v>
      </c>
      <c r="D106" s="3667" t="s">
        <v>820</v>
      </c>
      <c r="E106" s="3667" t="s">
        <v>821</v>
      </c>
      <c r="F106" s="3667" t="s">
        <v>822</v>
      </c>
      <c r="G106" s="3667" t="s">
        <v>823</v>
      </c>
      <c r="H106" s="3667" t="s">
        <v>824</v>
      </c>
      <c r="I106" s="3667" t="s">
        <v>825</v>
      </c>
      <c r="J106" s="3667" t="s">
        <v>826</v>
      </c>
      <c r="K106" s="3667" t="s">
        <v>827</v>
      </c>
      <c r="L106" s="3667" t="s">
        <v>828</v>
      </c>
      <c r="M106" s="3667" t="s">
        <v>829</v>
      </c>
      <c r="N106" s="3667" t="s">
        <v>830</v>
      </c>
    </row>
    <row r="107" spans="1:36">
      <c r="A107" s="3921"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2"/>
      <c r="B112" s="1044" t="s">
        <v>3237</v>
      </c>
      <c r="C112" s="1046">
        <f>$I$3</f>
        <v>0</v>
      </c>
      <c r="D112" s="1046">
        <f t="shared" ref="D112:N112" si="32">$I$3</f>
        <v>0</v>
      </c>
      <c r="E112" s="1046">
        <f t="shared" si="32"/>
        <v>0</v>
      </c>
      <c r="F112" s="1046">
        <f t="shared" si="32"/>
        <v>0</v>
      </c>
      <c r="G112" s="1046">
        <f t="shared" si="32"/>
        <v>0</v>
      </c>
      <c r="H112" s="1046">
        <f t="shared" si="32"/>
        <v>0</v>
      </c>
      <c r="I112" s="1046">
        <f t="shared" si="32"/>
        <v>0</v>
      </c>
      <c r="J112" s="1046">
        <f t="shared" si="32"/>
        <v>0</v>
      </c>
      <c r="K112" s="1046">
        <f t="shared" si="32"/>
        <v>0</v>
      </c>
      <c r="L112" s="1046">
        <f t="shared" si="32"/>
        <v>0</v>
      </c>
      <c r="M112" s="1046">
        <f t="shared" si="32"/>
        <v>0</v>
      </c>
      <c r="N112" s="1046">
        <f t="shared" si="32"/>
        <v>0</v>
      </c>
    </row>
    <row r="113" spans="1:14">
      <c r="A113" s="392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11" t="s">
        <v>1175</v>
      </c>
      <c r="B114" s="3911"/>
      <c r="C114" s="3911"/>
      <c r="D114" s="3911"/>
      <c r="E114" s="3911"/>
      <c r="F114" s="3911"/>
      <c r="G114" s="3911"/>
      <c r="H114" s="3911"/>
      <c r="I114" s="3911"/>
      <c r="J114" s="3911"/>
      <c r="K114" s="3665"/>
      <c r="L114" s="3665"/>
      <c r="M114" s="3665"/>
      <c r="N114" s="3665"/>
    </row>
    <row r="116" spans="1:14" ht="12.75" thickBot="1"/>
    <row r="117" spans="1:14" ht="25.5" thickBot="1">
      <c r="A117" s="976" t="s">
        <v>831</v>
      </c>
      <c r="B117" s="2104">
        <f>G3</f>
        <v>3.25</v>
      </c>
      <c r="C117" s="977" t="s">
        <v>832</v>
      </c>
      <c r="D117" s="978" t="e">
        <f>SUMPRODUCT((A118:A122=F116)*(B117:M117=H116)*B118:M122)</f>
        <v>#VALUE!</v>
      </c>
      <c r="E117" s="979" t="s">
        <v>833</v>
      </c>
      <c r="F117" s="980" t="str">
        <f>E2</f>
        <v>办公</v>
      </c>
      <c r="G117" s="979" t="s">
        <v>834</v>
      </c>
      <c r="H117" s="980" t="str">
        <f>G2</f>
        <v>四级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0.96109999999999995</v>
      </c>
      <c r="C119" s="3575">
        <f>B119</f>
        <v>0.96109999999999995</v>
      </c>
      <c r="D119" s="3575">
        <f>ROUND(0.949-0.014*B117,4)</f>
        <v>0.90349999999999997</v>
      </c>
      <c r="E119" s="3575">
        <f>D119</f>
        <v>0.90349999999999997</v>
      </c>
      <c r="F119" s="3575">
        <f>E119</f>
        <v>0.90349999999999997</v>
      </c>
      <c r="G119" s="3575">
        <f>F119</f>
        <v>0.90349999999999997</v>
      </c>
      <c r="H119" s="3575">
        <f>G119</f>
        <v>0.90349999999999997</v>
      </c>
      <c r="I119" s="3575">
        <f>ROUND(0.8486-0.018*B117,4)</f>
        <v>0.79010000000000002</v>
      </c>
      <c r="J119" s="3575">
        <f t="shared" ref="J119:M123" si="33">I119</f>
        <v>0.79010000000000002</v>
      </c>
      <c r="K119" s="3575">
        <f t="shared" si="33"/>
        <v>0.79010000000000002</v>
      </c>
      <c r="L119" s="3575">
        <f t="shared" si="33"/>
        <v>0.79010000000000002</v>
      </c>
      <c r="M119" s="3636">
        <f t="shared" si="33"/>
        <v>0.79010000000000002</v>
      </c>
    </row>
    <row r="120" spans="1:14" ht="12.75">
      <c r="A120" s="3633" t="s">
        <v>3239</v>
      </c>
      <c r="B120" s="3575">
        <f>ROUND(0.993-0.0112*B117,4)</f>
        <v>0.95660000000000001</v>
      </c>
      <c r="C120" s="3575">
        <f>B120</f>
        <v>0.95660000000000001</v>
      </c>
      <c r="D120" s="3575">
        <f>ROUND(0.9415-0.0142*B117,4)</f>
        <v>0.89539999999999997</v>
      </c>
      <c r="E120" s="3575">
        <f t="shared" ref="E120:H121" si="34">D120</f>
        <v>0.89539999999999997</v>
      </c>
      <c r="F120" s="3575">
        <f t="shared" si="34"/>
        <v>0.89539999999999997</v>
      </c>
      <c r="G120" s="3575">
        <f t="shared" si="34"/>
        <v>0.89539999999999997</v>
      </c>
      <c r="H120" s="3575">
        <f t="shared" si="34"/>
        <v>0.89539999999999997</v>
      </c>
      <c r="I120" s="3575">
        <f>ROUND(0.838-0.0182*B117,4)</f>
        <v>0.77890000000000004</v>
      </c>
      <c r="J120" s="3575">
        <f t="shared" si="33"/>
        <v>0.77890000000000004</v>
      </c>
      <c r="K120" s="3575">
        <f t="shared" si="33"/>
        <v>0.77890000000000004</v>
      </c>
      <c r="L120" s="3575">
        <f t="shared" si="33"/>
        <v>0.77890000000000004</v>
      </c>
      <c r="M120" s="3636">
        <f t="shared" si="33"/>
        <v>0.77890000000000004</v>
      </c>
    </row>
    <row r="121" spans="1:14" ht="12.75">
      <c r="A121" s="3633" t="s">
        <v>3240</v>
      </c>
      <c r="B121" s="3575">
        <f>ROUND(0.9448-0.0115*B117,4)</f>
        <v>0.90739999999999998</v>
      </c>
      <c r="C121" s="3575">
        <f>B121</f>
        <v>0.90739999999999998</v>
      </c>
      <c r="D121" s="3575">
        <f>ROUND(0.937-0.0145*B117,4)</f>
        <v>0.88990000000000002</v>
      </c>
      <c r="E121" s="3575">
        <f t="shared" si="34"/>
        <v>0.88990000000000002</v>
      </c>
      <c r="F121" s="3575">
        <f t="shared" si="34"/>
        <v>0.88990000000000002</v>
      </c>
      <c r="G121" s="3575">
        <f t="shared" si="34"/>
        <v>0.88990000000000002</v>
      </c>
      <c r="H121" s="3575">
        <f t="shared" si="34"/>
        <v>0.88990000000000002</v>
      </c>
      <c r="I121" s="3575">
        <f>ROUND(0.7965-0.0185*B117,4)</f>
        <v>0.73640000000000005</v>
      </c>
      <c r="J121" s="3575">
        <f t="shared" si="33"/>
        <v>0.73640000000000005</v>
      </c>
      <c r="K121" s="3575">
        <f t="shared" si="33"/>
        <v>0.73640000000000005</v>
      </c>
      <c r="L121" s="3575">
        <f t="shared" si="33"/>
        <v>0.73640000000000005</v>
      </c>
      <c r="M121" s="3636">
        <f t="shared" si="33"/>
        <v>0.73640000000000005</v>
      </c>
    </row>
    <row r="122" spans="1:14" ht="13.5" thickBot="1">
      <c r="A122" s="3634" t="s">
        <v>3241</v>
      </c>
      <c r="B122" s="3637">
        <f>ROUND(0.7836-0.012*B117,4)</f>
        <v>0.74460000000000004</v>
      </c>
      <c r="C122" s="3637">
        <f>B122</f>
        <v>0.74460000000000004</v>
      </c>
      <c r="D122" s="3637">
        <f>ROUND(0.753-0.015*B117,4)</f>
        <v>0.70430000000000004</v>
      </c>
      <c r="E122" s="3637">
        <f>D122</f>
        <v>0.70430000000000004</v>
      </c>
      <c r="F122" s="3637">
        <f>E122</f>
        <v>0.70430000000000004</v>
      </c>
      <c r="G122" s="3637">
        <f>ROUND(0.6612-0.018*B117,4)</f>
        <v>0.60270000000000001</v>
      </c>
      <c r="H122" s="3637">
        <f>G122</f>
        <v>0.60270000000000001</v>
      </c>
      <c r="I122" s="3637">
        <f>ROUND(0.5905-0.019*B117,4)</f>
        <v>0.52880000000000005</v>
      </c>
      <c r="J122" s="3637">
        <f t="shared" si="33"/>
        <v>0.52880000000000005</v>
      </c>
      <c r="K122" s="3637">
        <f t="shared" si="33"/>
        <v>0.52880000000000005</v>
      </c>
      <c r="L122" s="3637">
        <f t="shared" si="33"/>
        <v>0.52880000000000005</v>
      </c>
      <c r="M122" s="3638">
        <f t="shared" si="33"/>
        <v>0.52880000000000005</v>
      </c>
    </row>
    <row r="123" spans="1:14" ht="12.75">
      <c r="A123" s="3635" t="s">
        <v>3035</v>
      </c>
      <c r="B123" s="3575">
        <f>ROUND(0.9404-0.0106*B117,4)</f>
        <v>0.90600000000000003</v>
      </c>
      <c r="C123" s="3575">
        <f>B123</f>
        <v>0.90600000000000003</v>
      </c>
      <c r="D123" s="3575">
        <f>ROUND(0.8955-0.0135*B117,4)</f>
        <v>0.85160000000000002</v>
      </c>
      <c r="E123" s="3575">
        <f t="shared" ref="E123:H123" si="35">D123</f>
        <v>0.85160000000000002</v>
      </c>
      <c r="F123" s="3575">
        <f t="shared" si="35"/>
        <v>0.85160000000000002</v>
      </c>
      <c r="G123" s="3575">
        <f t="shared" si="35"/>
        <v>0.85160000000000002</v>
      </c>
      <c r="H123" s="3575">
        <f t="shared" si="35"/>
        <v>0.85160000000000002</v>
      </c>
      <c r="I123" s="3575">
        <f>ROUND(0.7632-0.0166*B117,4)</f>
        <v>0.70930000000000004</v>
      </c>
      <c r="J123" s="3575">
        <f t="shared" si="33"/>
        <v>0.70930000000000004</v>
      </c>
      <c r="K123" s="3575">
        <f t="shared" si="33"/>
        <v>0.70930000000000004</v>
      </c>
      <c r="L123" s="3575">
        <f t="shared" si="33"/>
        <v>0.70930000000000004</v>
      </c>
      <c r="M123" s="3636">
        <f t="shared" si="33"/>
        <v>0.70930000000000004</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37" priority="5" stopIfTrue="1" operator="notEqual">
      <formula>"——"</formula>
    </cfRule>
  </conditionalFormatting>
  <conditionalFormatting sqref="F61">
    <cfRule type="cellIs" dxfId="136" priority="4" stopIfTrue="1" operator="notEqual">
      <formula>"——"</formula>
    </cfRule>
  </conditionalFormatting>
  <conditionalFormatting sqref="F72">
    <cfRule type="cellIs" dxfId="135" priority="3" stopIfTrue="1" operator="notEqual">
      <formula>"——"</formula>
    </cfRule>
  </conditionalFormatting>
  <conditionalFormatting sqref="F83">
    <cfRule type="cellIs" dxfId="134" priority="2" stopIfTrue="1" operator="notEqual">
      <formula>"——"</formula>
    </cfRule>
  </conditionalFormatting>
  <conditionalFormatting sqref="H50:H58 H72:H80 H83:H91 H93:H102 H61:H69">
    <cfRule type="cellIs" dxfId="133"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70" zoomScaleNormal="60" zoomScaleSheetLayoutView="70" workbookViewId="0">
      <selection activeCell="B18" sqref="B18"/>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915</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1174</v>
      </c>
      <c r="T1" s="2415" t="s">
        <v>2061</v>
      </c>
      <c r="U1" s="2415" t="s">
        <v>2062</v>
      </c>
      <c r="V1" s="2415" t="s">
        <v>916</v>
      </c>
      <c r="W1" s="1911"/>
      <c r="X1" s="1911"/>
      <c r="Y1" s="1911"/>
      <c r="Z1" s="1911"/>
      <c r="AA1" s="1911"/>
      <c r="AB1" s="1911"/>
      <c r="AC1" s="1912"/>
    </row>
    <row r="2" spans="1:39" ht="15.75">
      <c r="A2" s="1261" t="s">
        <v>848</v>
      </c>
      <c r="B2" s="991">
        <f>C30</f>
        <v>0</v>
      </c>
      <c r="C2" s="1262" t="s">
        <v>849</v>
      </c>
      <c r="D2" s="1263" t="s">
        <v>833</v>
      </c>
      <c r="E2" s="1264" t="s">
        <v>1212</v>
      </c>
      <c r="F2" s="1263" t="s">
        <v>834</v>
      </c>
      <c r="G2" s="1457" t="str">
        <f>IF(E2="商业",项目基本情况!B43,IF(E2="办公",项目基本情况!C43,IF(E2="住宅",项目基本情况!D43,IF(E2="工业",项目基本情况!E43,项目基本情况!F43))))</f>
        <v>四级</v>
      </c>
      <c r="H2" s="1263" t="s">
        <v>854</v>
      </c>
      <c r="I2" s="1458" t="str">
        <f>IF(E2="商业",项目基本情况!B44,IF(E2="办公",项目基本情况!C44,IF(E2="住宅",项目基本情况!D44,IF(E2="工业",项目基本情况!E44,项目基本情况!F44))))</f>
        <v>Ⅳ-通1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25572</v>
      </c>
      <c r="U2" s="2406"/>
      <c r="V2" s="2416">
        <f>ROUND(T2*U2/10000,0)</f>
        <v>0</v>
      </c>
      <c r="W2" s="1911"/>
      <c r="X2" s="1911"/>
      <c r="Y2" s="1911"/>
      <c r="Z2" s="1911"/>
      <c r="AA2" s="1911"/>
      <c r="AB2" s="1911"/>
      <c r="AC2" s="1912"/>
    </row>
    <row r="3" spans="1:39" ht="15.75">
      <c r="A3" s="1266" t="s">
        <v>1220</v>
      </c>
      <c r="B3" s="991" t="e">
        <f>ROUND(B2*10000/D1,0)</f>
        <v>#DIV/0!</v>
      </c>
      <c r="C3" s="1262" t="s">
        <v>855</v>
      </c>
      <c r="D3" s="1263" t="s">
        <v>856</v>
      </c>
      <c r="E3" s="1267" t="s">
        <v>3284</v>
      </c>
      <c r="F3" s="1268" t="s">
        <v>3274</v>
      </c>
      <c r="G3" s="992">
        <f>IF(F3="宗地容积率",'数据-汇总表'!I4,IF(F3="估价对象容积率",'数据-汇总表'!I6,'数据-汇总表'!I7))</f>
        <v>3.25</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20156</v>
      </c>
      <c r="U3" s="2406"/>
      <c r="V3" s="2416">
        <f t="shared" ref="V3:V16" si="1">ROUND(T3*U3/10000,0)</f>
        <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16540</v>
      </c>
      <c r="N4" s="1643">
        <f>SUMPRODUCT((因素修正幅度!B55:B86=I2)*(因素修正幅度!C3:G3=E2)*(因素修正幅度!C55:G86))</f>
        <v>9.8000000000000004E-2</v>
      </c>
      <c r="O4" s="2976"/>
      <c r="P4" s="1911"/>
      <c r="Q4" s="1911"/>
      <c r="R4" s="2416">
        <v>3</v>
      </c>
      <c r="S4" s="2416">
        <f>ROUND(SUMPRODUCT((B107:B111=R4)*(C106:N106=G2)*(C107:N111)),4)</f>
        <v>1.0004999999999999</v>
      </c>
      <c r="T4" s="2416">
        <f t="shared" si="0"/>
        <v>17035</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16534</v>
      </c>
      <c r="D5" s="2548">
        <f>ROUND(C6*C17+C20,0)</f>
        <v>16534</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15024</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16540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14439</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f>IF(C8="不临65条商业街",1,ROUND(1+(1.6*E8+1.2*E9+0.8*E10+0.4*E11)*C9,4))</f>
        <v>1</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3675" t="s">
        <v>2046</v>
      </c>
      <c r="X7" s="2407" t="str">
        <f>G2</f>
        <v>四级</v>
      </c>
      <c r="Y7" s="2407" t="s">
        <v>2047</v>
      </c>
      <c r="Z7" s="2408">
        <f>G3</f>
        <v>3.25</v>
      </c>
      <c r="AA7" s="1914"/>
      <c r="AB7" s="1914"/>
      <c r="AC7" s="1915"/>
      <c r="AD7" s="2409"/>
      <c r="AE7" s="2409"/>
      <c r="AF7" s="2409"/>
      <c r="AG7" s="2409"/>
      <c r="AH7" s="2409"/>
      <c r="AI7" s="2409"/>
      <c r="AJ7" s="2410"/>
    </row>
    <row r="8" spans="1:39" ht="25.5">
      <c r="A8" s="3532"/>
      <c r="B8" s="1269" t="s">
        <v>862</v>
      </c>
      <c r="C8" s="3533" t="s">
        <v>3275</v>
      </c>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19" t="s">
        <v>2060</v>
      </c>
      <c r="X8" s="3920"/>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918"/>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18"/>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1367</v>
      </c>
      <c r="B12" s="3507" t="s">
        <v>3199</v>
      </c>
      <c r="C12" s="3513">
        <v>1</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3202</v>
      </c>
      <c r="B13" s="1283" t="s">
        <v>874</v>
      </c>
      <c r="C13" s="3527">
        <f>ROUND(C16*D16*E16*F16*G16*H16*I16*J16,4)</f>
        <v>1</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1369</v>
      </c>
      <c r="B17" s="3557" t="s">
        <v>3207</v>
      </c>
      <c r="C17" s="3565">
        <f>ROUND(IF(OR(E2="工业",E2="公共服务"),1,IF(AND(E18=0,E19=0),1,IF(AND(E18=J24,E19=G19),0.8,IF(E19=0,1+E17*(-0.2),1+E17*G17*(-0.2))))),4)</f>
        <v>1</v>
      </c>
      <c r="D17" s="3558" t="s">
        <v>3208</v>
      </c>
      <c r="E17" s="3565">
        <f>ROUND(G18/I18,2)</f>
        <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0.93120000000000003</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12" t="s">
        <v>1370</v>
      </c>
      <c r="B20" s="1278" t="s">
        <v>875</v>
      </c>
      <c r="C20" s="998">
        <f>ROUND(IF(F21="与级别开发程度一致",0,(G21-E21)/C21),0)</f>
        <v>-6</v>
      </c>
      <c r="D20" s="3924" t="s">
        <v>879</v>
      </c>
      <c r="E20" s="3925"/>
      <c r="F20" s="3924" t="s">
        <v>876</v>
      </c>
      <c r="G20" s="3925"/>
      <c r="H20" s="1291" t="s">
        <v>2769</v>
      </c>
      <c r="I20" s="1291" t="s">
        <v>2770</v>
      </c>
      <c r="J20" s="1291" t="s">
        <v>2772</v>
      </c>
      <c r="K20" s="1291" t="s">
        <v>2773</v>
      </c>
      <c r="L20" s="1291" t="s">
        <v>2775</v>
      </c>
      <c r="M20" s="1291" t="s">
        <v>2774</v>
      </c>
      <c r="N20" s="1291" t="s">
        <v>2776</v>
      </c>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913"/>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3276</v>
      </c>
      <c r="G21" s="2599">
        <f>SUM(H21:O21)</f>
        <v>300</v>
      </c>
      <c r="H21" s="997">
        <f>SUMPRODUCT((七通一平=H20)*(修正!B1:M1=G2)*(修正!B8:M16))</f>
        <v>70</v>
      </c>
      <c r="I21" s="997">
        <f>SUMPRODUCT((七通一平=I20)*(修正!B1:M1=G2)*(修正!B8:M16))</f>
        <v>60</v>
      </c>
      <c r="J21" s="997">
        <f>SUMPRODUCT((七通一平=J20)*(修正!B1:M1=G2)*(修正!B8:M16))</f>
        <v>25</v>
      </c>
      <c r="K21" s="997">
        <f>SUMPRODUCT((七通一平=K20)*(修正!B1:M1=G2)*(修正!B8:M16))</f>
        <v>40</v>
      </c>
      <c r="L21" s="997">
        <f>SUMPRODUCT((七通一平=L20)*(修正!B1:M1=G2)*(修正!B8:M16))</f>
        <v>40</v>
      </c>
      <c r="M21" s="997">
        <f>SUMPRODUCT((七通一平=M20)*(修正!B1:M1=G2)*(修正!B8:M16))</f>
        <v>50</v>
      </c>
      <c r="N21" s="997">
        <f>SUMPRODUCT((七通一平=N20)*(修正!B1:M1=G2)*(修正!B8:M16))</f>
        <v>15</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1355</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1356</v>
      </c>
      <c r="B23" s="1294" t="s">
        <v>881</v>
      </c>
      <c r="C23" s="99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1.0298</v>
      </c>
      <c r="D23" s="1297" t="s">
        <v>882</v>
      </c>
      <c r="E23" s="1000">
        <v>44197</v>
      </c>
      <c r="F23" s="1297" t="s">
        <v>883</v>
      </c>
      <c r="G23" s="1001">
        <f>'数据-取费表'!B2</f>
        <v>45499</v>
      </c>
      <c r="H23" s="1298" t="s">
        <v>2247</v>
      </c>
      <c r="I23" s="2266" t="str">
        <f>IF(H23="季度增幅（自定义）",SUMIF(N25:N28,E2,O25:O28),"")</f>
        <v/>
      </c>
      <c r="J23" s="3567" t="s">
        <v>3277</v>
      </c>
      <c r="K23" s="2977"/>
      <c r="L23" s="2511" t="s">
        <v>2116</v>
      </c>
      <c r="M23" s="2512">
        <f>ROUND(SUMIF(地价!B2:F2,E2,地价!B41:F41),0)</f>
        <v>258</v>
      </c>
      <c r="N23" s="2268" t="s">
        <v>1211</v>
      </c>
      <c r="O23" s="2267">
        <f>ROUNDDOWN(DATEDIF(E23,G23,"M")/3,0)</f>
        <v>14</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1357</v>
      </c>
      <c r="B24" s="2261" t="s">
        <v>896</v>
      </c>
      <c r="C24" s="2262">
        <f>ROUND(POWER(1+G24,J24-I24)*(POWER(1+G24,I24)-1)/(POWER(1+G24,J24)-1),4)</f>
        <v>1</v>
      </c>
      <c r="D24" s="2263" t="s">
        <v>897</v>
      </c>
      <c r="E24" s="2540">
        <f>存贷款利率!E24/100</f>
        <v>4.3499999999999997E-2</v>
      </c>
      <c r="F24" s="2263" t="s">
        <v>898</v>
      </c>
      <c r="G24" s="2264">
        <f>SUMIF(M30:Q30,E2,M33:Q33)</f>
        <v>5.5E-2</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0.94899999999999995</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0.94899999999999995</v>
      </c>
      <c r="E26" s="992">
        <f>ROUNDDOWN(G3,1)</f>
        <v>3.2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0.9516</v>
      </c>
      <c r="G26" s="992">
        <f>ROUNDUP(G3,1)</f>
        <v>3.3000000000000003</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0.94640000000000002</v>
      </c>
      <c r="I26" s="3568" t="s">
        <v>3216</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0</v>
      </c>
      <c r="D30" s="1312"/>
      <c r="E30" s="1290"/>
      <c r="F30" s="1313"/>
      <c r="G30" s="1290"/>
      <c r="H30" s="1290"/>
      <c r="I30" s="1290"/>
      <c r="J30" s="1314"/>
      <c r="K30" s="2978"/>
      <c r="L30" s="1407" t="s">
        <v>833</v>
      </c>
      <c r="M30" s="1279" t="s">
        <v>900</v>
      </c>
      <c r="N30" s="1279" t="s">
        <v>902</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16158</v>
      </c>
      <c r="D33" s="1326"/>
      <c r="E33" s="1635">
        <f>ROUND(C33*D33/10000,0)</f>
        <v>0</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4040</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t="e">
        <f ca="1">'数据-取费表'!B40</f>
        <v>#VALUE!</v>
      </c>
      <c r="M36" s="3644" t="e">
        <f ca="1">ROUND($L$36*(1+M31),3)</f>
        <v>#VALUE!</v>
      </c>
      <c r="N36" s="3644" t="e">
        <f ca="1">ROUND($L$36*(1+N31),3)</f>
        <v>#VALUE!</v>
      </c>
      <c r="O36" s="3644" t="e">
        <f ca="1">ROUND($L$36*(1+O31),3)</f>
        <v>#VALUE!</v>
      </c>
      <c r="P36" s="3644" t="e">
        <f ca="1">ROUND($L$36*(1+P31),3)</f>
        <v>#VALUE!</v>
      </c>
      <c r="Q36" s="3644" t="e">
        <f ca="1">ROUND($L$36*(1+Q31),3)</f>
        <v>#VALUE!</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16"/>
      <c r="B37" s="1344" t="s">
        <v>923</v>
      </c>
      <c r="C37" s="1005">
        <f>ROUND(D5*C22*C23*C24*C28*F37,0)</f>
        <v>10216</v>
      </c>
      <c r="D37" s="1356"/>
      <c r="E37" s="996">
        <f>ROUND(C37*D37/10000,0)</f>
        <v>0</v>
      </c>
      <c r="F37" s="996">
        <f>SUMIF(修正!A57:A68,G2,修正!B57:B68)</f>
        <v>0.6</v>
      </c>
      <c r="G37" s="996">
        <f>ROUND(IF(E2="工业",C37*$M$42,C37*$M$41),0)</f>
        <v>2554</v>
      </c>
      <c r="H37" s="996">
        <f>D37</f>
        <v>0</v>
      </c>
      <c r="I37" s="996">
        <f>ROUND(G37*H37/10000,0)</f>
        <v>0</v>
      </c>
      <c r="J37" s="3916"/>
      <c r="K37" s="3642" t="s">
        <v>3246</v>
      </c>
      <c r="L37" s="3643" t="e">
        <f ca="1">L36+K38</f>
        <v>#VALUE!</v>
      </c>
      <c r="M37" s="3644" t="e">
        <f ca="1">ROUND($L$37*(1+M31),3)</f>
        <v>#VALUE!</v>
      </c>
      <c r="N37" s="3644" t="e">
        <f t="shared" ref="N37:Q37" ca="1" si="3">ROUND($L$37*(1+N31),3)</f>
        <v>#VALUE!</v>
      </c>
      <c r="O37" s="3644" t="e">
        <f t="shared" ca="1" si="3"/>
        <v>#VALUE!</v>
      </c>
      <c r="P37" s="3644" t="e">
        <f t="shared" ca="1" si="3"/>
        <v>#VALUE!</v>
      </c>
      <c r="Q37" s="3644" t="e">
        <f t="shared" ca="1" si="3"/>
        <v>#VALUE!</v>
      </c>
      <c r="R37" s="1912"/>
      <c r="S37" s="1912"/>
      <c r="T37" s="1912"/>
      <c r="U37" s="1912"/>
      <c r="V37" s="1912"/>
      <c r="W37" s="1911"/>
      <c r="X37" s="1911"/>
      <c r="Y37" s="1911"/>
      <c r="Z37" s="1911"/>
      <c r="AA37" s="1911"/>
      <c r="AB37" s="1911"/>
      <c r="AC37" s="1912"/>
    </row>
    <row r="38" spans="1:44" ht="12.75">
      <c r="A38" s="3917"/>
      <c r="B38" s="1288" t="s">
        <v>924</v>
      </c>
      <c r="C38" s="1005">
        <f>ROUND(D5*C22*C23*C24*C28*F38,0)</f>
        <v>5108</v>
      </c>
      <c r="D38" s="1356"/>
      <c r="E38" s="996">
        <f t="shared" ref="E38:E42" si="4">ROUND(C38*D38/10000,0)</f>
        <v>0</v>
      </c>
      <c r="F38" s="996">
        <f>SUMIF(修正!A57:A68,G2,修正!C57:C68)</f>
        <v>0.3</v>
      </c>
      <c r="G38" s="996">
        <f>ROUND(IF(E2="工业",C38*$M$42,C38*$M$41),0)</f>
        <v>1277</v>
      </c>
      <c r="H38" s="996">
        <f t="shared" ref="H38:H42" si="5">D38</f>
        <v>0</v>
      </c>
      <c r="I38" s="996">
        <f t="shared" ref="I38:I42" si="6">ROUND(G38*H38/10000,0)</f>
        <v>0</v>
      </c>
      <c r="J38" s="3917"/>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17"/>
      <c r="B39" s="3571" t="s">
        <v>3219</v>
      </c>
      <c r="C39" s="1005">
        <f>ROUND(D5*C22*C23*C24*C28*F39,0)</f>
        <v>4257</v>
      </c>
      <c r="D39" s="1356"/>
      <c r="E39" s="996">
        <f t="shared" si="4"/>
        <v>0</v>
      </c>
      <c r="F39" s="996">
        <f>SUMIF(修正!A57:A68,G2,修正!D57:D68)</f>
        <v>0.25</v>
      </c>
      <c r="G39" s="996">
        <f>ROUND(IF(E2="工业",C39*$M$42,C39*$M$41),0)</f>
        <v>1064</v>
      </c>
      <c r="H39" s="996">
        <f t="shared" si="5"/>
        <v>0</v>
      </c>
      <c r="I39" s="996">
        <f t="shared" si="6"/>
        <v>0</v>
      </c>
      <c r="J39" s="3917"/>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4257</v>
      </c>
      <c r="D40" s="1356"/>
      <c r="E40" s="996">
        <f t="shared" si="4"/>
        <v>0</v>
      </c>
      <c r="F40" s="1005">
        <f>SUMIF(修正!A57:A68,G2,修正!E57:E68)</f>
        <v>0.25</v>
      </c>
      <c r="G40" s="996">
        <f>ROUND(IF(E2="工业",C40*$M$42,C40*$M$41),0)</f>
        <v>1064</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5.5E-2</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900</v>
      </c>
      <c r="B48" s="3649">
        <f>1+E50</f>
        <v>1.0442</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671"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t="s">
        <v>3278</v>
      </c>
      <c r="D50" s="3599">
        <f t="shared" ref="D50:D58" si="7">SUMIF($J$49:$N$49,C50,J50:N50)</f>
        <v>1.47E-2</v>
      </c>
      <c r="E50" s="3600">
        <f>ROUND(SUM(D50:D58),4)</f>
        <v>4.4200000000000003E-2</v>
      </c>
      <c r="F50" s="3601" t="str">
        <f>IF(E2="商业",SUMIF(L1:L12,G2,N1:N12),"——")</f>
        <v>——</v>
      </c>
      <c r="G50" s="3602">
        <v>1.47E-2</v>
      </c>
      <c r="H50" s="3603" t="str">
        <f t="shared" ref="H50:H58" si="8">IFERROR(ROUNDDOWN(($F$50*I50/2),4),"——")</f>
        <v>——</v>
      </c>
      <c r="I50" s="3577">
        <v>0.3</v>
      </c>
      <c r="J50" s="3604">
        <f t="shared" ref="J50:J58" si="9">K50+$G50</f>
        <v>2.9399999999999999E-2</v>
      </c>
      <c r="K50" s="3604">
        <f t="shared" ref="K50:K58" si="10">$L50+$G50</f>
        <v>1.47E-2</v>
      </c>
      <c r="L50" s="3604">
        <v>0</v>
      </c>
      <c r="M50" s="3604">
        <f t="shared" ref="M50:N58" si="11">L50-$G50</f>
        <v>-1.47E-2</v>
      </c>
      <c r="N50" s="3604">
        <f t="shared" si="11"/>
        <v>-2.9399999999999999E-2</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t="s">
        <v>3279</v>
      </c>
      <c r="D51" s="3599">
        <f t="shared" si="7"/>
        <v>0</v>
      </c>
      <c r="E51" s="3605"/>
      <c r="F51" s="3601"/>
      <c r="G51" s="3602">
        <v>1.0699999999999999E-2</v>
      </c>
      <c r="H51" s="3603" t="str">
        <f t="shared" si="8"/>
        <v>——</v>
      </c>
      <c r="I51" s="3577">
        <v>0.22</v>
      </c>
      <c r="J51" s="3604">
        <f t="shared" si="9"/>
        <v>2.1399999999999999E-2</v>
      </c>
      <c r="K51" s="3604">
        <f t="shared" si="10"/>
        <v>1.0699999999999999E-2</v>
      </c>
      <c r="L51" s="3604">
        <v>0</v>
      </c>
      <c r="M51" s="3604">
        <f t="shared" si="11"/>
        <v>-1.0699999999999999E-2</v>
      </c>
      <c r="N51" s="3604">
        <f t="shared" si="11"/>
        <v>-2.1399999999999999E-2</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t="s">
        <v>3278</v>
      </c>
      <c r="D52" s="3599">
        <f t="shared" si="7"/>
        <v>5.7999999999999996E-3</v>
      </c>
      <c r="E52" s="3605"/>
      <c r="F52" s="3601"/>
      <c r="G52" s="3602">
        <v>5.7999999999999996E-3</v>
      </c>
      <c r="H52" s="3603" t="str">
        <f t="shared" si="8"/>
        <v>——</v>
      </c>
      <c r="I52" s="3577">
        <v>0.12</v>
      </c>
      <c r="J52" s="3604">
        <f t="shared" si="9"/>
        <v>1.1599999999999999E-2</v>
      </c>
      <c r="K52" s="3604">
        <f t="shared" si="10"/>
        <v>5.7999999999999996E-3</v>
      </c>
      <c r="L52" s="3604">
        <v>0</v>
      </c>
      <c r="M52" s="3604">
        <f t="shared" si="11"/>
        <v>-5.7999999999999996E-3</v>
      </c>
      <c r="N52" s="3604">
        <f t="shared" si="11"/>
        <v>-1.1599999999999999E-2</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t="s">
        <v>3278</v>
      </c>
      <c r="D53" s="3599">
        <f t="shared" si="7"/>
        <v>2.3999999999999998E-3</v>
      </c>
      <c r="E53" s="3605"/>
      <c r="F53" s="3601"/>
      <c r="G53" s="3602">
        <v>2.3999999999999998E-3</v>
      </c>
      <c r="H53" s="3603" t="str">
        <f t="shared" si="8"/>
        <v>——</v>
      </c>
      <c r="I53" s="3577">
        <v>0.05</v>
      </c>
      <c r="J53" s="3604">
        <f t="shared" si="9"/>
        <v>4.7999999999999996E-3</v>
      </c>
      <c r="K53" s="3604">
        <f t="shared" si="10"/>
        <v>2.3999999999999998E-3</v>
      </c>
      <c r="L53" s="3604">
        <v>0</v>
      </c>
      <c r="M53" s="3604">
        <f t="shared" si="11"/>
        <v>-2.3999999999999998E-3</v>
      </c>
      <c r="N53" s="3604">
        <f t="shared" si="11"/>
        <v>-4.7999999999999996E-3</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t="s">
        <v>3278</v>
      </c>
      <c r="D54" s="3599">
        <f t="shared" si="7"/>
        <v>3.8999999999999998E-3</v>
      </c>
      <c r="E54" s="3605"/>
      <c r="F54" s="3601"/>
      <c r="G54" s="3602">
        <v>3.8999999999999998E-3</v>
      </c>
      <c r="H54" s="3603" t="str">
        <f t="shared" si="8"/>
        <v>——</v>
      </c>
      <c r="I54" s="3577">
        <v>0.08</v>
      </c>
      <c r="J54" s="3604">
        <f t="shared" si="9"/>
        <v>7.7999999999999996E-3</v>
      </c>
      <c r="K54" s="3604">
        <f t="shared" si="10"/>
        <v>3.8999999999999998E-3</v>
      </c>
      <c r="L54" s="3604">
        <v>0</v>
      </c>
      <c r="M54" s="3604">
        <f t="shared" si="11"/>
        <v>-3.8999999999999998E-3</v>
      </c>
      <c r="N54" s="3604">
        <f t="shared" si="11"/>
        <v>-7.7999999999999996E-3</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t="s">
        <v>3278</v>
      </c>
      <c r="D55" s="3599">
        <f t="shared" si="7"/>
        <v>2.3999999999999998E-3</v>
      </c>
      <c r="E55" s="3605"/>
      <c r="F55" s="3601"/>
      <c r="G55" s="3602">
        <v>2.3999999999999998E-3</v>
      </c>
      <c r="H55" s="3603" t="str">
        <f t="shared" si="8"/>
        <v>——</v>
      </c>
      <c r="I55" s="3577">
        <v>0.05</v>
      </c>
      <c r="J55" s="3604">
        <f t="shared" si="9"/>
        <v>4.7999999999999996E-3</v>
      </c>
      <c r="K55" s="3604">
        <f t="shared" si="10"/>
        <v>2.3999999999999998E-3</v>
      </c>
      <c r="L55" s="3604">
        <v>0</v>
      </c>
      <c r="M55" s="3604">
        <f t="shared" si="11"/>
        <v>-2.3999999999999998E-3</v>
      </c>
      <c r="N55" s="3604">
        <f t="shared" si="11"/>
        <v>-4.7999999999999996E-3</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t="s">
        <v>3278</v>
      </c>
      <c r="D56" s="3599">
        <f t="shared" si="7"/>
        <v>2.3999999999999998E-3</v>
      </c>
      <c r="E56" s="3605"/>
      <c r="F56" s="3601"/>
      <c r="G56" s="3602">
        <v>2.3999999999999998E-3</v>
      </c>
      <c r="H56" s="3603" t="str">
        <f t="shared" si="8"/>
        <v>——</v>
      </c>
      <c r="I56" s="3577">
        <v>0.05</v>
      </c>
      <c r="J56" s="3604">
        <f t="shared" si="9"/>
        <v>4.7999999999999996E-3</v>
      </c>
      <c r="K56" s="3604">
        <f t="shared" si="10"/>
        <v>2.3999999999999998E-3</v>
      </c>
      <c r="L56" s="3604">
        <v>0</v>
      </c>
      <c r="M56" s="3604">
        <f t="shared" si="11"/>
        <v>-2.3999999999999998E-3</v>
      </c>
      <c r="N56" s="3604">
        <f t="shared" si="11"/>
        <v>-4.7999999999999996E-3</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t="s">
        <v>3280</v>
      </c>
      <c r="D57" s="3599">
        <f t="shared" si="7"/>
        <v>7.7999999999999996E-3</v>
      </c>
      <c r="E57" s="3605"/>
      <c r="F57" s="3601"/>
      <c r="G57" s="3602">
        <v>3.8999999999999998E-3</v>
      </c>
      <c r="H57" s="3603" t="str">
        <f t="shared" si="8"/>
        <v>——</v>
      </c>
      <c r="I57" s="3577">
        <v>0.08</v>
      </c>
      <c r="J57" s="3604">
        <f t="shared" si="9"/>
        <v>7.7999999999999996E-3</v>
      </c>
      <c r="K57" s="3604">
        <f t="shared" si="10"/>
        <v>3.8999999999999998E-3</v>
      </c>
      <c r="L57" s="3604">
        <v>0</v>
      </c>
      <c r="M57" s="3604">
        <f t="shared" si="11"/>
        <v>-3.8999999999999998E-3</v>
      </c>
      <c r="N57" s="3604">
        <f t="shared" si="11"/>
        <v>-7.7999999999999996E-3</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t="s">
        <v>3280</v>
      </c>
      <c r="D58" s="3599">
        <f t="shared" si="7"/>
        <v>4.7999999999999996E-3</v>
      </c>
      <c r="E58" s="3612"/>
      <c r="F58" s="3601"/>
      <c r="G58" s="3602">
        <v>2.3999999999999998E-3</v>
      </c>
      <c r="H58" s="3603" t="str">
        <f t="shared" si="8"/>
        <v>——</v>
      </c>
      <c r="I58" s="3579">
        <v>0.05</v>
      </c>
      <c r="J58" s="3604">
        <f t="shared" si="9"/>
        <v>4.7999999999999996E-3</v>
      </c>
      <c r="K58" s="3604">
        <f t="shared" si="10"/>
        <v>2.3999999999999998E-3</v>
      </c>
      <c r="L58" s="3604">
        <v>0</v>
      </c>
      <c r="M58" s="3604">
        <f t="shared" si="11"/>
        <v>-2.3999999999999998E-3</v>
      </c>
      <c r="N58" s="3604">
        <f t="shared" si="11"/>
        <v>-4.7999999999999996E-3</v>
      </c>
      <c r="P58" s="1920"/>
      <c r="Q58" s="1920"/>
      <c r="R58" s="1920"/>
      <c r="S58" s="1920"/>
      <c r="T58" s="1920"/>
      <c r="U58" s="1920"/>
      <c r="V58" s="1920"/>
      <c r="W58" s="1920"/>
      <c r="X58" s="1920"/>
      <c r="Y58" s="1920"/>
      <c r="Z58" s="1920"/>
      <c r="AA58" s="1920"/>
      <c r="AB58" s="1920"/>
      <c r="AC58" s="1920"/>
      <c r="AD58" s="1920"/>
    </row>
    <row r="59" spans="1:30" s="3584" customFormat="1" ht="15">
      <c r="A59" s="3585" t="s">
        <v>902</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671" t="s">
        <v>1609</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f>IF(E2="办公",SUMIF(L1:L12,G2,N1:N12),"——")</f>
        <v>9.8000000000000004E-2</v>
      </c>
      <c r="G61" s="3602"/>
      <c r="H61" s="3603">
        <f>IFERROR(ROUNDDOWN($F$61*I61/2,4),"——")</f>
        <v>1.2200000000000001E-2</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f t="shared" ref="H62:H69" si="16">IFERROR(ROUNDDOWN($F$61*I62/2,4),"——")</f>
        <v>1.2699999999999999E-2</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2"/>
        <v>0</v>
      </c>
      <c r="E63" s="3605"/>
      <c r="F63" s="3601"/>
      <c r="G63" s="3602"/>
      <c r="H63" s="3603">
        <f t="shared" si="16"/>
        <v>5.3E-3</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2200</v>
      </c>
      <c r="C64" s="3598"/>
      <c r="D64" s="3599">
        <f t="shared" si="12"/>
        <v>0</v>
      </c>
      <c r="E64" s="3605"/>
      <c r="F64" s="3601"/>
      <c r="G64" s="3602"/>
      <c r="H64" s="3603">
        <f t="shared" si="16"/>
        <v>2.3999999999999998E-3</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f t="shared" si="16"/>
        <v>2.3999999999999998E-3</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f t="shared" si="16"/>
        <v>2.8999999999999998E-3</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f t="shared" si="16"/>
        <v>2.8999999999999998E-3</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f t="shared" si="16"/>
        <v>4.4000000000000003E-3</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f t="shared" si="16"/>
        <v>3.3999999999999998E-3</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835</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671" t="s">
        <v>1609</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943</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909</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671" t="s">
        <v>1609</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943</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2458</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101" si="28">L93-$G93</f>
        <v>0</v>
      </c>
      <c r="N93" s="3628">
        <f t="shared" si="28"/>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si="28"/>
        <v>0</v>
      </c>
      <c r="N94" s="3628">
        <f t="shared" si="28"/>
        <v>0</v>
      </c>
      <c r="AE94" s="3584"/>
      <c r="AF94" s="3584"/>
      <c r="AG94" s="3584"/>
      <c r="AH94" s="3584"/>
      <c r="AI94" s="3584"/>
      <c r="AJ94" s="3584"/>
    </row>
    <row r="95" spans="1:36" s="1348" customFormat="1" ht="36">
      <c r="A95" s="3629" t="s">
        <v>3221</v>
      </c>
      <c r="B95" s="3591">
        <f>估价对象房地状况!G17</f>
        <v>0</v>
      </c>
      <c r="C95" s="3598"/>
      <c r="D95" s="3599">
        <f t="shared" si="29"/>
        <v>0</v>
      </c>
      <c r="E95" s="3623"/>
      <c r="F95" s="3601"/>
      <c r="G95" s="3616"/>
      <c r="H95" s="3603" t="str">
        <f t="shared" si="30"/>
        <v>——</v>
      </c>
      <c r="I95" s="3577">
        <v>0.11</v>
      </c>
      <c r="J95" s="3628">
        <f t="shared" ref="J95:J101" si="31">K95+$G95</f>
        <v>0</v>
      </c>
      <c r="K95" s="3628">
        <f t="shared" si="27"/>
        <v>0</v>
      </c>
      <c r="L95" s="3628">
        <v>0</v>
      </c>
      <c r="M95" s="3628">
        <f t="shared" si="28"/>
        <v>0</v>
      </c>
      <c r="N95" s="3628">
        <f t="shared" si="28"/>
        <v>0</v>
      </c>
      <c r="AE95" s="3584"/>
      <c r="AF95" s="3584"/>
      <c r="AG95" s="3584"/>
      <c r="AH95" s="3584"/>
      <c r="AI95" s="3584"/>
      <c r="AJ95" s="3584"/>
    </row>
    <row r="96" spans="1:36" s="1348" customFormat="1" ht="36.75">
      <c r="A96" s="3574" t="s">
        <v>3225</v>
      </c>
      <c r="B96" s="3578" t="s">
        <v>3226</v>
      </c>
      <c r="C96" s="3598"/>
      <c r="D96" s="3599">
        <f t="shared" si="29"/>
        <v>0</v>
      </c>
      <c r="E96" s="3623"/>
      <c r="F96" s="3601"/>
      <c r="G96" s="3616"/>
      <c r="H96" s="3603" t="str">
        <f t="shared" si="30"/>
        <v>——</v>
      </c>
      <c r="I96" s="3577">
        <v>0.05</v>
      </c>
      <c r="J96" s="3628">
        <f t="shared" si="31"/>
        <v>0</v>
      </c>
      <c r="K96" s="3628">
        <f t="shared" si="27"/>
        <v>0</v>
      </c>
      <c r="L96" s="3628">
        <v>0</v>
      </c>
      <c r="M96" s="3628">
        <f>L96-$G96</f>
        <v>0</v>
      </c>
      <c r="N96" s="3628">
        <f t="shared" si="28"/>
        <v>0</v>
      </c>
      <c r="AE96" s="3584"/>
      <c r="AF96" s="3584"/>
      <c r="AG96" s="3584"/>
      <c r="AH96" s="3584"/>
      <c r="AI96" s="3584"/>
      <c r="AJ96" s="3584"/>
    </row>
    <row r="97" spans="1:36" s="1348" customFormat="1" ht="24">
      <c r="A97" s="3574" t="s">
        <v>3227</v>
      </c>
      <c r="B97" s="3591">
        <f>估价对象房地状况!G22</f>
        <v>0</v>
      </c>
      <c r="C97" s="3598"/>
      <c r="D97" s="3599">
        <f t="shared" si="29"/>
        <v>0</v>
      </c>
      <c r="E97" s="3623"/>
      <c r="F97" s="3601"/>
      <c r="G97" s="3616"/>
      <c r="H97" s="3603" t="str">
        <f t="shared" si="30"/>
        <v>——</v>
      </c>
      <c r="I97" s="3577">
        <v>0.05</v>
      </c>
      <c r="J97" s="3628">
        <f t="shared" si="31"/>
        <v>0</v>
      </c>
      <c r="K97" s="3628">
        <f t="shared" si="27"/>
        <v>0</v>
      </c>
      <c r="L97" s="3628">
        <v>0</v>
      </c>
      <c r="M97" s="3628">
        <f t="shared" si="28"/>
        <v>0</v>
      </c>
      <c r="N97" s="3628">
        <f t="shared" si="28"/>
        <v>0</v>
      </c>
      <c r="AE97" s="3584"/>
      <c r="AF97" s="3584"/>
      <c r="AG97" s="3584"/>
      <c r="AH97" s="3584"/>
      <c r="AI97" s="3584"/>
      <c r="AJ97" s="3584"/>
    </row>
    <row r="98" spans="1:36" s="1348" customFormat="1" ht="24">
      <c r="A98" s="3574" t="s">
        <v>3234</v>
      </c>
      <c r="B98" s="3606" t="s">
        <v>2199</v>
      </c>
      <c r="C98" s="3598"/>
      <c r="D98" s="3599">
        <f t="shared" si="29"/>
        <v>0</v>
      </c>
      <c r="E98" s="3623"/>
      <c r="F98" s="3601"/>
      <c r="G98" s="3616"/>
      <c r="H98" s="3603" t="str">
        <f t="shared" si="30"/>
        <v>——</v>
      </c>
      <c r="I98" s="3577">
        <v>0.06</v>
      </c>
      <c r="J98" s="3628">
        <f t="shared" si="31"/>
        <v>0</v>
      </c>
      <c r="K98" s="3628">
        <f t="shared" si="27"/>
        <v>0</v>
      </c>
      <c r="L98" s="3628">
        <v>0</v>
      </c>
      <c r="M98" s="3628">
        <f t="shared" si="28"/>
        <v>0</v>
      </c>
      <c r="N98" s="3628">
        <f t="shared" si="28"/>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1"/>
        <v>0</v>
      </c>
      <c r="K99" s="3628">
        <f t="shared" si="27"/>
        <v>0</v>
      </c>
      <c r="L99" s="3628">
        <v>0</v>
      </c>
      <c r="M99" s="3628">
        <f t="shared" si="28"/>
        <v>0</v>
      </c>
      <c r="N99" s="3628">
        <f t="shared" si="28"/>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29"/>
        <v>0</v>
      </c>
      <c r="E100" s="3623"/>
      <c r="F100" s="3601"/>
      <c r="G100" s="3616"/>
      <c r="H100" s="3603" t="str">
        <f t="shared" si="30"/>
        <v>——</v>
      </c>
      <c r="I100" s="3577">
        <v>0.09</v>
      </c>
      <c r="J100" s="3628">
        <f t="shared" si="31"/>
        <v>0</v>
      </c>
      <c r="K100" s="3628">
        <f t="shared" si="27"/>
        <v>0</v>
      </c>
      <c r="L100" s="3628">
        <v>0</v>
      </c>
      <c r="M100" s="3628">
        <f t="shared" si="28"/>
        <v>0</v>
      </c>
      <c r="N100" s="3628">
        <f t="shared" si="28"/>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1"/>
        <v>0</v>
      </c>
      <c r="K101" s="3628">
        <f t="shared" si="27"/>
        <v>0</v>
      </c>
      <c r="L101" s="3628">
        <v>0</v>
      </c>
      <c r="M101" s="3628">
        <f t="shared" si="28"/>
        <v>0</v>
      </c>
      <c r="N101" s="3628">
        <f t="shared" si="28"/>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14" t="s">
        <v>1172</v>
      </c>
      <c r="B104" s="3914"/>
      <c r="C104" s="3914"/>
      <c r="D104" s="3914"/>
      <c r="E104" s="3914"/>
      <c r="F104" s="3914"/>
      <c r="G104" s="3914"/>
      <c r="H104" s="3914"/>
      <c r="I104" s="3914"/>
      <c r="J104" s="3914"/>
      <c r="K104" s="3673"/>
      <c r="L104" s="3673"/>
      <c r="M104" s="3673"/>
      <c r="N104" s="3673"/>
    </row>
    <row r="105" spans="1:36">
      <c r="A105" s="3915" t="s">
        <v>833</v>
      </c>
      <c r="B105" s="3915" t="s">
        <v>1173</v>
      </c>
      <c r="C105" s="1041" t="s">
        <v>1174</v>
      </c>
      <c r="D105" s="1042"/>
      <c r="E105" s="1042"/>
      <c r="F105" s="1042"/>
      <c r="G105" s="1042"/>
      <c r="H105" s="1042"/>
      <c r="I105" s="1042"/>
      <c r="J105" s="1043"/>
      <c r="K105" s="1035"/>
      <c r="L105" s="1035"/>
      <c r="M105" s="1035"/>
      <c r="N105" s="1035"/>
    </row>
    <row r="106" spans="1:36">
      <c r="A106" s="3915"/>
      <c r="B106" s="3915"/>
      <c r="C106" s="3674" t="s">
        <v>819</v>
      </c>
      <c r="D106" s="3674" t="s">
        <v>820</v>
      </c>
      <c r="E106" s="3674" t="s">
        <v>821</v>
      </c>
      <c r="F106" s="3674" t="s">
        <v>822</v>
      </c>
      <c r="G106" s="3674" t="s">
        <v>823</v>
      </c>
      <c r="H106" s="3674" t="s">
        <v>824</v>
      </c>
      <c r="I106" s="3674" t="s">
        <v>825</v>
      </c>
      <c r="J106" s="3674" t="s">
        <v>826</v>
      </c>
      <c r="K106" s="3674" t="s">
        <v>827</v>
      </c>
      <c r="L106" s="3674" t="s">
        <v>828</v>
      </c>
      <c r="M106" s="3674" t="s">
        <v>829</v>
      </c>
      <c r="N106" s="3674" t="s">
        <v>830</v>
      </c>
    </row>
    <row r="107" spans="1:36">
      <c r="A107" s="3921"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2"/>
      <c r="B112" s="1044" t="s">
        <v>3237</v>
      </c>
      <c r="C112" s="1046">
        <f>$I$3</f>
        <v>0</v>
      </c>
      <c r="D112" s="1046">
        <f t="shared" ref="D112:N112" si="32">$I$3</f>
        <v>0</v>
      </c>
      <c r="E112" s="1046">
        <f t="shared" si="32"/>
        <v>0</v>
      </c>
      <c r="F112" s="1046">
        <f t="shared" si="32"/>
        <v>0</v>
      </c>
      <c r="G112" s="1046">
        <f t="shared" si="32"/>
        <v>0</v>
      </c>
      <c r="H112" s="1046">
        <f t="shared" si="32"/>
        <v>0</v>
      </c>
      <c r="I112" s="1046">
        <f t="shared" si="32"/>
        <v>0</v>
      </c>
      <c r="J112" s="1046">
        <f t="shared" si="32"/>
        <v>0</v>
      </c>
      <c r="K112" s="1046">
        <f t="shared" si="32"/>
        <v>0</v>
      </c>
      <c r="L112" s="1046">
        <f t="shared" si="32"/>
        <v>0</v>
      </c>
      <c r="M112" s="1046">
        <f t="shared" si="32"/>
        <v>0</v>
      </c>
      <c r="N112" s="1046">
        <f t="shared" si="32"/>
        <v>0</v>
      </c>
    </row>
    <row r="113" spans="1:14">
      <c r="A113" s="392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11" t="s">
        <v>1175</v>
      </c>
      <c r="B114" s="3911"/>
      <c r="C114" s="3911"/>
      <c r="D114" s="3911"/>
      <c r="E114" s="3911"/>
      <c r="F114" s="3911"/>
      <c r="G114" s="3911"/>
      <c r="H114" s="3911"/>
      <c r="I114" s="3911"/>
      <c r="J114" s="3911"/>
      <c r="K114" s="3672"/>
      <c r="L114" s="3672"/>
      <c r="M114" s="3672"/>
      <c r="N114" s="3672"/>
    </row>
    <row r="116" spans="1:14" ht="12.75" thickBot="1"/>
    <row r="117" spans="1:14" ht="25.5" thickBot="1">
      <c r="A117" s="976" t="s">
        <v>831</v>
      </c>
      <c r="B117" s="2104">
        <f>G3</f>
        <v>3.25</v>
      </c>
      <c r="C117" s="977" t="s">
        <v>832</v>
      </c>
      <c r="D117" s="978" t="e">
        <f>SUMPRODUCT((A118:A122=F116)*(B117:M117=H116)*B118:M122)</f>
        <v>#VALUE!</v>
      </c>
      <c r="E117" s="979" t="s">
        <v>833</v>
      </c>
      <c r="F117" s="980" t="str">
        <f>E2</f>
        <v>办公</v>
      </c>
      <c r="G117" s="979" t="s">
        <v>834</v>
      </c>
      <c r="H117" s="980" t="str">
        <f>G2</f>
        <v>四级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0.96109999999999995</v>
      </c>
      <c r="C119" s="3575">
        <f>B119</f>
        <v>0.96109999999999995</v>
      </c>
      <c r="D119" s="3575">
        <f>ROUND(0.949-0.014*B117,4)</f>
        <v>0.90349999999999997</v>
      </c>
      <c r="E119" s="3575">
        <f>D119</f>
        <v>0.90349999999999997</v>
      </c>
      <c r="F119" s="3575">
        <f>E119</f>
        <v>0.90349999999999997</v>
      </c>
      <c r="G119" s="3575">
        <f>F119</f>
        <v>0.90349999999999997</v>
      </c>
      <c r="H119" s="3575">
        <f>G119</f>
        <v>0.90349999999999997</v>
      </c>
      <c r="I119" s="3575">
        <f>ROUND(0.8486-0.018*B117,4)</f>
        <v>0.79010000000000002</v>
      </c>
      <c r="J119" s="3575">
        <f t="shared" ref="J119:M123" si="33">I119</f>
        <v>0.79010000000000002</v>
      </c>
      <c r="K119" s="3575">
        <f t="shared" si="33"/>
        <v>0.79010000000000002</v>
      </c>
      <c r="L119" s="3575">
        <f t="shared" si="33"/>
        <v>0.79010000000000002</v>
      </c>
      <c r="M119" s="3636">
        <f t="shared" si="33"/>
        <v>0.79010000000000002</v>
      </c>
    </row>
    <row r="120" spans="1:14" ht="12.75">
      <c r="A120" s="3633" t="s">
        <v>3239</v>
      </c>
      <c r="B120" s="3575">
        <f>ROUND(0.993-0.0112*B117,4)</f>
        <v>0.95660000000000001</v>
      </c>
      <c r="C120" s="3575">
        <f>B120</f>
        <v>0.95660000000000001</v>
      </c>
      <c r="D120" s="3575">
        <f>ROUND(0.9415-0.0142*B117,4)</f>
        <v>0.89539999999999997</v>
      </c>
      <c r="E120" s="3575">
        <f t="shared" ref="E120:H121" si="34">D120</f>
        <v>0.89539999999999997</v>
      </c>
      <c r="F120" s="3575">
        <f t="shared" si="34"/>
        <v>0.89539999999999997</v>
      </c>
      <c r="G120" s="3575">
        <f t="shared" si="34"/>
        <v>0.89539999999999997</v>
      </c>
      <c r="H120" s="3575">
        <f t="shared" si="34"/>
        <v>0.89539999999999997</v>
      </c>
      <c r="I120" s="3575">
        <f>ROUND(0.838-0.0182*B117,4)</f>
        <v>0.77890000000000004</v>
      </c>
      <c r="J120" s="3575">
        <f t="shared" si="33"/>
        <v>0.77890000000000004</v>
      </c>
      <c r="K120" s="3575">
        <f t="shared" si="33"/>
        <v>0.77890000000000004</v>
      </c>
      <c r="L120" s="3575">
        <f t="shared" si="33"/>
        <v>0.77890000000000004</v>
      </c>
      <c r="M120" s="3636">
        <f t="shared" si="33"/>
        <v>0.77890000000000004</v>
      </c>
    </row>
    <row r="121" spans="1:14" ht="12.75">
      <c r="A121" s="3633" t="s">
        <v>3240</v>
      </c>
      <c r="B121" s="3575">
        <f>ROUND(0.9448-0.0115*B117,4)</f>
        <v>0.90739999999999998</v>
      </c>
      <c r="C121" s="3575">
        <f>B121</f>
        <v>0.90739999999999998</v>
      </c>
      <c r="D121" s="3575">
        <f>ROUND(0.937-0.0145*B117,4)</f>
        <v>0.88990000000000002</v>
      </c>
      <c r="E121" s="3575">
        <f t="shared" si="34"/>
        <v>0.88990000000000002</v>
      </c>
      <c r="F121" s="3575">
        <f t="shared" si="34"/>
        <v>0.88990000000000002</v>
      </c>
      <c r="G121" s="3575">
        <f t="shared" si="34"/>
        <v>0.88990000000000002</v>
      </c>
      <c r="H121" s="3575">
        <f t="shared" si="34"/>
        <v>0.88990000000000002</v>
      </c>
      <c r="I121" s="3575">
        <f>ROUND(0.7965-0.0185*B117,4)</f>
        <v>0.73640000000000005</v>
      </c>
      <c r="J121" s="3575">
        <f t="shared" si="33"/>
        <v>0.73640000000000005</v>
      </c>
      <c r="K121" s="3575">
        <f t="shared" si="33"/>
        <v>0.73640000000000005</v>
      </c>
      <c r="L121" s="3575">
        <f t="shared" si="33"/>
        <v>0.73640000000000005</v>
      </c>
      <c r="M121" s="3636">
        <f t="shared" si="33"/>
        <v>0.73640000000000005</v>
      </c>
    </row>
    <row r="122" spans="1:14" ht="13.5" thickBot="1">
      <c r="A122" s="3634" t="s">
        <v>3241</v>
      </c>
      <c r="B122" s="3637">
        <f>ROUND(0.7836-0.012*B117,4)</f>
        <v>0.74460000000000004</v>
      </c>
      <c r="C122" s="3637">
        <f>B122</f>
        <v>0.74460000000000004</v>
      </c>
      <c r="D122" s="3637">
        <f>ROUND(0.753-0.015*B117,4)</f>
        <v>0.70430000000000004</v>
      </c>
      <c r="E122" s="3637">
        <f>D122</f>
        <v>0.70430000000000004</v>
      </c>
      <c r="F122" s="3637">
        <f>E122</f>
        <v>0.70430000000000004</v>
      </c>
      <c r="G122" s="3637">
        <f>ROUND(0.6612-0.018*B117,4)</f>
        <v>0.60270000000000001</v>
      </c>
      <c r="H122" s="3637">
        <f>G122</f>
        <v>0.60270000000000001</v>
      </c>
      <c r="I122" s="3637">
        <f>ROUND(0.5905-0.019*B117,4)</f>
        <v>0.52880000000000005</v>
      </c>
      <c r="J122" s="3637">
        <f t="shared" si="33"/>
        <v>0.52880000000000005</v>
      </c>
      <c r="K122" s="3637">
        <f t="shared" si="33"/>
        <v>0.52880000000000005</v>
      </c>
      <c r="L122" s="3637">
        <f t="shared" si="33"/>
        <v>0.52880000000000005</v>
      </c>
      <c r="M122" s="3638">
        <f t="shared" si="33"/>
        <v>0.52880000000000005</v>
      </c>
    </row>
    <row r="123" spans="1:14" ht="12.75">
      <c r="A123" s="3635" t="s">
        <v>3035</v>
      </c>
      <c r="B123" s="3575">
        <f>ROUND(0.9404-0.0106*B117,4)</f>
        <v>0.90600000000000003</v>
      </c>
      <c r="C123" s="3575">
        <f>B123</f>
        <v>0.90600000000000003</v>
      </c>
      <c r="D123" s="3575">
        <f>ROUND(0.8955-0.0135*B117,4)</f>
        <v>0.85160000000000002</v>
      </c>
      <c r="E123" s="3575">
        <f t="shared" ref="E123:H123" si="35">D123</f>
        <v>0.85160000000000002</v>
      </c>
      <c r="F123" s="3575">
        <f t="shared" si="35"/>
        <v>0.85160000000000002</v>
      </c>
      <c r="G123" s="3575">
        <f t="shared" si="35"/>
        <v>0.85160000000000002</v>
      </c>
      <c r="H123" s="3575">
        <f t="shared" si="35"/>
        <v>0.85160000000000002</v>
      </c>
      <c r="I123" s="3575">
        <f>ROUND(0.7632-0.0166*B117,4)</f>
        <v>0.70930000000000004</v>
      </c>
      <c r="J123" s="3575">
        <f t="shared" si="33"/>
        <v>0.70930000000000004</v>
      </c>
      <c r="K123" s="3575">
        <f t="shared" si="33"/>
        <v>0.70930000000000004</v>
      </c>
      <c r="L123" s="3575">
        <f t="shared" si="33"/>
        <v>0.70930000000000004</v>
      </c>
      <c r="M123" s="3636">
        <f t="shared" si="33"/>
        <v>0.70930000000000004</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32" priority="5" stopIfTrue="1" operator="notEqual">
      <formula>"——"</formula>
    </cfRule>
  </conditionalFormatting>
  <conditionalFormatting sqref="F61">
    <cfRule type="cellIs" dxfId="131" priority="4" stopIfTrue="1" operator="notEqual">
      <formula>"——"</formula>
    </cfRule>
  </conditionalFormatting>
  <conditionalFormatting sqref="F72">
    <cfRule type="cellIs" dxfId="130" priority="3" stopIfTrue="1" operator="notEqual">
      <formula>"——"</formula>
    </cfRule>
  </conditionalFormatting>
  <conditionalFormatting sqref="F83">
    <cfRule type="cellIs" dxfId="129" priority="2" stopIfTrue="1" operator="notEqual">
      <formula>"——"</formula>
    </cfRule>
  </conditionalFormatting>
  <conditionalFormatting sqref="H50:H58 H72:H80 H83:H91 H93:H102 H61:H69">
    <cfRule type="cellIs" dxfId="128"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J39:P58"/>
  <sheetViews>
    <sheetView topLeftCell="A30" workbookViewId="0">
      <selection activeCell="O49" sqref="O49"/>
    </sheetView>
  </sheetViews>
  <sheetFormatPr defaultRowHeight="13.5"/>
  <sheetData>
    <row r="39" spans="10:16">
      <c r="J39" s="3958" t="s">
        <v>3270</v>
      </c>
      <c r="K39" s="3958"/>
      <c r="L39" s="3958"/>
      <c r="M39" s="3958"/>
      <c r="N39" s="3958"/>
      <c r="O39" s="3958"/>
      <c r="P39" s="3958"/>
    </row>
    <row r="40" spans="10:16">
      <c r="J40" s="3670" t="s">
        <v>3286</v>
      </c>
      <c r="K40" s="3670" t="s">
        <v>2720</v>
      </c>
      <c r="L40" s="3670" t="s">
        <v>3281</v>
      </c>
      <c r="M40" s="3670" t="s">
        <v>3282</v>
      </c>
      <c r="N40" s="3670" t="s">
        <v>3283</v>
      </c>
      <c r="O40" s="3670" t="s">
        <v>3285</v>
      </c>
      <c r="P40" s="3670" t="s">
        <v>3287</v>
      </c>
    </row>
    <row r="41" spans="10:16">
      <c r="J41" s="3669">
        <v>16610</v>
      </c>
      <c r="K41" s="3669">
        <v>1</v>
      </c>
      <c r="L41" s="3669">
        <f>'基准地价（商业）'!C23</f>
        <v>1.0432999999999999</v>
      </c>
      <c r="M41" s="3669">
        <v>1</v>
      </c>
      <c r="N41" s="3669">
        <f>'基准地价（商业）'!C25</f>
        <v>0.96189999999999998</v>
      </c>
      <c r="O41" s="3669">
        <v>0.7</v>
      </c>
      <c r="P41" s="3669">
        <f>ROUND(J41*K41*L41*M41*N41*O41,0)</f>
        <v>11668</v>
      </c>
    </row>
    <row r="55" spans="10:16">
      <c r="J55" s="3958" t="s">
        <v>2798</v>
      </c>
      <c r="K55" s="3959"/>
      <c r="L55" s="3959"/>
      <c r="M55" s="3959"/>
      <c r="N55" s="3959"/>
      <c r="O55" s="3959"/>
      <c r="P55" s="3959"/>
    </row>
    <row r="56" spans="10:16">
      <c r="J56" s="3670" t="s">
        <v>3286</v>
      </c>
      <c r="K56" s="3670" t="s">
        <v>2720</v>
      </c>
      <c r="L56" s="3670" t="s">
        <v>3281</v>
      </c>
      <c r="M56" s="3670" t="s">
        <v>3282</v>
      </c>
      <c r="N56" s="3670" t="s">
        <v>3283</v>
      </c>
      <c r="O56" s="3670" t="s">
        <v>3285</v>
      </c>
      <c r="P56" s="3670" t="s">
        <v>3287</v>
      </c>
    </row>
    <row r="57" spans="10:16">
      <c r="J57" s="3670">
        <v>16540</v>
      </c>
      <c r="K57" s="3670">
        <v>1</v>
      </c>
      <c r="L57" s="3670">
        <f>'基准地价（办公）'!C23</f>
        <v>1.0298</v>
      </c>
      <c r="M57" s="3670">
        <v>1</v>
      </c>
      <c r="N57" s="3670">
        <f>'基准地价（办公）'!C25</f>
        <v>0.94899999999999995</v>
      </c>
      <c r="O57" s="3669">
        <v>0.7</v>
      </c>
      <c r="P57" s="3669">
        <f>ROUND(J57*K57*L57*M57*N57*O57,0)</f>
        <v>11315</v>
      </c>
    </row>
    <row r="58" spans="10:16">
      <c r="J58" s="3670"/>
      <c r="K58" s="3670"/>
      <c r="L58" s="3670"/>
      <c r="M58" s="3670"/>
      <c r="N58" s="3670"/>
    </row>
  </sheetData>
  <mergeCells count="2">
    <mergeCell ref="J39:P39"/>
    <mergeCell ref="J55:P55"/>
  </mergeCells>
  <phoneticPr fontId="22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tabSelected="1" topLeftCell="B1" workbookViewId="0">
      <selection activeCell="E10" sqref="E10"/>
    </sheetView>
  </sheetViews>
  <sheetFormatPr defaultRowHeight="13.5"/>
  <cols>
    <col min="1" max="1" width="13.25" customWidth="1"/>
    <col min="2" max="2" width="48.125" customWidth="1"/>
    <col min="5" max="5" width="16" customWidth="1"/>
  </cols>
  <sheetData>
    <row r="1" spans="1:6">
      <c r="A1" s="3680" t="s">
        <v>3288</v>
      </c>
      <c r="B1" s="3680" t="s">
        <v>3289</v>
      </c>
      <c r="C1" s="3680" t="s">
        <v>2742</v>
      </c>
      <c r="D1" s="3680" t="s">
        <v>1212</v>
      </c>
      <c r="E1" s="3680" t="s">
        <v>3298</v>
      </c>
      <c r="F1" s="3679" t="s">
        <v>3283</v>
      </c>
    </row>
    <row r="2" spans="1:6" ht="27">
      <c r="A2" s="3681" t="s">
        <v>3290</v>
      </c>
      <c r="B2" s="3682" t="s">
        <v>3294</v>
      </c>
      <c r="C2" s="3683">
        <f>'基准地价（商业）'!C33</f>
        <v>16549</v>
      </c>
      <c r="D2" s="3683">
        <f>'基准地价（办公）'!C33</f>
        <v>15402</v>
      </c>
      <c r="E2" s="3683">
        <f>'基准地价（办公商务公寓）'!C33</f>
        <v>16158</v>
      </c>
      <c r="F2" s="3684">
        <f>'数据-汇总表'!I7</f>
        <v>3.25</v>
      </c>
    </row>
    <row r="3" spans="1:6" ht="27">
      <c r="A3" s="3680" t="s">
        <v>3291</v>
      </c>
      <c r="B3" s="3678" t="s">
        <v>3295</v>
      </c>
      <c r="C3" s="3677">
        <f>'[3]基准地价（商业）'!$C$33</f>
        <v>14309</v>
      </c>
      <c r="D3" s="3677">
        <f>'[3]基准地价（办公）'!$C$33</f>
        <v>13325</v>
      </c>
      <c r="E3" s="3677">
        <f>'[3]基准地价（办公商务公寓）'!$C$33</f>
        <v>14365</v>
      </c>
      <c r="F3" s="3676">
        <f>'[3]数据-汇总表'!$I$7</f>
        <v>7.34</v>
      </c>
    </row>
    <row r="4" spans="1:6" ht="27">
      <c r="A4" s="3680" t="s">
        <v>3292</v>
      </c>
      <c r="B4" s="3678" t="s">
        <v>3296</v>
      </c>
      <c r="C4" s="3677">
        <f>'[4]基准地价（商业）'!$C$33</f>
        <v>16065</v>
      </c>
      <c r="D4" s="3677">
        <f>'[4]基准地价（办公）'!$C$33</f>
        <v>14875</v>
      </c>
      <c r="E4" s="3677">
        <f>D4</f>
        <v>14875</v>
      </c>
      <c r="F4" s="3676">
        <f>'[4]数据-汇总表'!$I$7</f>
        <v>5.85</v>
      </c>
    </row>
    <row r="5" spans="1:6" ht="27">
      <c r="A5" s="3680" t="s">
        <v>3293</v>
      </c>
      <c r="B5" s="3678" t="s">
        <v>3297</v>
      </c>
      <c r="C5" s="3677">
        <f>'[5]基准地价（商业）'!$C$33</f>
        <v>13511</v>
      </c>
      <c r="D5" s="3677">
        <f>'[5]基准地价（办公）'!$C$33</f>
        <v>12608</v>
      </c>
      <c r="E5" s="3677" t="s">
        <v>3299</v>
      </c>
      <c r="F5" s="3676">
        <f>'[5]数据-汇总表'!$I$7</f>
        <v>6.35</v>
      </c>
    </row>
  </sheetData>
  <phoneticPr fontId="22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t="e">
        <f ca="1">ROUND(B2*10000/'数据-汇总表'!E3,0)</f>
        <v>#DIV/0!</v>
      </c>
      <c r="C3" s="1211"/>
      <c r="D3" s="1779"/>
      <c r="E3" s="1780"/>
      <c r="F3" s="1780"/>
      <c r="G3" s="1403"/>
      <c r="H3" s="742" t="s">
        <v>642</v>
      </c>
      <c r="I3" s="1781"/>
      <c r="J3" s="1781"/>
      <c r="K3" s="1782"/>
      <c r="L3" s="1781"/>
      <c r="M3" s="1781"/>
    </row>
    <row r="4" spans="1:25" ht="18" customHeight="1">
      <c r="A4" s="1451" t="s">
        <v>643</v>
      </c>
      <c r="B4" s="1212" t="e">
        <f ca="1">ROUND(B2*10000/'数据-汇总表'!D3,0)</f>
        <v>#DIV/0!</v>
      </c>
      <c r="C4" s="415"/>
      <c r="D4" s="1779"/>
      <c r="E4" s="1780"/>
      <c r="F4" s="1780"/>
      <c r="G4" s="1403"/>
      <c r="H4" s="742"/>
      <c r="I4" s="1781"/>
      <c r="J4" s="1781"/>
      <c r="K4" s="1782"/>
      <c r="L4" s="1781"/>
      <c r="M4" s="1781"/>
    </row>
    <row r="5" spans="1:25" ht="18" customHeight="1" thickBot="1">
      <c r="A5" s="1452"/>
      <c r="B5" s="417" t="e">
        <f ca="1">ROUND(B2/('数据-汇总表'!D3/666.67),0)</f>
        <v>#DIV/0!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61" t="s">
        <v>1807</v>
      </c>
      <c r="C8" s="1612">
        <f ca="1">ROUND(F8*F10*F9*(1-F11)/10000,0)</f>
        <v>0</v>
      </c>
      <c r="D8" s="1609" t="s">
        <v>1817</v>
      </c>
      <c r="E8" s="59" t="s">
        <v>585</v>
      </c>
      <c r="F8" s="751">
        <f ca="1">INDIRECT("'数据-取费表'!u"&amp;$G$1)</f>
        <v>0</v>
      </c>
      <c r="G8" s="1405"/>
      <c r="H8" s="2151" t="s">
        <v>1353</v>
      </c>
      <c r="I8" s="3961" t="s">
        <v>1807</v>
      </c>
      <c r="J8" s="749">
        <f ca="1">ROUND(M8*M10*M9*(1-M11)/10000,0)</f>
        <v>0</v>
      </c>
      <c r="K8" s="332" t="s">
        <v>1817</v>
      </c>
      <c r="L8" s="750" t="s">
        <v>1267</v>
      </c>
      <c r="M8" s="751">
        <f ca="1">INDIRECT("'数据-取费表'!z"&amp;$G$1)</f>
        <v>0</v>
      </c>
    </row>
    <row r="9" spans="1:25" ht="18" customHeight="1">
      <c r="A9" s="2147"/>
      <c r="B9" s="3962"/>
      <c r="C9" s="1613"/>
      <c r="D9" s="1610"/>
      <c r="E9" s="59" t="s">
        <v>586</v>
      </c>
      <c r="F9" s="751">
        <f ca="1">IF(INDIRECT("'数据-取费表'!ah"&amp;$G$1)="",INDIRECT("'数据-取费表'!k"&amp;$G$1),INDIRECT("'数据-取费表'!ah"&amp;$G$1))</f>
        <v>0</v>
      </c>
      <c r="G9" s="1405"/>
      <c r="H9" s="2136"/>
      <c r="I9" s="3962"/>
      <c r="J9" s="754"/>
      <c r="K9" s="755"/>
      <c r="L9" s="750" t="s">
        <v>1268</v>
      </c>
      <c r="M9" s="751">
        <f ca="1">F9</f>
        <v>0</v>
      </c>
    </row>
    <row r="10" spans="1:25" ht="18" customHeight="1">
      <c r="A10" s="2140"/>
      <c r="B10" s="3963"/>
      <c r="C10" s="1613"/>
      <c r="D10" s="1610"/>
      <c r="E10" s="59" t="s">
        <v>587</v>
      </c>
      <c r="F10" s="751">
        <f ca="1">INDIRECT("'数据-取费表'!ai"&amp;$G$1)</f>
        <v>0</v>
      </c>
      <c r="G10" s="1405"/>
      <c r="H10" s="2136"/>
      <c r="I10" s="3963"/>
      <c r="J10" s="754"/>
      <c r="K10" s="755"/>
      <c r="L10" s="750" t="s">
        <v>1269</v>
      </c>
      <c r="M10" s="751">
        <f ca="1">INDIRECT("'数据-取费表'!ai"&amp;$G$1)</f>
        <v>0</v>
      </c>
    </row>
    <row r="11" spans="1:25" ht="18" customHeight="1">
      <c r="A11" s="752"/>
      <c r="B11" s="3964"/>
      <c r="C11" s="1613"/>
      <c r="D11" s="1610"/>
      <c r="E11" s="59" t="s">
        <v>588</v>
      </c>
      <c r="F11" s="760">
        <f ca="1">INDIRECT("'数据-取费表'!w"&amp;$G$1)</f>
        <v>0</v>
      </c>
      <c r="G11" s="1405"/>
      <c r="H11" s="2152"/>
      <c r="I11" s="3963"/>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t="e">
        <f ca="1">ROUND(C31*F15,0)</f>
        <v>#VALUE!</v>
      </c>
      <c r="D15" s="1621" t="s">
        <v>590</v>
      </c>
      <c r="E15" s="761" t="s">
        <v>591</v>
      </c>
      <c r="F15" s="766">
        <f ca="1">INDIRECT("'数据-取费表'!y"&amp;$G$1)</f>
        <v>0</v>
      </c>
      <c r="G15" s="1405"/>
      <c r="H15" s="1616" t="s">
        <v>1355</v>
      </c>
      <c r="I15" s="1614" t="s">
        <v>592</v>
      </c>
      <c r="J15" s="1606" t="e">
        <f ca="1">ROUND(J16*J17,0)</f>
        <v>#VALUE!</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t="e">
        <f ca="1">C31</f>
        <v>#VALUE!</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t="e">
        <f ca="1">ROUND(J19+J24+J25+J26,0)</f>
        <v>#VALUE!</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t="e">
        <f ca="1">ROUND(J16*M24,0)</f>
        <v>#VALUE!</v>
      </c>
      <c r="K24" s="1732" t="s">
        <v>624</v>
      </c>
      <c r="L24" s="750" t="s">
        <v>597</v>
      </c>
      <c r="M24" s="782">
        <f ca="1">INDIRECT("'数据-取费表'!Ak"&amp;$G$1)</f>
        <v>0</v>
      </c>
    </row>
    <row r="25" spans="1:25" s="1788" customFormat="1" ht="18" customHeight="1">
      <c r="A25" s="769" t="s">
        <v>1400</v>
      </c>
      <c r="B25" s="750" t="s">
        <v>1784</v>
      </c>
      <c r="C25" s="51" t="e">
        <f ca="1">ROUND(IF('数据-取费表'!B22&lt;=1,(C21+C22)*F26*F25/2,(C21+C22)*(POWER((1+F26),F25/2)-1)),0)</f>
        <v>#VALUE!</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t="e">
        <f ca="1">ROUND(J15*M25,0)</f>
        <v>#VALUE!</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t="e">
        <f ca="1">ROUND(IF('数据-取费表'!B22&lt;=1,F23*F26*F25/2,F23*(POWER((1+F26),F25/2)-1)),4)</f>
        <v>#VALUE!</v>
      </c>
      <c r="D26" s="2187" t="str">
        <f>IF(F25&lt;=1,"销售费用×利率×(建设周期÷2)","销售费用×((1+利率)^(建设周期÷2)-1)")</f>
        <v>销售费用×利率×(建设周期÷2)</v>
      </c>
      <c r="E26" s="750" t="s">
        <v>629</v>
      </c>
      <c r="F26" s="784" t="e">
        <f ca="1">'数据-取费表'!B40</f>
        <v>#VALUE!</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t="e">
        <f ca="1">J7-J18</f>
        <v>#VALUE!</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t="e">
        <f ca="1">ROUND((C21+C22+C25+C28)/(1-F23-C26-C29-C30),0)</f>
        <v>#VALUE!</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t="e">
        <f ca="1">ROUND(C33+C38+C39+C40,0)</f>
        <v>#VALUE!</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60"/>
      <c r="J36" s="1803"/>
      <c r="K36" s="1804"/>
      <c r="L36" s="1803"/>
      <c r="M36" s="1803"/>
    </row>
    <row r="37" spans="1:18" ht="18" customHeight="1">
      <c r="A37" s="780"/>
      <c r="B37" s="759"/>
      <c r="C37" s="67"/>
      <c r="D37" s="781"/>
      <c r="E37" s="750" t="s">
        <v>621</v>
      </c>
      <c r="F37" s="751">
        <f ca="1">INDIRECT("'数据-取费表'!r"&amp;$G$1)</f>
        <v>0</v>
      </c>
      <c r="G37" s="1786"/>
      <c r="H37" s="1789"/>
      <c r="I37" s="3960"/>
      <c r="J37" s="1801"/>
      <c r="K37" s="1802"/>
      <c r="L37" s="1801"/>
      <c r="M37" s="1801"/>
    </row>
    <row r="38" spans="1:18" ht="18" customHeight="1">
      <c r="A38" s="769" t="s">
        <v>1402</v>
      </c>
      <c r="B38" s="750" t="s">
        <v>623</v>
      </c>
      <c r="C38" s="51" t="e">
        <f ca="1">ROUND(C31*F38,2)</f>
        <v>#VALUE!</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t="e">
        <f ca="1">ROUND(C15*F39,2)</f>
        <v>#VALUE!</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t="e">
        <f ca="1">C7-C32</f>
        <v>#VALUE!</v>
      </c>
      <c r="D42" s="1734" t="s">
        <v>641</v>
      </c>
      <c r="E42" s="1736"/>
      <c r="F42" s="785"/>
      <c r="G42" s="1786"/>
      <c r="H42" s="1786"/>
      <c r="I42" s="1786"/>
      <c r="J42" s="1786"/>
      <c r="K42" s="1806"/>
      <c r="L42" s="1786"/>
      <c r="M42" s="1786"/>
    </row>
    <row r="43" spans="1:18" ht="18" customHeight="1">
      <c r="A43" s="769" t="s">
        <v>1402</v>
      </c>
      <c r="B43" s="800" t="s">
        <v>658</v>
      </c>
      <c r="C43" s="801" t="e">
        <f ca="1">ROUND(C15*F43,0)</f>
        <v>#VALUE!</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t="e">
        <f ca="1">C42-C43</f>
        <v>#VALUE!</v>
      </c>
      <c r="D44" s="449" t="s">
        <v>661</v>
      </c>
      <c r="E44" s="450"/>
      <c r="F44" s="451"/>
      <c r="G44" s="1786"/>
      <c r="H44" s="1786"/>
      <c r="I44" s="1786"/>
      <c r="J44" s="1786"/>
      <c r="K44" s="1806"/>
      <c r="L44" s="1786"/>
      <c r="M44" s="1786"/>
    </row>
    <row r="45" spans="1:18" ht="18" customHeight="1">
      <c r="A45" s="769" t="s">
        <v>1404</v>
      </c>
      <c r="B45" s="1216" t="s">
        <v>662</v>
      </c>
      <c r="C45" s="2509" t="e">
        <f ca="1">ROUND(-PV(F45,F46,C44,0),0)</f>
        <v>#VALUE!</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#VALUE!</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40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40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str">
        <f ca="1">J61</f>
        <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t="e">
        <f ca="1">C31</f>
        <v>#VALUE!</v>
      </c>
      <c r="R51" s="2091" t="s">
        <v>1734</v>
      </c>
    </row>
    <row r="52" spans="1:18" s="1783" customFormat="1" ht="18" customHeight="1" thickBot="1">
      <c r="A52" s="1819"/>
      <c r="F52" s="1808"/>
      <c r="I52" s="2558" t="s">
        <v>1702</v>
      </c>
      <c r="J52" s="2562">
        <f>IF(J50="",J51,J50+J51-YEAR('数据-取费表'!B3))</f>
        <v>0</v>
      </c>
      <c r="K52" s="2554" t="s">
        <v>1708</v>
      </c>
      <c r="L52" s="2568" t="e">
        <f ca="1">C45</f>
        <v>#VALUE!</v>
      </c>
      <c r="O52" s="2093" t="s">
        <v>1738</v>
      </c>
      <c r="P52" s="2091" t="s">
        <v>1739</v>
      </c>
      <c r="Q52" s="2094" t="e">
        <f ca="1">J59</f>
        <v>#VALUE!</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v>
      </c>
      <c r="K54" s="3965"/>
      <c r="L54" s="3966"/>
      <c r="O54" s="2093" t="s">
        <v>1742</v>
      </c>
      <c r="P54" s="2091" t="s">
        <v>1743</v>
      </c>
      <c r="Q54" s="2092">
        <f ca="1">J54</f>
        <v>0</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f ca="1">Q49+Q50</f>
        <v>0</v>
      </c>
      <c r="R55" s="2095" t="s">
        <v>1746</v>
      </c>
    </row>
    <row r="56" spans="1:18" s="1783" customFormat="1" ht="16.5" thickBot="1">
      <c r="A56" s="1819"/>
      <c r="B56" s="1820"/>
      <c r="C56" s="1820"/>
      <c r="I56" s="2571" t="s">
        <v>1709</v>
      </c>
      <c r="J56" s="2543" t="e">
        <f ca="1">ROUND(IF(J48="钢混",J58/J51,1-(1-2%)*(J51-J58)/J51),3)</f>
        <v>#VALUE!</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40</v>
      </c>
      <c r="O57" s="2087" t="s">
        <v>1729</v>
      </c>
      <c r="P57" s="2088" t="s">
        <v>1730</v>
      </c>
      <c r="Q57" s="2089" t="s">
        <v>1731</v>
      </c>
      <c r="R57" s="2088" t="s">
        <v>1732</v>
      </c>
    </row>
    <row r="58" spans="1:18" s="1783" customFormat="1" ht="29.25" thickBot="1">
      <c r="A58" s="1819"/>
      <c r="B58" s="1820"/>
      <c r="C58" s="1820"/>
      <c r="I58" s="2574" t="s">
        <v>1712</v>
      </c>
      <c r="J58" s="2575" t="str">
        <f ca="1">IF(OR(M48="住宅",J52&lt;L49,J57="是"),"——",J52-L49)</f>
        <v>——</v>
      </c>
      <c r="K58" s="2554" t="s">
        <v>1717</v>
      </c>
      <c r="L58" s="1664" t="e">
        <f ca="1">IF(L49&lt;J52,"——",IF(L56="比较法",L50,IF(L56="基准地价",L51,L52)))</f>
        <v>#VALUE!</v>
      </c>
      <c r="O58" s="2090" t="s">
        <v>1733</v>
      </c>
      <c r="P58" s="2091" t="s">
        <v>1759</v>
      </c>
      <c r="Q58" s="2092">
        <f ca="1">C41+J31</f>
        <v>0</v>
      </c>
      <c r="R58" s="2091" t="s">
        <v>1734</v>
      </c>
    </row>
    <row r="59" spans="1:18" s="1783" customFormat="1" ht="29.25" thickBot="1">
      <c r="A59" s="1819"/>
      <c r="B59" s="1820"/>
      <c r="C59" s="1820"/>
      <c r="I59" s="2574" t="s">
        <v>1713</v>
      </c>
      <c r="J59" s="2544" t="e">
        <f ca="1">IF(J56&lt;0.4,0.4,J56)</f>
        <v>#VALUE!</v>
      </c>
      <c r="K59" s="2554" t="s">
        <v>1718</v>
      </c>
      <c r="L59" s="1664">
        <f ca="1">IF(ISERROR(POWER(1+L53,L48-L49)*(POWER(1+L53,L49)-1)/(POWER(1+L53,L48)-1)),0,POWER(1+L53,L48-L49)*(POWER(1+L53,L49)-1)/(POWER(1+L53,L48)-1))</f>
        <v>0</v>
      </c>
      <c r="O59" s="2090" t="s">
        <v>1735</v>
      </c>
      <c r="P59" s="2091" t="s">
        <v>1766</v>
      </c>
      <c r="Q59" s="2092" t="e">
        <f ca="1">L61</f>
        <v>#VALUE!</v>
      </c>
      <c r="R59" s="2095" t="s">
        <v>1768</v>
      </c>
    </row>
    <row r="60" spans="1:18" s="1783" customFormat="1" ht="29.25" thickBot="1">
      <c r="A60" s="1819"/>
      <c r="B60" s="1820"/>
      <c r="C60" s="1820"/>
      <c r="I60" s="2574" t="s">
        <v>1714</v>
      </c>
      <c r="J60" s="2575" t="str">
        <f ca="1">IF(OR(M48="住宅",J52&lt;L49,J57="是"),"——",ROUND(C30*J59,0))</f>
        <v>——</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str">
        <f ca="1">IF(OR(M48="住宅",J52&lt;L49,J57="是"),"0",ROUND(J60/(1+J53)^J54,0))</f>
        <v>0</v>
      </c>
      <c r="K61" s="2578" t="s">
        <v>1720</v>
      </c>
      <c r="L61" s="2577" t="e">
        <f ca="1">IF(OR(M48="住宅",L49&lt;J52),0,ROUND(L58*(L59/L60-1),0))</f>
        <v>#VALUE!</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#VALUE!</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#VALUE!</v>
      </c>
      <c r="R68" s="2095" t="s">
        <v>1768</v>
      </c>
    </row>
    <row r="69" spans="1:18" s="1783" customFormat="1" ht="21.75" thickBot="1">
      <c r="A69" s="1819"/>
      <c r="B69" s="1820"/>
      <c r="C69" s="1820"/>
      <c r="K69" s="1809"/>
      <c r="O69" s="2093" t="s">
        <v>1737</v>
      </c>
      <c r="P69" s="2091" t="s">
        <v>1767</v>
      </c>
      <c r="Q69" s="2097" t="e">
        <f ca="1">L52</f>
        <v>#VALUE!</v>
      </c>
      <c r="R69" s="2098" t="s">
        <v>1770</v>
      </c>
    </row>
    <row r="70" spans="1:18" s="1783" customFormat="1" ht="20.25" thickBot="1">
      <c r="A70" s="1819"/>
      <c r="B70" s="1820"/>
      <c r="C70" s="1820"/>
      <c r="K70" s="1809"/>
      <c r="O70" s="2093" t="s">
        <v>1738</v>
      </c>
      <c r="P70" s="2099" t="s">
        <v>1752</v>
      </c>
      <c r="Q70" s="2092" t="e">
        <f ca="1">ROUND(Q71-Q72*Q73,0)</f>
        <v>#VALUE!</v>
      </c>
      <c r="R70" s="2095"/>
    </row>
    <row r="71" spans="1:18" s="1783" customFormat="1" ht="15.75" thickBot="1">
      <c r="A71" s="1819"/>
      <c r="B71" s="1820"/>
      <c r="C71" s="1820"/>
      <c r="K71" s="1809"/>
      <c r="O71" s="2093" t="s">
        <v>1753</v>
      </c>
      <c r="P71" s="2099" t="s">
        <v>1754</v>
      </c>
      <c r="Q71" s="2092" t="e">
        <f ca="1">C42</f>
        <v>#VALUE!</v>
      </c>
      <c r="R71" s="2091" t="s">
        <v>1734</v>
      </c>
    </row>
    <row r="72" spans="1:18" s="1783" customFormat="1" ht="15.75" thickBot="1">
      <c r="A72" s="1819"/>
      <c r="B72" s="1820"/>
      <c r="C72" s="1820"/>
      <c r="K72" s="1809"/>
      <c r="O72" s="2093" t="s">
        <v>1755</v>
      </c>
      <c r="P72" s="2099" t="s">
        <v>1756</v>
      </c>
      <c r="Q72" s="2092" t="e">
        <f ca="1">C15</f>
        <v>#VALUE!</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#VALUE!</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61" t="s">
        <v>1807</v>
      </c>
      <c r="C6" s="749" t="e">
        <f ca="1">ROUND(F6*F8*F7*(1-F9)/10000,0)</f>
        <v>#N/A</v>
      </c>
      <c r="D6" s="2144" t="s">
        <v>1806</v>
      </c>
      <c r="E6" s="750" t="s">
        <v>1267</v>
      </c>
      <c r="F6" s="751" t="e">
        <f ca="1">INDIRECT("'数据-取费表'!u"&amp;$G$1)</f>
        <v>#N/A</v>
      </c>
      <c r="G6" s="1786"/>
      <c r="H6" s="2151" t="s">
        <v>1812</v>
      </c>
      <c r="I6" s="3961" t="s">
        <v>1807</v>
      </c>
      <c r="J6" s="749" t="e">
        <f ca="1">ROUND(M6*M8*M7*(1-M9)/10000,0)</f>
        <v>#N/A</v>
      </c>
      <c r="K6" s="332" t="s">
        <v>1266</v>
      </c>
      <c r="L6" s="750" t="s">
        <v>1267</v>
      </c>
      <c r="M6" s="751" t="e">
        <f ca="1">INDIRECT("'数据-取费表'!z"&amp;$G$1)</f>
        <v>#N/A</v>
      </c>
    </row>
    <row r="7" spans="1:33" ht="18" customHeight="1">
      <c r="A7" s="2147"/>
      <c r="B7" s="3962"/>
      <c r="C7" s="754"/>
      <c r="D7" s="755"/>
      <c r="E7" s="750" t="s">
        <v>1268</v>
      </c>
      <c r="F7" s="751" t="e">
        <f ca="1">IF(INDIRECT("'数据-取费表'!ah"&amp;$G$1)="",INDIRECT("'数据-取费表'!k"&amp;$G$1),INDIRECT("'数据-取费表'!ah"&amp;$G$1))</f>
        <v>#N/A</v>
      </c>
      <c r="G7" s="1786"/>
      <c r="H7" s="2136"/>
      <c r="I7" s="3962"/>
      <c r="J7" s="754"/>
      <c r="K7" s="755"/>
      <c r="L7" s="750" t="s">
        <v>1268</v>
      </c>
      <c r="M7" s="751" t="e">
        <f ca="1">F7</f>
        <v>#N/A</v>
      </c>
    </row>
    <row r="8" spans="1:33" ht="18" customHeight="1">
      <c r="A8" s="2140"/>
      <c r="B8" s="3963"/>
      <c r="C8" s="754"/>
      <c r="D8" s="755"/>
      <c r="E8" s="750" t="s">
        <v>1269</v>
      </c>
      <c r="F8" s="751" t="e">
        <f ca="1">INDIRECT("'数据-取费表'!ai"&amp;$G$1)</f>
        <v>#N/A</v>
      </c>
      <c r="G8" s="1786"/>
      <c r="H8" s="2136"/>
      <c r="I8" s="3963"/>
      <c r="J8" s="754"/>
      <c r="K8" s="755"/>
      <c r="L8" s="750" t="s">
        <v>1269</v>
      </c>
      <c r="M8" s="751" t="e">
        <f ca="1">INDIRECT("'数据-取费表'!ai"&amp;$G$1)</f>
        <v>#N/A</v>
      </c>
    </row>
    <row r="9" spans="1:33" ht="18" customHeight="1">
      <c r="A9" s="752"/>
      <c r="B9" s="3964"/>
      <c r="C9" s="754"/>
      <c r="D9" s="755"/>
      <c r="E9" s="750" t="s">
        <v>1270</v>
      </c>
      <c r="F9" s="760" t="e">
        <f ca="1">INDIRECT("'数据-取费表'!w"&amp;$G$1)</f>
        <v>#N/A</v>
      </c>
      <c r="G9" s="1786"/>
      <c r="H9" s="2152"/>
      <c r="I9" s="3963"/>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3"/>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3249</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3"/>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t="e">
        <f ca="1">ROUND(IF('数据-取费表'!B22&lt;=1,F21*F24*F23/2,F21*(POWER((1+F24),F23/2)-1)),4)</f>
        <v>#VALUE!</v>
      </c>
      <c r="D24" s="2187" t="str">
        <f>IF(F23&lt;=1,"销售费用×利率×(建设周期÷2)","销售费用×((1+利率)^(建设周期÷2)-1)")</f>
        <v>销售费用×利率×(建设周期÷2)</v>
      </c>
      <c r="E24" s="750" t="s">
        <v>1302</v>
      </c>
      <c r="F24" s="784" t="e">
        <f ca="1">'数据-取费表'!B40</f>
        <v>#VALUE!</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3000" t="s">
        <v>2284</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t="e">
        <f ca="1">C48+C52+C54</f>
        <v>#N/A</v>
      </c>
      <c r="D47" s="3658"/>
      <c r="E47" s="3658"/>
      <c r="F47" s="3659"/>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67" t="s">
        <v>2226</v>
      </c>
      <c r="L53" s="3968"/>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2444</v>
      </c>
      <c r="B1" s="3059"/>
      <c r="C1" s="3072"/>
      <c r="D1" s="3072"/>
      <c r="E1" s="3060"/>
      <c r="F1" s="3061"/>
      <c r="G1" s="3062"/>
      <c r="J1" s="3065" t="s">
        <v>2301</v>
      </c>
      <c r="K1" s="3066"/>
      <c r="L1" s="3066"/>
      <c r="M1" s="3066"/>
      <c r="N1" s="3066"/>
      <c r="O1" s="3066"/>
      <c r="P1" s="3066"/>
      <c r="Q1" s="3066"/>
      <c r="R1" s="3067"/>
      <c r="S1" s="3068"/>
      <c r="T1" s="3068"/>
      <c r="U1" s="3068"/>
    </row>
    <row r="2" spans="1:22" s="3081" customFormat="1" ht="13.15" customHeight="1">
      <c r="A2" s="3070" t="s">
        <v>2302</v>
      </c>
      <c r="B2" s="3071" t="e">
        <f>C40</f>
        <v>#DIV/0!</v>
      </c>
      <c r="C2" s="3072" t="s">
        <v>2303</v>
      </c>
      <c r="D2" s="3072"/>
      <c r="E2" s="3073"/>
      <c r="F2" s="3074"/>
      <c r="G2" s="3075"/>
      <c r="H2" s="3076"/>
      <c r="I2" s="3077"/>
      <c r="J2" s="3975" t="s">
        <v>2304</v>
      </c>
      <c r="K2" s="3976"/>
      <c r="L2" s="3078" t="s">
        <v>2305</v>
      </c>
      <c r="M2" s="3078" t="s">
        <v>2306</v>
      </c>
      <c r="N2" s="3078" t="s">
        <v>2307</v>
      </c>
      <c r="O2" s="3078" t="s">
        <v>2308</v>
      </c>
      <c r="P2" s="3078" t="s">
        <v>2309</v>
      </c>
      <c r="Q2" s="3079" t="s">
        <v>2310</v>
      </c>
      <c r="R2" s="3080" t="s">
        <v>2311</v>
      </c>
      <c r="S2" s="3068"/>
      <c r="T2" s="3068"/>
      <c r="U2" s="3068"/>
      <c r="V2" s="3077"/>
    </row>
    <row r="3" spans="1:22" s="3081" customFormat="1" ht="13.15" customHeight="1">
      <c r="A3" s="3082" t="s">
        <v>2312</v>
      </c>
      <c r="B3" s="3083" t="e">
        <f>ROUND(B2*10000/B4,0)</f>
        <v>#DIV/0!</v>
      </c>
      <c r="C3" s="3072" t="s">
        <v>2313</v>
      </c>
      <c r="D3" s="3072"/>
      <c r="E3" s="3073"/>
      <c r="F3" s="3074"/>
      <c r="G3" s="3075"/>
      <c r="H3" s="3076"/>
      <c r="I3" s="3077"/>
      <c r="J3" s="3977" t="s">
        <v>2314</v>
      </c>
      <c r="K3" s="3978"/>
      <c r="L3" s="3084"/>
      <c r="M3" s="3084"/>
      <c r="N3" s="3084"/>
      <c r="O3" s="3084"/>
      <c r="P3" s="3084"/>
      <c r="Q3" s="3085"/>
      <c r="R3" s="3086">
        <f>SUM(L3:Q3)</f>
        <v>0</v>
      </c>
      <c r="S3" s="3068"/>
      <c r="T3" s="3068"/>
      <c r="U3" s="3068"/>
      <c r="V3" s="3077"/>
    </row>
    <row r="4" spans="1:22" s="3081" customFormat="1" ht="13.15" customHeight="1">
      <c r="A4" s="3087" t="s">
        <v>2315</v>
      </c>
      <c r="B4" s="3088"/>
      <c r="C4" s="3072"/>
      <c r="D4" s="3072"/>
      <c r="E4" s="3073"/>
      <c r="F4" s="3074"/>
      <c r="G4" s="3075"/>
      <c r="H4" s="3076"/>
      <c r="I4" s="3077"/>
      <c r="J4" s="3977" t="s">
        <v>2316</v>
      </c>
      <c r="K4" s="3978"/>
      <c r="L4" s="3089"/>
      <c r="M4" s="3089"/>
      <c r="N4" s="3089"/>
      <c r="O4" s="3089"/>
      <c r="P4" s="3089"/>
      <c r="Q4" s="3090"/>
      <c r="R4" s="3091">
        <f>SUM(L4:Q4)</f>
        <v>0</v>
      </c>
      <c r="S4" s="3068"/>
      <c r="T4" s="3068"/>
      <c r="U4" s="3068"/>
      <c r="V4" s="3077"/>
    </row>
    <row r="5" spans="1:22" s="3081" customFormat="1" ht="13.15" customHeight="1" thickBot="1">
      <c r="A5" s="3092" t="s">
        <v>2317</v>
      </c>
      <c r="B5" s="3093"/>
      <c r="C5" s="3072"/>
      <c r="D5" s="3094"/>
      <c r="E5" s="3074"/>
      <c r="F5" s="3074"/>
      <c r="G5" s="3075"/>
      <c r="H5" s="3076"/>
      <c r="I5" s="3077"/>
      <c r="J5" s="3095" t="s">
        <v>2318</v>
      </c>
      <c r="K5" s="3096"/>
      <c r="L5" s="3096"/>
      <c r="M5" s="3097"/>
      <c r="N5" s="3097"/>
      <c r="O5" s="3097"/>
      <c r="P5" s="3097"/>
      <c r="Q5" s="3097"/>
      <c r="R5" s="3080">
        <f>SUM(R14,R19,R24,R25,R27,R28)</f>
        <v>0</v>
      </c>
      <c r="S5" s="3068"/>
      <c r="T5" s="3068" t="s">
        <v>2319</v>
      </c>
      <c r="U5" s="3068" t="e">
        <f>ROUND(R5*10000/365/R3,1)</f>
        <v>#DIV/0!</v>
      </c>
      <c r="V5" s="3077"/>
    </row>
    <row r="6" spans="1:22" s="3081" customFormat="1" ht="13.15" customHeight="1" thickBot="1">
      <c r="A6" s="3983" t="s">
        <v>2320</v>
      </c>
      <c r="B6" s="3984"/>
      <c r="C6" s="3985"/>
      <c r="D6" s="3098"/>
      <c r="E6" s="3099"/>
      <c r="F6" s="3100"/>
      <c r="G6" s="3101"/>
      <c r="H6" s="3076"/>
      <c r="I6" s="3077"/>
      <c r="J6" s="3969">
        <v>1</v>
      </c>
      <c r="K6" s="3970" t="s">
        <v>2321</v>
      </c>
      <c r="L6" s="3102" t="s">
        <v>2322</v>
      </c>
      <c r="M6" s="3103" t="s">
        <v>2323</v>
      </c>
      <c r="N6" s="3103" t="s">
        <v>2324</v>
      </c>
      <c r="O6" s="3103" t="s">
        <v>2325</v>
      </c>
      <c r="P6" s="3103" t="s">
        <v>2326</v>
      </c>
      <c r="Q6" s="3103" t="s">
        <v>2327</v>
      </c>
      <c r="R6" s="3086" t="s">
        <v>2328</v>
      </c>
      <c r="S6" s="3068"/>
      <c r="T6" s="3068" t="s">
        <v>2329</v>
      </c>
      <c r="U6" s="3068"/>
      <c r="V6" s="3077"/>
    </row>
    <row r="7" spans="1:22" s="3081" customFormat="1" ht="13.15" customHeight="1">
      <c r="A7" s="3104" t="s">
        <v>2330</v>
      </c>
      <c r="B7" s="3105"/>
      <c r="C7" s="3106"/>
      <c r="D7" s="3107">
        <f>SUM(D9,D10,D11,D17,0)</f>
        <v>0</v>
      </c>
      <c r="E7" s="3108" t="e">
        <f>E9+E10+E11+E17</f>
        <v>#DIV/0!</v>
      </c>
      <c r="F7" s="3109"/>
      <c r="G7" s="3110"/>
      <c r="H7" s="3076"/>
      <c r="I7" s="3077"/>
      <c r="J7" s="3969"/>
      <c r="K7" s="3971"/>
      <c r="L7" s="3111" t="s">
        <v>2331</v>
      </c>
      <c r="M7" s="3112"/>
      <c r="N7" s="3088"/>
      <c r="O7" s="3113"/>
      <c r="P7" s="3113"/>
      <c r="Q7" s="3114">
        <v>365</v>
      </c>
      <c r="R7" s="3115">
        <f>ROUND(M7*N7*O7*P7*Q7/10000,0)</f>
        <v>0</v>
      </c>
      <c r="S7" s="3068"/>
      <c r="T7" s="3068" t="s">
        <v>2332</v>
      </c>
      <c r="U7" s="3068"/>
      <c r="V7" s="3077"/>
    </row>
    <row r="8" spans="1:22" s="3081" customFormat="1" ht="13.15" customHeight="1">
      <c r="A8" s="3116" t="s">
        <v>2333</v>
      </c>
      <c r="B8" s="3986" t="s">
        <v>2334</v>
      </c>
      <c r="C8" s="3987"/>
      <c r="D8" s="3117" t="s">
        <v>2335</v>
      </c>
      <c r="E8" s="3118" t="s">
        <v>2336</v>
      </c>
      <c r="F8" s="3119" t="s">
        <v>2337</v>
      </c>
      <c r="G8" s="3120"/>
      <c r="H8" s="3076"/>
      <c r="I8" s="3077"/>
      <c r="J8" s="3969"/>
      <c r="K8" s="3971"/>
      <c r="L8" s="3111" t="s">
        <v>2338</v>
      </c>
      <c r="M8" s="3112"/>
      <c r="N8" s="3088"/>
      <c r="O8" s="3113"/>
      <c r="P8" s="3113"/>
      <c r="Q8" s="3114">
        <v>365</v>
      </c>
      <c r="R8" s="3115">
        <f t="shared" ref="R8:R13" si="0">ROUND(M8*N8*O8*P8*Q8/10000,0)</f>
        <v>0</v>
      </c>
      <c r="S8" s="3068"/>
      <c r="T8" s="3068" t="s">
        <v>2339</v>
      </c>
      <c r="U8" s="3068"/>
      <c r="V8" s="3077"/>
    </row>
    <row r="9" spans="1:22" s="3081" customFormat="1" ht="13.15" customHeight="1">
      <c r="A9" s="3116">
        <v>1</v>
      </c>
      <c r="B9" s="3986" t="s">
        <v>2340</v>
      </c>
      <c r="C9" s="3987"/>
      <c r="D9" s="3117">
        <f>ROUND(D6*E9,0)</f>
        <v>0</v>
      </c>
      <c r="E9" s="3121"/>
      <c r="F9" s="3122" t="s">
        <v>2341</v>
      </c>
      <c r="G9" s="3101"/>
      <c r="H9" s="3076"/>
      <c r="I9" s="3077"/>
      <c r="J9" s="3969"/>
      <c r="K9" s="3971"/>
      <c r="L9" s="3111" t="s">
        <v>2342</v>
      </c>
      <c r="M9" s="3112"/>
      <c r="N9" s="3088"/>
      <c r="O9" s="3113"/>
      <c r="P9" s="3113"/>
      <c r="Q9" s="3114">
        <v>365</v>
      </c>
      <c r="R9" s="3115">
        <f t="shared" si="0"/>
        <v>0</v>
      </c>
      <c r="S9" s="3068"/>
      <c r="T9" s="3068"/>
      <c r="U9" s="3068"/>
      <c r="V9" s="3077"/>
    </row>
    <row r="10" spans="1:22" s="3081" customFormat="1" ht="13.15" customHeight="1">
      <c r="A10" s="3116">
        <v>2</v>
      </c>
      <c r="B10" s="3986" t="s">
        <v>2343</v>
      </c>
      <c r="C10" s="3987"/>
      <c r="D10" s="3117">
        <f>ROUND(D6*E10,0)</f>
        <v>0</v>
      </c>
      <c r="E10" s="3121"/>
      <c r="F10" s="3122" t="s">
        <v>2344</v>
      </c>
      <c r="G10" s="3101"/>
      <c r="H10" s="3076"/>
      <c r="I10" s="3077"/>
      <c r="J10" s="3969"/>
      <c r="K10" s="3971"/>
      <c r="L10" s="3111" t="s">
        <v>2345</v>
      </c>
      <c r="M10" s="3112"/>
      <c r="N10" s="3088"/>
      <c r="O10" s="3113"/>
      <c r="P10" s="3113"/>
      <c r="Q10" s="3114">
        <v>365</v>
      </c>
      <c r="R10" s="3115">
        <f t="shared" si="0"/>
        <v>0</v>
      </c>
      <c r="S10" s="3068"/>
      <c r="T10" s="3068"/>
      <c r="U10" s="3068"/>
      <c r="V10" s="3077"/>
    </row>
    <row r="11" spans="1:22" s="3081" customFormat="1" ht="13.15" customHeight="1">
      <c r="A11" s="3116">
        <v>3</v>
      </c>
      <c r="B11" s="3986" t="s">
        <v>2346</v>
      </c>
      <c r="C11" s="3987"/>
      <c r="D11" s="3117">
        <f>D12+D14+D15+D16</f>
        <v>0</v>
      </c>
      <c r="E11" s="3123" t="e">
        <f>D11/D6</f>
        <v>#DIV/0!</v>
      </c>
      <c r="F11" s="3119"/>
      <c r="G11" s="3120"/>
      <c r="H11" s="3076"/>
      <c r="I11" s="3077"/>
      <c r="J11" s="3969"/>
      <c r="K11" s="3971"/>
      <c r="L11" s="3111" t="s">
        <v>2347</v>
      </c>
      <c r="M11" s="3112"/>
      <c r="N11" s="3088"/>
      <c r="O11" s="3113"/>
      <c r="P11" s="3113"/>
      <c r="Q11" s="3114">
        <v>365</v>
      </c>
      <c r="R11" s="3115">
        <f t="shared" si="0"/>
        <v>0</v>
      </c>
      <c r="S11" s="3068"/>
      <c r="T11" s="3068"/>
      <c r="U11" s="3068"/>
      <c r="V11" s="3077"/>
    </row>
    <row r="12" spans="1:22" s="3081" customFormat="1" ht="13.15" customHeight="1">
      <c r="A12" s="3124" t="s">
        <v>2348</v>
      </c>
      <c r="B12" s="3979" t="s">
        <v>2349</v>
      </c>
      <c r="C12" s="3980"/>
      <c r="D12" s="3125">
        <f>ROUND(D13*1.2%*(1-30%),0)</f>
        <v>0</v>
      </c>
      <c r="E12" s="3126">
        <v>1.2E-2</v>
      </c>
      <c r="F12" s="3119" t="s">
        <v>2350</v>
      </c>
      <c r="G12" s="3120"/>
      <c r="H12" s="3076"/>
      <c r="I12" s="3077"/>
      <c r="J12" s="3969"/>
      <c r="K12" s="3971"/>
      <c r="L12" s="3111" t="s">
        <v>2351</v>
      </c>
      <c r="M12" s="3112"/>
      <c r="N12" s="3088"/>
      <c r="O12" s="3113"/>
      <c r="P12" s="3113"/>
      <c r="Q12" s="3114">
        <v>365</v>
      </c>
      <c r="R12" s="3115">
        <f t="shared" si="0"/>
        <v>0</v>
      </c>
      <c r="S12" s="3068"/>
      <c r="T12" s="3068"/>
      <c r="U12" s="3068"/>
      <c r="V12" s="3077"/>
    </row>
    <row r="13" spans="1:22" s="3081" customFormat="1" ht="13.15" customHeight="1">
      <c r="A13" s="3124"/>
      <c r="B13" s="3127"/>
      <c r="C13" s="3128" t="s">
        <v>2352</v>
      </c>
      <c r="D13" s="3129"/>
      <c r="E13" s="3130"/>
      <c r="F13" s="3119"/>
      <c r="G13" s="3120"/>
      <c r="H13" s="3076"/>
      <c r="I13" s="3077"/>
      <c r="J13" s="3969"/>
      <c r="K13" s="3971"/>
      <c r="L13" s="3111" t="s">
        <v>2353</v>
      </c>
      <c r="M13" s="3112"/>
      <c r="N13" s="3088"/>
      <c r="O13" s="3113"/>
      <c r="P13" s="3113"/>
      <c r="Q13" s="3114">
        <v>365</v>
      </c>
      <c r="R13" s="3115">
        <f t="shared" si="0"/>
        <v>0</v>
      </c>
      <c r="S13" s="3068"/>
      <c r="T13" s="3068"/>
      <c r="U13" s="3068"/>
      <c r="V13" s="3077"/>
    </row>
    <row r="14" spans="1:22" s="3081" customFormat="1" ht="13.15" customHeight="1">
      <c r="A14" s="3124" t="s">
        <v>2354</v>
      </c>
      <c r="B14" s="3979" t="s">
        <v>2355</v>
      </c>
      <c r="C14" s="3980"/>
      <c r="D14" s="3125">
        <f>ROUND(E14*B5/10000,0)</f>
        <v>0</v>
      </c>
      <c r="E14" s="3114"/>
      <c r="F14" s="3119" t="s">
        <v>2356</v>
      </c>
      <c r="G14" s="3120"/>
      <c r="H14" s="3076"/>
      <c r="I14" s="3077"/>
      <c r="J14" s="3969"/>
      <c r="K14" s="3972"/>
      <c r="L14" s="3131" t="s">
        <v>2357</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2358</v>
      </c>
      <c r="B15" s="3979" t="s">
        <v>2359</v>
      </c>
      <c r="C15" s="3980"/>
      <c r="D15" s="3125">
        <f>ROUND(D6*E15,0)</f>
        <v>0</v>
      </c>
      <c r="E15" s="3126">
        <v>5.5E-2</v>
      </c>
      <c r="F15" s="3119" t="s">
        <v>2360</v>
      </c>
      <c r="G15" s="3101"/>
      <c r="H15" s="3076"/>
      <c r="I15" s="3077"/>
      <c r="J15" s="3969">
        <v>2</v>
      </c>
      <c r="K15" s="3970" t="s">
        <v>2361</v>
      </c>
      <c r="L15" s="3111" t="s">
        <v>2362</v>
      </c>
      <c r="M15" s="3112" t="s">
        <v>2363</v>
      </c>
      <c r="N15" s="3112" t="s">
        <v>2364</v>
      </c>
      <c r="O15" s="3113" t="s">
        <v>2365</v>
      </c>
      <c r="P15" s="3113" t="s">
        <v>2366</v>
      </c>
      <c r="Q15" s="3088" t="s">
        <v>2367</v>
      </c>
      <c r="R15" s="3135" t="s">
        <v>2368</v>
      </c>
      <c r="S15" s="3068"/>
      <c r="T15" s="3068"/>
      <c r="U15" s="3068"/>
      <c r="V15" s="3077"/>
    </row>
    <row r="16" spans="1:22" s="3081" customFormat="1" ht="13.15" customHeight="1">
      <c r="A16" s="3124" t="s">
        <v>2369</v>
      </c>
      <c r="B16" s="3979" t="s">
        <v>2370</v>
      </c>
      <c r="C16" s="3980"/>
      <c r="D16" s="3136">
        <f>D6*E16</f>
        <v>0</v>
      </c>
      <c r="E16" s="3137"/>
      <c r="F16" s="3122" t="s">
        <v>2371</v>
      </c>
      <c r="G16" s="3101"/>
      <c r="H16" s="3076"/>
      <c r="I16" s="3077"/>
      <c r="J16" s="3969"/>
      <c r="K16" s="3971"/>
      <c r="L16" s="3111" t="s">
        <v>2372</v>
      </c>
      <c r="M16" s="3112"/>
      <c r="N16" s="3112"/>
      <c r="O16" s="3113"/>
      <c r="P16" s="3114">
        <v>365</v>
      </c>
      <c r="Q16" s="3088"/>
      <c r="R16" s="3135">
        <f>ROUND(M16*N16*O16*P16/10000,0)</f>
        <v>0</v>
      </c>
      <c r="S16" s="3068"/>
      <c r="T16" s="3068"/>
      <c r="U16" s="3068"/>
      <c r="V16" s="3077"/>
    </row>
    <row r="17" spans="1:22" s="3081" customFormat="1" ht="13.15" customHeight="1" thickBot="1">
      <c r="A17" s="3138">
        <v>4</v>
      </c>
      <c r="B17" s="3981" t="s">
        <v>2373</v>
      </c>
      <c r="C17" s="3982"/>
      <c r="D17" s="3139">
        <f>ROUND(D6*E17,0)</f>
        <v>0</v>
      </c>
      <c r="E17" s="3140"/>
      <c r="F17" s="3141" t="s">
        <v>2374</v>
      </c>
      <c r="G17" s="3101"/>
      <c r="H17" s="3076"/>
      <c r="I17" s="3077"/>
      <c r="J17" s="3969"/>
      <c r="K17" s="3971"/>
      <c r="L17" s="3111" t="s">
        <v>2375</v>
      </c>
      <c r="M17" s="3112"/>
      <c r="N17" s="3112"/>
      <c r="O17" s="3113"/>
      <c r="P17" s="3114">
        <v>365</v>
      </c>
      <c r="Q17" s="3088"/>
      <c r="R17" s="3135">
        <f>ROUND(M17*N17*O17*P17/10000,0)</f>
        <v>0</v>
      </c>
      <c r="S17" s="3068"/>
      <c r="T17" s="3068"/>
      <c r="U17" s="3068"/>
      <c r="V17" s="3077"/>
    </row>
    <row r="18" spans="1:22" s="3081" customFormat="1" ht="13.15" customHeight="1" thickBot="1">
      <c r="A18" s="3104" t="s">
        <v>2376</v>
      </c>
      <c r="B18" s="3105"/>
      <c r="C18" s="3105"/>
      <c r="D18" s="3142">
        <f>ROUND(D6*E18,0)</f>
        <v>0</v>
      </c>
      <c r="E18" s="3143"/>
      <c r="F18" s="3144" t="s">
        <v>2377</v>
      </c>
      <c r="G18" s="3101"/>
      <c r="H18" s="3076"/>
      <c r="I18" s="3077"/>
      <c r="J18" s="3969"/>
      <c r="K18" s="3971"/>
      <c r="L18" s="3111" t="s">
        <v>2378</v>
      </c>
      <c r="M18" s="3112"/>
      <c r="N18" s="3112"/>
      <c r="O18" s="3113"/>
      <c r="P18" s="3114">
        <v>365</v>
      </c>
      <c r="Q18" s="3088"/>
      <c r="R18" s="3135">
        <f>ROUND(M18*N18*O18*P18/10000,0)</f>
        <v>0</v>
      </c>
      <c r="S18" s="3068"/>
      <c r="T18" s="3068"/>
      <c r="U18" s="3068"/>
      <c r="V18" s="3077"/>
    </row>
    <row r="19" spans="1:22" s="3081" customFormat="1" ht="13.15" customHeight="1" thickBot="1">
      <c r="A19" s="3145" t="s">
        <v>2379</v>
      </c>
      <c r="B19" s="3099"/>
      <c r="C19" s="3099"/>
      <c r="D19" s="3099"/>
      <c r="E19" s="3099"/>
      <c r="F19" s="3100"/>
      <c r="G19" s="3120"/>
      <c r="H19" s="3076"/>
      <c r="I19" s="3077"/>
      <c r="J19" s="3969"/>
      <c r="K19" s="3972"/>
      <c r="L19" s="3131" t="s">
        <v>2357</v>
      </c>
      <c r="M19" s="3132"/>
      <c r="N19" s="3132">
        <f>SUM(N16:N18)</f>
        <v>0</v>
      </c>
      <c r="O19" s="3133"/>
      <c r="P19" s="3146" t="s">
        <v>2445</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69">
        <v>3</v>
      </c>
      <c r="K20" s="3970" t="s">
        <v>2380</v>
      </c>
      <c r="L20" s="3111" t="s">
        <v>2381</v>
      </c>
      <c r="M20" s="3112" t="s">
        <v>2382</v>
      </c>
      <c r="N20" s="3149" t="s">
        <v>2383</v>
      </c>
      <c r="O20" s="3113" t="s">
        <v>2384</v>
      </c>
      <c r="P20" s="3114" t="s">
        <v>2385</v>
      </c>
      <c r="Q20" s="3088" t="s">
        <v>2386</v>
      </c>
      <c r="R20" s="3135" t="s">
        <v>2328</v>
      </c>
      <c r="S20" s="3150"/>
      <c r="T20" s="3150"/>
      <c r="U20" s="3150"/>
      <c r="V20" s="3077"/>
    </row>
    <row r="21" spans="1:22" s="3081" customFormat="1" ht="13.15" customHeight="1">
      <c r="A21" s="3104"/>
      <c r="B21" s="3105"/>
      <c r="C21" s="3151" t="s">
        <v>2387</v>
      </c>
      <c r="D21" s="3152" t="s">
        <v>2388</v>
      </c>
      <c r="E21" s="3153" t="s">
        <v>2389</v>
      </c>
      <c r="F21" s="3148"/>
      <c r="G21" s="3120"/>
      <c r="H21" s="3076"/>
      <c r="I21" s="3077"/>
      <c r="J21" s="3969"/>
      <c r="K21" s="3971"/>
      <c r="L21" s="3111" t="s">
        <v>2390</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2391</v>
      </c>
      <c r="D22" s="3156" t="s">
        <v>2392</v>
      </c>
      <c r="E22" s="3157" t="s">
        <v>2393</v>
      </c>
      <c r="F22" s="3148"/>
      <c r="G22" s="3158"/>
      <c r="H22" s="3076"/>
      <c r="I22" s="3077"/>
      <c r="J22" s="3969"/>
      <c r="K22" s="3971"/>
      <c r="L22" s="3111" t="s">
        <v>2394</v>
      </c>
      <c r="M22" s="3112"/>
      <c r="N22" s="3112"/>
      <c r="O22" s="3113"/>
      <c r="P22" s="3114">
        <v>365</v>
      </c>
      <c r="Q22" s="3088"/>
      <c r="R22" s="3154">
        <f>ROUND(M22*N22*O22*P22/10000,0)</f>
        <v>0</v>
      </c>
      <c r="S22" s="3150"/>
      <c r="T22" s="3150"/>
      <c r="U22" s="3150"/>
      <c r="V22" s="3077"/>
    </row>
    <row r="23" spans="1:22" s="3081" customFormat="1" ht="13.15" customHeight="1">
      <c r="A23" s="3159">
        <v>1</v>
      </c>
      <c r="B23" s="3160" t="s">
        <v>2395</v>
      </c>
      <c r="C23" s="3161">
        <f>D6</f>
        <v>0</v>
      </c>
      <c r="D23" s="3162">
        <f>C23*(1+D24)</f>
        <v>0</v>
      </c>
      <c r="E23" s="3163">
        <f>D23*(1+E24)</f>
        <v>0</v>
      </c>
      <c r="F23" s="3164"/>
      <c r="G23" s="3165"/>
      <c r="H23" s="3076"/>
      <c r="I23" s="3077"/>
      <c r="J23" s="3969"/>
      <c r="K23" s="3971"/>
      <c r="L23" s="3111" t="s">
        <v>2396</v>
      </c>
      <c r="M23" s="3112"/>
      <c r="N23" s="3112"/>
      <c r="O23" s="3113"/>
      <c r="P23" s="3114">
        <v>365</v>
      </c>
      <c r="Q23" s="3088"/>
      <c r="R23" s="3154">
        <f>ROUND(M23*N23*O23*P23/10000,0)</f>
        <v>0</v>
      </c>
      <c r="S23" s="3068"/>
      <c r="T23" s="3068"/>
      <c r="U23" s="3068"/>
      <c r="V23" s="3077"/>
    </row>
    <row r="24" spans="1:22" s="3081" customFormat="1" ht="13.15" customHeight="1">
      <c r="A24" s="3166"/>
      <c r="B24" s="3167" t="s">
        <v>2397</v>
      </c>
      <c r="C24" s="3168"/>
      <c r="D24" s="3169"/>
      <c r="E24" s="3170"/>
      <c r="F24" s="3171"/>
      <c r="G24" s="3165"/>
      <c r="H24" s="3076"/>
      <c r="I24" s="3077"/>
      <c r="J24" s="3969"/>
      <c r="K24" s="3972"/>
      <c r="L24" s="3131" t="s">
        <v>2357</v>
      </c>
      <c r="M24" s="3132">
        <f>SUM(M21:M23)</f>
        <v>0</v>
      </c>
      <c r="N24" s="3132"/>
      <c r="O24" s="3133"/>
      <c r="P24" s="3146" t="s">
        <v>2445</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2398</v>
      </c>
      <c r="L25" s="3174"/>
      <c r="M25" s="3174"/>
      <c r="N25" s="3174"/>
      <c r="O25" s="3174"/>
      <c r="P25" s="3175"/>
      <c r="Q25" s="3176"/>
      <c r="R25" s="3147">
        <f>ROUND(R14*Q25,0)</f>
        <v>0</v>
      </c>
      <c r="S25" s="3068"/>
      <c r="T25" s="3068"/>
      <c r="U25" s="3068"/>
      <c r="V25" s="3177"/>
    </row>
    <row r="26" spans="1:22" s="3178" customFormat="1" ht="13.15" customHeight="1">
      <c r="A26" s="3159">
        <v>2</v>
      </c>
      <c r="B26" s="3160" t="s">
        <v>2399</v>
      </c>
      <c r="C26" s="3161">
        <f>D7</f>
        <v>0</v>
      </c>
      <c r="D26" s="3162">
        <f>D23*D27</f>
        <v>0</v>
      </c>
      <c r="E26" s="3163">
        <f>E23*E27</f>
        <v>0</v>
      </c>
      <c r="F26" s="3164"/>
      <c r="G26" s="3165"/>
      <c r="H26" s="3076"/>
      <c r="I26" s="3077"/>
      <c r="J26" s="3973">
        <v>5</v>
      </c>
      <c r="K26" s="3179" t="s">
        <v>2400</v>
      </c>
      <c r="L26" s="3180"/>
      <c r="M26" s="3181"/>
      <c r="N26" s="3182" t="s">
        <v>2401</v>
      </c>
      <c r="O26" s="3182" t="s">
        <v>2402</v>
      </c>
      <c r="P26" s="3183" t="s">
        <v>2403</v>
      </c>
      <c r="Q26" s="3183" t="s">
        <v>2404</v>
      </c>
      <c r="R26" s="3086" t="s">
        <v>2405</v>
      </c>
      <c r="S26" s="3184"/>
      <c r="T26" s="3184"/>
      <c r="U26" s="3184"/>
      <c r="V26" s="3177"/>
    </row>
    <row r="27" spans="1:22" s="3081" customFormat="1" ht="13.15" customHeight="1">
      <c r="A27" s="3166"/>
      <c r="B27" s="3167" t="s">
        <v>2406</v>
      </c>
      <c r="C27" s="3185" t="e">
        <f>E7</f>
        <v>#DIV/0!</v>
      </c>
      <c r="D27" s="3169"/>
      <c r="E27" s="3170"/>
      <c r="F27" s="3171"/>
      <c r="G27" s="3165"/>
      <c r="H27" s="3186"/>
      <c r="I27" s="3177"/>
      <c r="J27" s="3974"/>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2407</v>
      </c>
      <c r="F28" s="3171"/>
      <c r="G28" s="3158"/>
      <c r="H28" s="3186"/>
      <c r="I28" s="3177"/>
      <c r="J28" s="3192">
        <v>6</v>
      </c>
      <c r="K28" s="3193" t="s">
        <v>2408</v>
      </c>
      <c r="L28" s="3194" t="s">
        <v>2409</v>
      </c>
      <c r="M28" s="3195"/>
      <c r="N28" s="3194" t="s">
        <v>2410</v>
      </c>
      <c r="O28" s="3196"/>
      <c r="P28" s="3194" t="s">
        <v>2411</v>
      </c>
      <c r="Q28" s="3197">
        <v>1.4999999999999999E-2</v>
      </c>
      <c r="R28" s="3198"/>
      <c r="S28" s="3150"/>
      <c r="T28" s="3150"/>
      <c r="U28" s="3150"/>
      <c r="V28" s="3177"/>
    </row>
    <row r="29" spans="1:22" s="3178" customFormat="1" ht="13.15" customHeight="1">
      <c r="A29" s="3159">
        <v>3</v>
      </c>
      <c r="B29" s="3160" t="s">
        <v>2412</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2413</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2414</v>
      </c>
      <c r="K31" s="3066"/>
      <c r="L31" s="3066"/>
      <c r="M31" s="3066"/>
      <c r="N31" s="3066"/>
      <c r="O31" s="3066"/>
      <c r="P31" s="3066"/>
      <c r="Q31" s="3066"/>
      <c r="R31" s="3067"/>
      <c r="S31" s="3150"/>
      <c r="T31" s="3068"/>
      <c r="U31" s="3068"/>
      <c r="V31" s="3177"/>
    </row>
    <row r="32" spans="1:22" s="3178" customFormat="1" ht="13.15" customHeight="1">
      <c r="A32" s="3159">
        <v>4</v>
      </c>
      <c r="B32" s="3160" t="s">
        <v>2415</v>
      </c>
      <c r="C32" s="3161">
        <f>C23-C26-C29</f>
        <v>0</v>
      </c>
      <c r="D32" s="3162">
        <f>D23-D26-D29</f>
        <v>0</v>
      </c>
      <c r="E32" s="3163">
        <f>E23-E26-E29</f>
        <v>0</v>
      </c>
      <c r="F32" s="3164"/>
      <c r="G32" s="3158"/>
      <c r="H32" s="3076"/>
      <c r="I32" s="3077"/>
      <c r="J32" s="3975" t="s">
        <v>2416</v>
      </c>
      <c r="K32" s="3976"/>
      <c r="L32" s="3078" t="s">
        <v>2417</v>
      </c>
      <c r="M32" s="3078" t="s">
        <v>2306</v>
      </c>
      <c r="N32" s="3078" t="s">
        <v>2307</v>
      </c>
      <c r="O32" s="3078" t="s">
        <v>2308</v>
      </c>
      <c r="P32" s="3078" t="s">
        <v>2309</v>
      </c>
      <c r="Q32" s="3079" t="s">
        <v>2418</v>
      </c>
      <c r="R32" s="3201" t="s">
        <v>2419</v>
      </c>
      <c r="S32" s="3150"/>
      <c r="T32" s="3068"/>
      <c r="U32" s="3068"/>
      <c r="V32" s="3177"/>
    </row>
    <row r="33" spans="1:23" s="3081" customFormat="1" ht="13.15" customHeight="1">
      <c r="A33" s="3159"/>
      <c r="B33" s="3160"/>
      <c r="C33" s="3161"/>
      <c r="D33" s="3202"/>
      <c r="E33" s="3203"/>
      <c r="F33" s="3164"/>
      <c r="G33" s="3158"/>
      <c r="H33" s="3186"/>
      <c r="I33" s="3177"/>
      <c r="J33" s="3977" t="s">
        <v>2420</v>
      </c>
      <c r="K33" s="3978"/>
      <c r="L33" s="3084"/>
      <c r="M33" s="3084"/>
      <c r="N33" s="3084"/>
      <c r="O33" s="3084"/>
      <c r="P33" s="3084"/>
      <c r="Q33" s="3085"/>
      <c r="R33" s="3204">
        <f>SUM(L33:Q33)</f>
        <v>0</v>
      </c>
      <c r="S33" s="3150"/>
      <c r="T33" s="3068"/>
      <c r="U33" s="3068"/>
      <c r="V33" s="3077"/>
    </row>
    <row r="34" spans="1:23" s="3081" customFormat="1" ht="13.15" customHeight="1">
      <c r="A34" s="3159">
        <v>5</v>
      </c>
      <c r="B34" s="3160" t="s">
        <v>2421</v>
      </c>
      <c r="C34" s="3205"/>
      <c r="D34" s="3206"/>
      <c r="E34" s="3207"/>
      <c r="F34" s="3164"/>
      <c r="G34" s="3158"/>
      <c r="H34" s="3186"/>
      <c r="I34" s="3177"/>
      <c r="J34" s="3977" t="s">
        <v>2422</v>
      </c>
      <c r="K34" s="3978"/>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2423</v>
      </c>
      <c r="C35" s="3209"/>
      <c r="D35" s="3210"/>
      <c r="E35" s="3211"/>
      <c r="F35" s="3164"/>
      <c r="G35" s="3212"/>
      <c r="H35" s="3076"/>
      <c r="I35" s="3177"/>
      <c r="J35" s="3095" t="s">
        <v>2424</v>
      </c>
      <c r="K35" s="3096"/>
      <c r="L35" s="3096"/>
      <c r="M35" s="3097"/>
      <c r="N35" s="3097"/>
      <c r="O35" s="3097"/>
      <c r="P35" s="3097"/>
      <c r="Q35" s="3097"/>
      <c r="R35" s="3213">
        <f>R40+R41+R43</f>
        <v>0</v>
      </c>
      <c r="S35" s="3150"/>
      <c r="T35" s="3068" t="s">
        <v>2425</v>
      </c>
      <c r="U35" s="3068"/>
      <c r="V35" s="3077"/>
    </row>
    <row r="36" spans="1:23" s="3081" customFormat="1" ht="13.15" customHeight="1" thickBot="1">
      <c r="A36" s="3159">
        <v>7</v>
      </c>
      <c r="B36" s="3214" t="s">
        <v>2426</v>
      </c>
      <c r="C36" s="3215"/>
      <c r="D36" s="3216"/>
      <c r="E36" s="3217"/>
      <c r="F36" s="3218">
        <f>C36+D36+E36</f>
        <v>0</v>
      </c>
      <c r="G36" s="3158"/>
      <c r="H36" s="3076"/>
      <c r="I36" s="3077"/>
      <c r="J36" s="3969">
        <v>1</v>
      </c>
      <c r="K36" s="3970" t="s">
        <v>2427</v>
      </c>
      <c r="L36" s="3102"/>
      <c r="M36" s="3103"/>
      <c r="N36" s="3103"/>
      <c r="O36" s="3103"/>
      <c r="P36" s="3103"/>
      <c r="Q36" s="3103"/>
      <c r="R36" s="3086" t="s">
        <v>2328</v>
      </c>
      <c r="S36" s="3150"/>
      <c r="T36" s="3068" t="s">
        <v>2329</v>
      </c>
      <c r="U36" s="3068"/>
      <c r="V36" s="3077"/>
    </row>
    <row r="37" spans="1:23" s="3081" customFormat="1" ht="13.15" customHeight="1">
      <c r="A37" s="3159"/>
      <c r="B37" s="3160"/>
      <c r="C37" s="3160"/>
      <c r="D37" s="3160"/>
      <c r="E37" s="3160"/>
      <c r="F37" s="3164"/>
      <c r="G37" s="3158"/>
      <c r="H37" s="3076"/>
      <c r="I37" s="3077"/>
      <c r="J37" s="3969"/>
      <c r="K37" s="3971"/>
      <c r="L37" s="3111"/>
      <c r="M37" s="3112"/>
      <c r="N37" s="3088"/>
      <c r="O37" s="3113"/>
      <c r="P37" s="3113"/>
      <c r="Q37" s="3114"/>
      <c r="R37" s="3115"/>
      <c r="S37" s="3150"/>
      <c r="T37" s="3068" t="s">
        <v>2332</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69"/>
      <c r="K38" s="3971"/>
      <c r="L38" s="3111"/>
      <c r="M38" s="3112"/>
      <c r="N38" s="3088"/>
      <c r="O38" s="3113"/>
      <c r="P38" s="3113"/>
      <c r="Q38" s="3114"/>
      <c r="R38" s="3115"/>
      <c r="S38" s="3150"/>
      <c r="T38" s="3068" t="s">
        <v>2339</v>
      </c>
      <c r="U38" s="3068"/>
      <c r="V38" s="3077"/>
    </row>
    <row r="39" spans="1:23" s="3081" customFormat="1" ht="13.15" customHeight="1">
      <c r="A39" s="3159">
        <v>9</v>
      </c>
      <c r="B39" s="3160" t="s">
        <v>2428</v>
      </c>
      <c r="C39" s="3125" t="e">
        <f>C38</f>
        <v>#DIV/0!</v>
      </c>
      <c r="D39" s="3160">
        <f>D38/(1+D34)^C36</f>
        <v>0</v>
      </c>
      <c r="E39" s="3160">
        <f>E38/(1+E34)^(C36+D36)</f>
        <v>0</v>
      </c>
      <c r="F39" s="3164"/>
      <c r="G39" s="3219"/>
      <c r="H39" s="3076"/>
      <c r="I39" s="3077"/>
      <c r="J39" s="3969"/>
      <c r="K39" s="3971"/>
      <c r="L39" s="3111"/>
      <c r="M39" s="3112"/>
      <c r="N39" s="3088"/>
      <c r="O39" s="3113"/>
      <c r="P39" s="3113"/>
      <c r="Q39" s="3114"/>
      <c r="R39" s="3115"/>
      <c r="S39" s="3150"/>
      <c r="T39" s="3068"/>
      <c r="U39" s="3068"/>
      <c r="V39" s="3077"/>
    </row>
    <row r="40" spans="1:23" s="3081" customFormat="1" ht="13.15" customHeight="1">
      <c r="A40" s="3220">
        <v>10</v>
      </c>
      <c r="B40" s="3160" t="s">
        <v>2429</v>
      </c>
      <c r="C40" s="3221" t="e">
        <f>C39+D39+E39</f>
        <v>#DIV/0!</v>
      </c>
      <c r="D40" s="3222"/>
      <c r="E40" s="3222"/>
      <c r="F40" s="3223"/>
      <c r="G40" s="3158"/>
      <c r="H40" s="3076"/>
      <c r="I40" s="3077"/>
      <c r="J40" s="3969"/>
      <c r="K40" s="3972"/>
      <c r="L40" s="3131" t="s">
        <v>2430</v>
      </c>
      <c r="M40" s="3132"/>
      <c r="N40" s="3132"/>
      <c r="O40" s="3133"/>
      <c r="P40" s="3133"/>
      <c r="Q40" s="3134"/>
      <c r="R40" s="3080">
        <f>SUM(R37:R39)</f>
        <v>0</v>
      </c>
      <c r="S40" s="3150"/>
      <c r="T40" s="3068"/>
      <c r="U40" s="3068"/>
      <c r="V40" s="3077"/>
    </row>
    <row r="41" spans="1:23" s="3081" customFormat="1" ht="13.15" customHeight="1" thickBot="1">
      <c r="A41" s="3224">
        <v>11</v>
      </c>
      <c r="B41" s="3225" t="s">
        <v>2431</v>
      </c>
      <c r="C41" s="3225" t="e">
        <f>ROUND(C40*10000/B4,0)</f>
        <v>#DIV/0!</v>
      </c>
      <c r="D41" s="3226"/>
      <c r="E41" s="3226"/>
      <c r="F41" s="3227"/>
      <c r="G41" s="3228"/>
      <c r="H41" s="3076"/>
      <c r="I41" s="3077"/>
      <c r="J41" s="3172">
        <v>2</v>
      </c>
      <c r="K41" s="3173" t="s">
        <v>2432</v>
      </c>
      <c r="L41" s="3174"/>
      <c r="M41" s="3174"/>
      <c r="N41" s="3174"/>
      <c r="O41" s="3174"/>
      <c r="P41" s="3175"/>
      <c r="Q41" s="3176"/>
      <c r="R41" s="3147">
        <f>ROUND(R40*Q41,0)</f>
        <v>0</v>
      </c>
      <c r="S41" s="3150"/>
      <c r="T41" s="3068"/>
      <c r="U41" s="3184"/>
      <c r="V41" s="3077"/>
    </row>
    <row r="42" spans="1:23" s="3081" customFormat="1" ht="13.15" customHeight="1">
      <c r="G42" s="3228"/>
      <c r="H42" s="3076"/>
      <c r="I42" s="3077"/>
      <c r="J42" s="3973">
        <v>3</v>
      </c>
      <c r="K42" s="3179" t="s">
        <v>2433</v>
      </c>
      <c r="L42" s="3180"/>
      <c r="M42" s="3181"/>
      <c r="N42" s="3182" t="s">
        <v>2434</v>
      </c>
      <c r="O42" s="3182" t="s">
        <v>2435</v>
      </c>
      <c r="P42" s="3183" t="s">
        <v>2436</v>
      </c>
      <c r="Q42" s="3183" t="s">
        <v>2437</v>
      </c>
      <c r="R42" s="3086" t="s">
        <v>2438</v>
      </c>
      <c r="S42" s="3184"/>
      <c r="T42" s="3184"/>
      <c r="U42" s="3068"/>
      <c r="V42" s="3077"/>
    </row>
    <row r="43" spans="1:23" ht="13.15" customHeight="1">
      <c r="A43" s="3081"/>
      <c r="B43" s="3081"/>
      <c r="C43" s="3081"/>
      <c r="D43" s="3081"/>
      <c r="E43" s="3081"/>
      <c r="F43" s="3081"/>
      <c r="I43" s="3063"/>
      <c r="J43" s="3974"/>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2439</v>
      </c>
      <c r="L44" s="3232" t="s">
        <v>2440</v>
      </c>
      <c r="M44" s="3195"/>
      <c r="N44" s="3232" t="s">
        <v>2441</v>
      </c>
      <c r="O44" s="3195"/>
      <c r="P44" s="3232" t="s">
        <v>2442</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t="e">
        <f ca="1">C23</f>
        <v>#DIV/0!</v>
      </c>
      <c r="C2" s="3010"/>
      <c r="D2" s="3010"/>
      <c r="E2" s="3010"/>
      <c r="F2" s="3010"/>
      <c r="G2" s="3010"/>
    </row>
    <row r="3" spans="1:25" s="1783" customFormat="1" ht="18" customHeight="1">
      <c r="A3" s="1237" t="s">
        <v>1218</v>
      </c>
      <c r="B3" s="412" t="e">
        <f ca="1">ROUND(B2*10000/'数据-汇总表'!E3,0)</f>
        <v>#DIV/0!</v>
      </c>
      <c r="C3" s="3010"/>
      <c r="D3" s="3010"/>
      <c r="E3" s="3010"/>
      <c r="F3" s="3010"/>
      <c r="G3" s="3010"/>
    </row>
    <row r="4" spans="1:25" s="1783" customFormat="1" ht="18" customHeight="1">
      <c r="A4" s="413" t="s">
        <v>428</v>
      </c>
      <c r="B4" s="414" t="e">
        <f ca="1">ROUND(B2*10000/'数据-汇总表'!D3,0)</f>
        <v>#DIV/0!</v>
      </c>
      <c r="C4" s="2964"/>
      <c r="D4" s="3010"/>
      <c r="E4" s="3010"/>
      <c r="F4" s="3010"/>
      <c r="G4" s="3010"/>
    </row>
    <row r="5" spans="1:25" s="1783" customFormat="1" ht="18" customHeight="1" thickBot="1">
      <c r="A5" s="416"/>
      <c r="B5" s="417" t="e">
        <f ca="1">ROUND(B2/('数据-汇总表'!D3/666.67),0)</f>
        <v>#DIV/0!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0</v>
      </c>
      <c r="D13" s="3013">
        <f>'数据-汇总表'!E6</f>
        <v>0</v>
      </c>
      <c r="E13" s="3013">
        <f>'数据-取费表'!B28</f>
        <v>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J42" sqref="J42"/>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83" t="s">
        <v>471</v>
      </c>
      <c r="D4" s="3884"/>
      <c r="E4" s="3905" t="s">
        <v>472</v>
      </c>
      <c r="F4" s="3906"/>
      <c r="G4" s="3883" t="s">
        <v>473</v>
      </c>
      <c r="H4" s="3884"/>
      <c r="I4" s="3883" t="s">
        <v>474</v>
      </c>
      <c r="J4" s="3884"/>
      <c r="K4" s="818" t="s">
        <v>475</v>
      </c>
      <c r="L4" s="1856"/>
      <c r="M4" s="1857"/>
      <c r="N4" s="1857"/>
      <c r="O4" s="1857"/>
      <c r="P4" s="3885" t="s">
        <v>476</v>
      </c>
      <c r="Q4" s="3886"/>
      <c r="R4" s="3869" t="s">
        <v>472</v>
      </c>
      <c r="S4" s="3870"/>
      <c r="T4" s="3869" t="s">
        <v>473</v>
      </c>
      <c r="U4" s="3870"/>
      <c r="V4" s="3891" t="s">
        <v>474</v>
      </c>
      <c r="W4" s="3891"/>
      <c r="X4" s="1380"/>
      <c r="Y4" s="3869" t="s">
        <v>476</v>
      </c>
      <c r="Z4" s="3870"/>
      <c r="AA4" s="3864" t="s">
        <v>472</v>
      </c>
      <c r="AB4" s="3864" t="s">
        <v>473</v>
      </c>
      <c r="AC4" s="3864" t="s">
        <v>474</v>
      </c>
    </row>
    <row r="5" spans="1:29" ht="15">
      <c r="A5" s="485"/>
      <c r="B5" s="486"/>
      <c r="C5" s="3894" t="s">
        <v>2192</v>
      </c>
      <c r="D5" s="3895"/>
      <c r="E5" s="3907" t="s">
        <v>2193</v>
      </c>
      <c r="F5" s="3908"/>
      <c r="G5" s="3894" t="s">
        <v>2194</v>
      </c>
      <c r="H5" s="3895"/>
      <c r="I5" s="3894" t="s">
        <v>2195</v>
      </c>
      <c r="J5" s="3895"/>
      <c r="K5" s="819"/>
      <c r="L5" s="1856"/>
      <c r="M5" s="1857"/>
      <c r="N5" s="1857"/>
      <c r="O5" s="1857"/>
      <c r="P5" s="3887"/>
      <c r="Q5" s="3888"/>
      <c r="R5" s="3871"/>
      <c r="S5" s="3872"/>
      <c r="T5" s="3871"/>
      <c r="U5" s="3872"/>
      <c r="V5" s="3891"/>
      <c r="W5" s="3891"/>
      <c r="X5" s="1380"/>
      <c r="Y5" s="3871"/>
      <c r="Z5" s="3872"/>
      <c r="AA5" s="3865"/>
      <c r="AB5" s="3865"/>
      <c r="AC5" s="3865"/>
    </row>
    <row r="6" spans="1:29" ht="15.75" thickBot="1">
      <c r="A6" s="487"/>
      <c r="B6" s="488"/>
      <c r="C6" s="3892" t="s">
        <v>2196</v>
      </c>
      <c r="D6" s="3893"/>
      <c r="E6" s="3909" t="s">
        <v>2196</v>
      </c>
      <c r="F6" s="3910"/>
      <c r="G6" s="3892" t="s">
        <v>2196</v>
      </c>
      <c r="H6" s="3893"/>
      <c r="I6" s="3892" t="s">
        <v>2196</v>
      </c>
      <c r="J6" s="3893"/>
      <c r="K6" s="819" t="s">
        <v>477</v>
      </c>
      <c r="L6" s="1856"/>
      <c r="M6" s="1857"/>
      <c r="N6" s="1857"/>
      <c r="O6" s="1857"/>
      <c r="P6" s="3889"/>
      <c r="Q6" s="3890"/>
      <c r="R6" s="3871"/>
      <c r="S6" s="3872"/>
      <c r="T6" s="3873"/>
      <c r="U6" s="3874"/>
      <c r="V6" s="3891"/>
      <c r="W6" s="3891"/>
      <c r="X6" s="1380"/>
      <c r="Y6" s="3873"/>
      <c r="Z6" s="3874"/>
      <c r="AA6" s="3866"/>
      <c r="AB6" s="3866"/>
      <c r="AC6" s="3866"/>
    </row>
    <row r="7" spans="1:29" s="1118" customFormat="1" ht="15.75" thickBot="1">
      <c r="A7" s="2392"/>
      <c r="B7" s="2399" t="s">
        <v>478</v>
      </c>
      <c r="C7" s="489">
        <f>'数据-取费表'!B2</f>
        <v>45499</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67" t="s">
        <v>479</v>
      </c>
      <c r="Q7" s="3876"/>
      <c r="R7" s="1381" t="s">
        <v>10</v>
      </c>
      <c r="S7" s="1382">
        <f t="shared" ref="S7:S15" si="0">F7</f>
        <v>0</v>
      </c>
      <c r="T7" s="1381" t="s">
        <v>10</v>
      </c>
      <c r="U7" s="1382">
        <f t="shared" ref="U7:U15" si="1">H7</f>
        <v>0</v>
      </c>
      <c r="V7" s="1381" t="s">
        <v>10</v>
      </c>
      <c r="W7" s="1382">
        <f t="shared" ref="W7:W15"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67" t="s">
        <v>482</v>
      </c>
      <c r="Q8" s="3868"/>
      <c r="R8" s="1381" t="s">
        <v>10</v>
      </c>
      <c r="S8" s="1382">
        <f t="shared" si="0"/>
        <v>0</v>
      </c>
      <c r="T8" s="1381" t="s">
        <v>10</v>
      </c>
      <c r="U8" s="1382">
        <f t="shared" si="1"/>
        <v>0</v>
      </c>
      <c r="V8" s="1381" t="s">
        <v>10</v>
      </c>
      <c r="W8" s="1382">
        <f t="shared" si="2"/>
        <v>0</v>
      </c>
      <c r="X8" s="1383"/>
      <c r="Y8" s="3867" t="s">
        <v>482</v>
      </c>
      <c r="Z8" s="3868"/>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75" t="s">
        <v>484</v>
      </c>
      <c r="Q9" s="1050" t="str">
        <f t="shared" ref="Q9:Q15" si="6">B9</f>
        <v>用途</v>
      </c>
      <c r="R9" s="1381" t="s">
        <v>5</v>
      </c>
      <c r="S9" s="1382">
        <f t="shared" si="0"/>
        <v>100</v>
      </c>
      <c r="T9" s="1381" t="s">
        <v>5</v>
      </c>
      <c r="U9" s="1382">
        <f t="shared" si="1"/>
        <v>100</v>
      </c>
      <c r="V9" s="1381" t="s">
        <v>5</v>
      </c>
      <c r="W9" s="1382">
        <f t="shared" si="2"/>
        <v>100</v>
      </c>
      <c r="X9" s="1383"/>
      <c r="Y9" s="382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75"/>
      <c r="Q10" s="1050" t="str">
        <f t="shared" si="6"/>
        <v>土地使用年限（年）</v>
      </c>
      <c r="R10" s="1381" t="s">
        <v>5</v>
      </c>
      <c r="S10" s="1382">
        <f t="shared" si="0"/>
        <v>100</v>
      </c>
      <c r="T10" s="1381" t="s">
        <v>5</v>
      </c>
      <c r="U10" s="1382">
        <f t="shared" si="1"/>
        <v>100</v>
      </c>
      <c r="V10" s="1381" t="s">
        <v>5</v>
      </c>
      <c r="W10" s="1382">
        <f t="shared" si="2"/>
        <v>100</v>
      </c>
      <c r="X10" s="1383"/>
      <c r="Y10" s="3823"/>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75"/>
      <c r="Q11" s="1050" t="str">
        <f t="shared" si="6"/>
        <v>容积率</v>
      </c>
      <c r="R11" s="1381" t="s">
        <v>8</v>
      </c>
      <c r="S11" s="1382" t="e">
        <f t="shared" si="0"/>
        <v>#N/A</v>
      </c>
      <c r="T11" s="1381" t="s">
        <v>8</v>
      </c>
      <c r="U11" s="1382" t="e">
        <f t="shared" si="1"/>
        <v>#N/A</v>
      </c>
      <c r="V11" s="1381" t="s">
        <v>8</v>
      </c>
      <c r="W11" s="1382" t="e">
        <f t="shared" si="2"/>
        <v>#N/A</v>
      </c>
      <c r="X11" s="1383"/>
      <c r="Y11" s="382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75"/>
      <c r="Q12" s="1050">
        <f t="shared" si="6"/>
        <v>111</v>
      </c>
      <c r="R12" s="1381" t="s">
        <v>8</v>
      </c>
      <c r="S12" s="1382">
        <f t="shared" si="0"/>
        <v>100</v>
      </c>
      <c r="T12" s="1381" t="s">
        <v>8</v>
      </c>
      <c r="U12" s="1382">
        <f t="shared" si="1"/>
        <v>100</v>
      </c>
      <c r="V12" s="1381" t="s">
        <v>8</v>
      </c>
      <c r="W12" s="1382">
        <f t="shared" si="2"/>
        <v>100</v>
      </c>
      <c r="X12" s="1383"/>
      <c r="Y12" s="3823"/>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75"/>
      <c r="Q13" s="1050">
        <f t="shared" si="6"/>
        <v>111</v>
      </c>
      <c r="R13" s="1381" t="s">
        <v>8</v>
      </c>
      <c r="S13" s="1382">
        <f t="shared" si="0"/>
        <v>100</v>
      </c>
      <c r="T13" s="1381" t="s">
        <v>8</v>
      </c>
      <c r="U13" s="1382">
        <f t="shared" si="1"/>
        <v>100</v>
      </c>
      <c r="V13" s="1381" t="s">
        <v>8</v>
      </c>
      <c r="W13" s="1382">
        <f t="shared" si="2"/>
        <v>100</v>
      </c>
      <c r="X13" s="1383"/>
      <c r="Y13" s="3823"/>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75"/>
      <c r="Q14" s="1050">
        <f t="shared" si="6"/>
        <v>111</v>
      </c>
      <c r="R14" s="1381" t="s">
        <v>8</v>
      </c>
      <c r="S14" s="1382">
        <f t="shared" si="0"/>
        <v>100</v>
      </c>
      <c r="T14" s="1381" t="s">
        <v>8</v>
      </c>
      <c r="U14" s="1382">
        <f t="shared" si="1"/>
        <v>100</v>
      </c>
      <c r="V14" s="1381" t="s">
        <v>8</v>
      </c>
      <c r="W14" s="1382">
        <f t="shared" si="2"/>
        <v>100</v>
      </c>
      <c r="X14" s="1383"/>
      <c r="Y14" s="3823"/>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7" t="s">
        <v>489</v>
      </c>
      <c r="Q15" s="1385" t="str">
        <f t="shared" si="6"/>
        <v>居住社区成熟度</v>
      </c>
      <c r="R15" s="1386" t="s">
        <v>8</v>
      </c>
      <c r="S15" s="1387">
        <f t="shared" si="0"/>
        <v>100</v>
      </c>
      <c r="T15" s="1386" t="s">
        <v>8</v>
      </c>
      <c r="U15" s="1387">
        <f t="shared" si="1"/>
        <v>100</v>
      </c>
      <c r="V15" s="1386" t="s">
        <v>8</v>
      </c>
      <c r="W15" s="1387">
        <f t="shared" si="2"/>
        <v>100</v>
      </c>
      <c r="X15" s="1380"/>
      <c r="Y15" s="3877"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8"/>
      <c r="Q16" s="1385"/>
      <c r="R16" s="1386"/>
      <c r="S16" s="1387"/>
      <c r="T16" s="1386"/>
      <c r="U16" s="1387"/>
      <c r="V16" s="1386"/>
      <c r="W16" s="1387"/>
      <c r="X16" s="1380"/>
      <c r="Y16" s="3878"/>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8"/>
      <c r="Q17" s="1385" t="str">
        <f>B17</f>
        <v>交通便捷度</v>
      </c>
      <c r="R17" s="1386" t="s">
        <v>8</v>
      </c>
      <c r="S17" s="1387">
        <f>F17</f>
        <v>100</v>
      </c>
      <c r="T17" s="1386" t="s">
        <v>8</v>
      </c>
      <c r="U17" s="1387">
        <f>H17</f>
        <v>100</v>
      </c>
      <c r="V17" s="1386" t="s">
        <v>8</v>
      </c>
      <c r="W17" s="1387">
        <f>J17</f>
        <v>100</v>
      </c>
      <c r="X17" s="1380"/>
      <c r="Y17" s="387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8"/>
      <c r="Q18" s="1385"/>
      <c r="R18" s="1386"/>
      <c r="S18" s="1387"/>
      <c r="T18" s="1386"/>
      <c r="U18" s="1387"/>
      <c r="V18" s="1386"/>
      <c r="W18" s="1387"/>
      <c r="X18" s="1380"/>
      <c r="Y18" s="3878"/>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8"/>
      <c r="Q19" s="1385" t="str">
        <f>B19</f>
        <v>公共配套设施</v>
      </c>
      <c r="R19" s="1386" t="s">
        <v>8</v>
      </c>
      <c r="S19" s="1387">
        <f>F19</f>
        <v>100</v>
      </c>
      <c r="T19" s="1386" t="s">
        <v>8</v>
      </c>
      <c r="U19" s="1387">
        <f>H19</f>
        <v>100</v>
      </c>
      <c r="V19" s="1386" t="s">
        <v>8</v>
      </c>
      <c r="W19" s="1387">
        <f>J19</f>
        <v>100</v>
      </c>
      <c r="X19" s="1380"/>
      <c r="Y19" s="387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8"/>
      <c r="Q20" s="1385"/>
      <c r="R20" s="1386"/>
      <c r="S20" s="1387"/>
      <c r="T20" s="1386"/>
      <c r="U20" s="1387"/>
      <c r="V20" s="1386"/>
      <c r="W20" s="1387"/>
      <c r="X20" s="1380"/>
      <c r="Y20" s="3878"/>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8"/>
      <c r="Q21" s="2193" t="str">
        <f>B21</f>
        <v>基础设施水平</v>
      </c>
      <c r="R21" s="1386" t="s">
        <v>8</v>
      </c>
      <c r="S21" s="1387">
        <f>F21</f>
        <v>100</v>
      </c>
      <c r="T21" s="1386" t="s">
        <v>8</v>
      </c>
      <c r="U21" s="1387">
        <f>H21</f>
        <v>100</v>
      </c>
      <c r="V21" s="1386" t="s">
        <v>8</v>
      </c>
      <c r="W21" s="1387">
        <f>J21</f>
        <v>100</v>
      </c>
      <c r="X21" s="2195"/>
      <c r="Y21" s="3878"/>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8"/>
      <c r="Q22" s="2193"/>
      <c r="R22" s="1386"/>
      <c r="S22" s="1387"/>
      <c r="T22" s="1386"/>
      <c r="U22" s="1387"/>
      <c r="V22" s="1386"/>
      <c r="W22" s="1387"/>
      <c r="X22" s="2195"/>
      <c r="Y22" s="3878"/>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8"/>
      <c r="Q23" s="1385" t="str">
        <f>B23</f>
        <v>自然及人文环境</v>
      </c>
      <c r="R23" s="1386" t="s">
        <v>8</v>
      </c>
      <c r="S23" s="1387">
        <f>F23</f>
        <v>100</v>
      </c>
      <c r="T23" s="1386" t="s">
        <v>8</v>
      </c>
      <c r="U23" s="1387">
        <f>H23</f>
        <v>100</v>
      </c>
      <c r="V23" s="1386" t="s">
        <v>8</v>
      </c>
      <c r="W23" s="1387">
        <f>J23</f>
        <v>100</v>
      </c>
      <c r="X23" s="1380"/>
      <c r="Y23" s="387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8"/>
      <c r="Q24" s="1385"/>
      <c r="R24" s="1386"/>
      <c r="S24" s="1387"/>
      <c r="T24" s="1386"/>
      <c r="U24" s="1387"/>
      <c r="V24" s="1386"/>
      <c r="W24" s="1387"/>
      <c r="X24" s="1380"/>
      <c r="Y24" s="3878"/>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8"/>
      <c r="Q25" s="1385" t="str">
        <f t="shared" ref="Q25:Q46" si="8">B25</f>
        <v>楼层-1</v>
      </c>
      <c r="R25" s="1386" t="s">
        <v>8</v>
      </c>
      <c r="S25" s="1387">
        <f>F25</f>
        <v>100</v>
      </c>
      <c r="T25" s="1386" t="s">
        <v>8</v>
      </c>
      <c r="U25" s="1387">
        <f>H25</f>
        <v>100</v>
      </c>
      <c r="V25" s="1386" t="s">
        <v>8</v>
      </c>
      <c r="W25" s="1387">
        <f>J25</f>
        <v>100</v>
      </c>
      <c r="X25" s="1380"/>
      <c r="Y25" s="3878"/>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8"/>
      <c r="Q26" s="1385" t="str">
        <f t="shared" si="8"/>
        <v>朝向</v>
      </c>
      <c r="R26" s="1386" t="s">
        <v>8</v>
      </c>
      <c r="S26" s="1387">
        <f>F26</f>
        <v>100</v>
      </c>
      <c r="T26" s="1386" t="s">
        <v>8</v>
      </c>
      <c r="U26" s="1387">
        <f>H26</f>
        <v>100</v>
      </c>
      <c r="V26" s="1386" t="s">
        <v>8</v>
      </c>
      <c r="W26" s="1387">
        <f>J26</f>
        <v>100</v>
      </c>
      <c r="X26" s="1380"/>
      <c r="Y26" s="3878"/>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8"/>
      <c r="Q27" s="1050" t="str">
        <f t="shared" si="8"/>
        <v>道路级别</v>
      </c>
      <c r="R27" s="1381" t="s">
        <v>8</v>
      </c>
      <c r="S27" s="1382">
        <f>F27</f>
        <v>100</v>
      </c>
      <c r="T27" s="1381" t="s">
        <v>8</v>
      </c>
      <c r="U27" s="1382">
        <f>H27</f>
        <v>100</v>
      </c>
      <c r="V27" s="1381" t="s">
        <v>8</v>
      </c>
      <c r="W27" s="1382">
        <f>J27</f>
        <v>100</v>
      </c>
      <c r="X27" s="1383"/>
      <c r="Y27" s="3878"/>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8"/>
      <c r="Q28" s="1385">
        <f t="shared" si="8"/>
        <v>111</v>
      </c>
      <c r="R28" s="1386" t="s">
        <v>8</v>
      </c>
      <c r="S28" s="1387">
        <f t="shared" ref="S28:S46" si="9">F28</f>
        <v>100</v>
      </c>
      <c r="T28" s="1386" t="s">
        <v>8</v>
      </c>
      <c r="U28" s="1387">
        <f t="shared" ref="U28:U46" si="10">H28</f>
        <v>100</v>
      </c>
      <c r="V28" s="1386" t="s">
        <v>8</v>
      </c>
      <c r="W28" s="1387">
        <f t="shared" ref="W28:W46" si="11">J28</f>
        <v>100</v>
      </c>
      <c r="X28" s="1380"/>
      <c r="Y28" s="3878"/>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8"/>
      <c r="Q29" s="1385">
        <f t="shared" si="8"/>
        <v>111</v>
      </c>
      <c r="R29" s="1386" t="s">
        <v>8</v>
      </c>
      <c r="S29" s="1387">
        <f t="shared" si="9"/>
        <v>100</v>
      </c>
      <c r="T29" s="1386" t="s">
        <v>8</v>
      </c>
      <c r="U29" s="1387">
        <f t="shared" si="10"/>
        <v>100</v>
      </c>
      <c r="V29" s="1386" t="s">
        <v>8</v>
      </c>
      <c r="W29" s="1387">
        <f t="shared" si="11"/>
        <v>100</v>
      </c>
      <c r="X29" s="1380"/>
      <c r="Y29" s="387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8"/>
      <c r="Q30" s="1385">
        <f t="shared" si="8"/>
        <v>111</v>
      </c>
      <c r="R30" s="1386" t="s">
        <v>8</v>
      </c>
      <c r="S30" s="1387">
        <f t="shared" si="9"/>
        <v>100</v>
      </c>
      <c r="T30" s="1386" t="s">
        <v>8</v>
      </c>
      <c r="U30" s="1387">
        <f t="shared" si="10"/>
        <v>100</v>
      </c>
      <c r="V30" s="1386" t="s">
        <v>8</v>
      </c>
      <c r="W30" s="1387">
        <f t="shared" si="11"/>
        <v>100</v>
      </c>
      <c r="X30" s="1380"/>
      <c r="Y30" s="3878"/>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8"/>
      <c r="Q31" s="1385">
        <f t="shared" si="8"/>
        <v>111</v>
      </c>
      <c r="R31" s="1386" t="s">
        <v>8</v>
      </c>
      <c r="S31" s="1387">
        <f t="shared" si="9"/>
        <v>100</v>
      </c>
      <c r="T31" s="1386" t="s">
        <v>8</v>
      </c>
      <c r="U31" s="1387">
        <f t="shared" si="10"/>
        <v>100</v>
      </c>
      <c r="V31" s="1386" t="s">
        <v>8</v>
      </c>
      <c r="W31" s="1387">
        <f t="shared" si="11"/>
        <v>100</v>
      </c>
      <c r="X31" s="1380"/>
      <c r="Y31" s="3878"/>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9" t="s">
        <v>499</v>
      </c>
      <c r="Q32" s="1385" t="str">
        <f t="shared" si="8"/>
        <v>建筑类型</v>
      </c>
      <c r="R32" s="1386" t="s">
        <v>8</v>
      </c>
      <c r="S32" s="1387">
        <f t="shared" si="9"/>
        <v>100</v>
      </c>
      <c r="T32" s="1386" t="s">
        <v>8</v>
      </c>
      <c r="U32" s="1387">
        <f t="shared" si="10"/>
        <v>100</v>
      </c>
      <c r="V32" s="1386" t="s">
        <v>8</v>
      </c>
      <c r="W32" s="1387">
        <f t="shared" si="11"/>
        <v>100</v>
      </c>
      <c r="X32" s="1380"/>
      <c r="Y32" s="3880"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80"/>
      <c r="Q33" s="1414" t="str">
        <f t="shared" si="8"/>
        <v>项目建筑规模</v>
      </c>
      <c r="R33" s="1390" t="s">
        <v>8</v>
      </c>
      <c r="S33" s="1391" t="e">
        <f t="shared" si="9"/>
        <v>#N/A</v>
      </c>
      <c r="T33" s="1390" t="s">
        <v>8</v>
      </c>
      <c r="U33" s="1391" t="e">
        <f t="shared" si="10"/>
        <v>#N/A</v>
      </c>
      <c r="V33" s="1390" t="s">
        <v>8</v>
      </c>
      <c r="W33" s="1391" t="e">
        <f t="shared" si="11"/>
        <v>#N/A</v>
      </c>
      <c r="X33" s="1392"/>
      <c r="Y33" s="388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80"/>
      <c r="Q34" s="1385" t="str">
        <f t="shared" si="8"/>
        <v>建筑结构</v>
      </c>
      <c r="R34" s="1386" t="s">
        <v>8</v>
      </c>
      <c r="S34" s="1387">
        <f t="shared" si="9"/>
        <v>100</v>
      </c>
      <c r="T34" s="1386" t="s">
        <v>8</v>
      </c>
      <c r="U34" s="1387">
        <f t="shared" si="10"/>
        <v>100</v>
      </c>
      <c r="V34" s="1386" t="s">
        <v>8</v>
      </c>
      <c r="W34" s="1387">
        <f t="shared" si="11"/>
        <v>100</v>
      </c>
      <c r="X34" s="1380"/>
      <c r="Y34" s="3880"/>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80"/>
      <c r="Q35" s="1385" t="str">
        <f t="shared" si="8"/>
        <v>建筑品质</v>
      </c>
      <c r="R35" s="1386" t="s">
        <v>8</v>
      </c>
      <c r="S35" s="1387">
        <f t="shared" si="9"/>
        <v>100</v>
      </c>
      <c r="T35" s="1386" t="s">
        <v>8</v>
      </c>
      <c r="U35" s="1387">
        <f t="shared" si="10"/>
        <v>100</v>
      </c>
      <c r="V35" s="1386" t="s">
        <v>8</v>
      </c>
      <c r="W35" s="1387">
        <f t="shared" si="11"/>
        <v>100</v>
      </c>
      <c r="X35" s="1380"/>
      <c r="Y35" s="3880"/>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80"/>
      <c r="Q36" s="1385" t="str">
        <f t="shared" si="8"/>
        <v>公共部分装修</v>
      </c>
      <c r="R36" s="1386" t="s">
        <v>8</v>
      </c>
      <c r="S36" s="1387">
        <f t="shared" si="9"/>
        <v>100</v>
      </c>
      <c r="T36" s="1386" t="s">
        <v>8</v>
      </c>
      <c r="U36" s="1387">
        <f t="shared" si="10"/>
        <v>100</v>
      </c>
      <c r="V36" s="1386" t="s">
        <v>8</v>
      </c>
      <c r="W36" s="1387">
        <f t="shared" si="11"/>
        <v>100</v>
      </c>
      <c r="X36" s="1380"/>
      <c r="Y36" s="3880"/>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80"/>
      <c r="Q37" s="1050" t="str">
        <f t="shared" si="8"/>
        <v>成新度</v>
      </c>
      <c r="R37" s="1381" t="s">
        <v>8</v>
      </c>
      <c r="S37" s="1382" t="e">
        <f t="shared" si="9"/>
        <v>#N/A</v>
      </c>
      <c r="T37" s="1381" t="s">
        <v>8</v>
      </c>
      <c r="U37" s="1382" t="e">
        <f t="shared" si="10"/>
        <v>#N/A</v>
      </c>
      <c r="V37" s="1381" t="s">
        <v>8</v>
      </c>
      <c r="W37" s="1382" t="e">
        <f t="shared" si="11"/>
        <v>#N/A</v>
      </c>
      <c r="X37" s="1383"/>
      <c r="Y37" s="3880"/>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80" t="s">
        <v>499</v>
      </c>
      <c r="Q38" s="1385" t="str">
        <f t="shared" si="8"/>
        <v>物业管理</v>
      </c>
      <c r="R38" s="1386" t="s">
        <v>8</v>
      </c>
      <c r="S38" s="1387">
        <f t="shared" si="9"/>
        <v>100</v>
      </c>
      <c r="T38" s="1386" t="s">
        <v>8</v>
      </c>
      <c r="U38" s="1387">
        <f t="shared" si="10"/>
        <v>100</v>
      </c>
      <c r="V38" s="1386" t="s">
        <v>8</v>
      </c>
      <c r="W38" s="1387">
        <f t="shared" si="11"/>
        <v>100</v>
      </c>
      <c r="X38" s="1380"/>
      <c r="Y38" s="3880"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80"/>
      <c r="Q39" s="1385" t="str">
        <f t="shared" si="8"/>
        <v>市政基础设施</v>
      </c>
      <c r="R39" s="1386" t="s">
        <v>8</v>
      </c>
      <c r="S39" s="1387">
        <f t="shared" si="9"/>
        <v>100</v>
      </c>
      <c r="T39" s="1386" t="s">
        <v>8</v>
      </c>
      <c r="U39" s="1387">
        <f t="shared" si="10"/>
        <v>100</v>
      </c>
      <c r="V39" s="1386" t="s">
        <v>8</v>
      </c>
      <c r="W39" s="1387">
        <f t="shared" si="11"/>
        <v>100</v>
      </c>
      <c r="X39" s="1380"/>
      <c r="Y39" s="3880"/>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80"/>
      <c r="Q40" s="1385" t="str">
        <f t="shared" si="8"/>
        <v>房型</v>
      </c>
      <c r="R40" s="1386" t="s">
        <v>8</v>
      </c>
      <c r="S40" s="1387">
        <f t="shared" si="9"/>
        <v>100</v>
      </c>
      <c r="T40" s="1386" t="s">
        <v>8</v>
      </c>
      <c r="U40" s="1387">
        <f t="shared" si="10"/>
        <v>100</v>
      </c>
      <c r="V40" s="1386" t="s">
        <v>8</v>
      </c>
      <c r="W40" s="1387">
        <f t="shared" si="11"/>
        <v>100</v>
      </c>
      <c r="X40" s="1380"/>
      <c r="Y40" s="3880"/>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80"/>
      <c r="Q41" s="1414" t="str">
        <f t="shared" si="8"/>
        <v>单套/主力户型建筑面积</v>
      </c>
      <c r="R41" s="1390" t="s">
        <v>8</v>
      </c>
      <c r="S41" s="1391">
        <f t="shared" si="9"/>
        <v>100</v>
      </c>
      <c r="T41" s="1390" t="s">
        <v>8</v>
      </c>
      <c r="U41" s="1391">
        <f t="shared" si="10"/>
        <v>100</v>
      </c>
      <c r="V41" s="1390" t="s">
        <v>8</v>
      </c>
      <c r="W41" s="1391">
        <f t="shared" si="11"/>
        <v>100</v>
      </c>
      <c r="X41" s="1392"/>
      <c r="Y41" s="3880"/>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80"/>
      <c r="Q42" s="1385" t="str">
        <f t="shared" si="8"/>
        <v>内部装修</v>
      </c>
      <c r="R42" s="1386" t="s">
        <v>8</v>
      </c>
      <c r="S42" s="1387">
        <f t="shared" si="9"/>
        <v>100</v>
      </c>
      <c r="T42" s="1386" t="s">
        <v>8</v>
      </c>
      <c r="U42" s="1387">
        <f t="shared" si="10"/>
        <v>100</v>
      </c>
      <c r="V42" s="1386" t="s">
        <v>8</v>
      </c>
      <c r="W42" s="1387">
        <f t="shared" si="11"/>
        <v>100</v>
      </c>
      <c r="X42" s="1380"/>
      <c r="Y42" s="3880"/>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80"/>
      <c r="Q43" s="1385" t="str">
        <f t="shared" si="8"/>
        <v>内部装修维护情况</v>
      </c>
      <c r="R43" s="1386" t="s">
        <v>8</v>
      </c>
      <c r="S43" s="1387">
        <f t="shared" si="9"/>
        <v>100</v>
      </c>
      <c r="T43" s="1386" t="s">
        <v>8</v>
      </c>
      <c r="U43" s="1387">
        <f t="shared" si="10"/>
        <v>100</v>
      </c>
      <c r="V43" s="1386" t="s">
        <v>8</v>
      </c>
      <c r="W43" s="1387">
        <f t="shared" si="11"/>
        <v>100</v>
      </c>
      <c r="X43" s="1380"/>
      <c r="Y43" s="388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80"/>
      <c r="Q44" s="1050">
        <f t="shared" si="8"/>
        <v>111</v>
      </c>
      <c r="R44" s="1381" t="s">
        <v>8</v>
      </c>
      <c r="S44" s="1382">
        <f t="shared" si="9"/>
        <v>100</v>
      </c>
      <c r="T44" s="1381" t="s">
        <v>8</v>
      </c>
      <c r="U44" s="1382">
        <f t="shared" si="10"/>
        <v>100</v>
      </c>
      <c r="V44" s="1381" t="s">
        <v>8</v>
      </c>
      <c r="W44" s="1382">
        <f t="shared" si="11"/>
        <v>100</v>
      </c>
      <c r="X44" s="1383"/>
      <c r="Y44" s="388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80"/>
      <c r="Q45" s="1385">
        <f t="shared" si="8"/>
        <v>111</v>
      </c>
      <c r="R45" s="1386" t="s">
        <v>8</v>
      </c>
      <c r="S45" s="1387">
        <f t="shared" si="9"/>
        <v>100</v>
      </c>
      <c r="T45" s="1386" t="s">
        <v>8</v>
      </c>
      <c r="U45" s="1387">
        <f t="shared" si="10"/>
        <v>100</v>
      </c>
      <c r="V45" s="1386" t="s">
        <v>8</v>
      </c>
      <c r="W45" s="1387">
        <f t="shared" si="11"/>
        <v>100</v>
      </c>
      <c r="X45" s="1380"/>
      <c r="Y45" s="3880"/>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90"/>
      <c r="Q46" s="1385">
        <f t="shared" si="8"/>
        <v>111</v>
      </c>
      <c r="R46" s="1386" t="s">
        <v>7</v>
      </c>
      <c r="S46" s="1387">
        <f t="shared" si="9"/>
        <v>100</v>
      </c>
      <c r="T46" s="1386" t="s">
        <v>7</v>
      </c>
      <c r="U46" s="1387">
        <f t="shared" si="10"/>
        <v>100</v>
      </c>
      <c r="V46" s="1386" t="s">
        <v>7</v>
      </c>
      <c r="W46" s="1387">
        <f t="shared" si="11"/>
        <v>100</v>
      </c>
      <c r="X46" s="1380"/>
      <c r="Y46" s="3990"/>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75" t="str">
        <f>A47</f>
        <v>成交单价（元/平方米）</v>
      </c>
      <c r="Q47" s="3875"/>
      <c r="R47" s="3989">
        <f>E47</f>
        <v>0</v>
      </c>
      <c r="S47" s="3989"/>
      <c r="T47" s="3989">
        <f>G47</f>
        <v>0</v>
      </c>
      <c r="U47" s="3989"/>
      <c r="V47" s="3989">
        <f>I47</f>
        <v>0</v>
      </c>
      <c r="W47" s="3989"/>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75" t="str">
        <f>A48</f>
        <v>比较价格（元/平方米）</v>
      </c>
      <c r="Q48" s="3875"/>
      <c r="R48" s="3989" t="e">
        <f>IF(F1="售价",ROUND(PRODUCT(R47,AA7:AA46),0),ROUND(PRODUCT(R47,AA7:AA46),1))</f>
        <v>#DIV/0!</v>
      </c>
      <c r="S48" s="3989"/>
      <c r="T48" s="3989" t="e">
        <f>IF(F1="售价",ROUND(PRODUCT(T47,AB7:AB46),0),ROUND(PRODUCT(T47,AB7:AB46),1))</f>
        <v>#DIV/0!</v>
      </c>
      <c r="U48" s="3989"/>
      <c r="V48" s="3989" t="e">
        <f>IF(F1="售价",ROUND(PRODUCT(V47,AC7:AC46),0),ROUND(PRODUCT(V47,AC7:AC46),1))</f>
        <v>#DIV/0!</v>
      </c>
      <c r="W48" s="3989"/>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81" t="str">
        <f>A49</f>
        <v>估价对象XX用房的比较价格（楼面单价，元/平方米）</v>
      </c>
      <c r="Q49" s="3882"/>
      <c r="R49" s="3988" t="e">
        <f>IF(F1="售价",ROUND(IF(D48="简单平均",AVERAGE(R48:V48),R48*F48+T48*H48+V48*J48),0),ROUND(IF(D48="简单平均",AVERAGE(R48:V48),R48*F48+T48*H48+V48*J48),1))</f>
        <v>#DIV/0!</v>
      </c>
      <c r="S49" s="3988"/>
      <c r="T49" s="3988"/>
      <c r="U49" s="3988"/>
      <c r="V49" s="3988"/>
      <c r="W49" s="3988"/>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2024-7</v>
      </c>
      <c r="D58" s="2284">
        <f>EDATE(C58,-1)</f>
        <v>45444</v>
      </c>
      <c r="E58" s="2284">
        <f t="shared" ref="E58:O58" si="13">EDATE(D58,-1)</f>
        <v>45413</v>
      </c>
      <c r="F58" s="2284">
        <f t="shared" si="13"/>
        <v>45383</v>
      </c>
      <c r="G58" s="2284">
        <f t="shared" si="13"/>
        <v>45352</v>
      </c>
      <c r="H58" s="2284">
        <f t="shared" si="13"/>
        <v>45323</v>
      </c>
      <c r="I58" s="2284">
        <f t="shared" si="13"/>
        <v>45292</v>
      </c>
      <c r="J58" s="2284">
        <f t="shared" si="13"/>
        <v>45261</v>
      </c>
      <c r="K58" s="2284">
        <f t="shared" si="13"/>
        <v>45231</v>
      </c>
      <c r="L58" s="2284">
        <f t="shared" si="13"/>
        <v>45200</v>
      </c>
      <c r="M58" s="2284">
        <f t="shared" si="13"/>
        <v>45170</v>
      </c>
      <c r="N58" s="2284">
        <f t="shared" si="13"/>
        <v>45139</v>
      </c>
      <c r="O58" s="2284">
        <f t="shared" si="13"/>
        <v>45108</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受贵公司委托，我公司对北京市出让国有建设用地使用权进行了预评估。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0平方米。根据《建设工程规划许可证》[]、《出让合同》[]，估价对象规划建筑面积为0平方米。</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2024年7月26日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根据《国有土地使用证》[]，估价对象（分摊）出让国有建设用地使用权面积为0平方米。根据《建设工程规划许可证》[]、《出让合同》[]，估价对象规划建筑面积为0平方米。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2024年7月26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42" sqref="J4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83" t="s">
        <v>471</v>
      </c>
      <c r="D4" s="3884"/>
      <c r="E4" s="3905" t="s">
        <v>472</v>
      </c>
      <c r="F4" s="3906"/>
      <c r="G4" s="3883" t="s">
        <v>473</v>
      </c>
      <c r="H4" s="3884"/>
      <c r="I4" s="3883" t="s">
        <v>474</v>
      </c>
      <c r="J4" s="3884"/>
      <c r="K4" s="484" t="s">
        <v>475</v>
      </c>
      <c r="L4" s="1856"/>
      <c r="M4" s="1857"/>
      <c r="N4" s="1857"/>
      <c r="O4" s="1857"/>
      <c r="P4" s="3885" t="s">
        <v>476</v>
      </c>
      <c r="Q4" s="3886"/>
      <c r="R4" s="3869" t="s">
        <v>472</v>
      </c>
      <c r="S4" s="3870"/>
      <c r="T4" s="3869" t="s">
        <v>473</v>
      </c>
      <c r="U4" s="3870"/>
      <c r="V4" s="3891" t="s">
        <v>474</v>
      </c>
      <c r="W4" s="3891"/>
      <c r="X4" s="1380"/>
      <c r="Y4" s="3869" t="s">
        <v>476</v>
      </c>
      <c r="Z4" s="3870"/>
      <c r="AA4" s="3864" t="s">
        <v>472</v>
      </c>
      <c r="AB4" s="3891" t="s">
        <v>473</v>
      </c>
      <c r="AC4" s="3864" t="s">
        <v>474</v>
      </c>
    </row>
    <row r="5" spans="1:29" ht="15">
      <c r="A5" s="485"/>
      <c r="B5" s="486"/>
      <c r="C5" s="3894" t="s">
        <v>2192</v>
      </c>
      <c r="D5" s="3895"/>
      <c r="E5" s="3907" t="s">
        <v>2193</v>
      </c>
      <c r="F5" s="3908"/>
      <c r="G5" s="3894" t="s">
        <v>2194</v>
      </c>
      <c r="H5" s="3895"/>
      <c r="I5" s="3894" t="s">
        <v>2195</v>
      </c>
      <c r="J5" s="3895"/>
      <c r="K5" s="484"/>
      <c r="L5" s="1856"/>
      <c r="M5" s="1857"/>
      <c r="N5" s="1857"/>
      <c r="O5" s="1857"/>
      <c r="P5" s="3887"/>
      <c r="Q5" s="3888"/>
      <c r="R5" s="3871"/>
      <c r="S5" s="3872"/>
      <c r="T5" s="3871"/>
      <c r="U5" s="3872"/>
      <c r="V5" s="3891"/>
      <c r="W5" s="3891"/>
      <c r="X5" s="1380"/>
      <c r="Y5" s="3871"/>
      <c r="Z5" s="3872"/>
      <c r="AA5" s="3865"/>
      <c r="AB5" s="3891"/>
      <c r="AC5" s="3865"/>
    </row>
    <row r="6" spans="1:29" ht="15.75" thickBot="1">
      <c r="A6" s="487"/>
      <c r="B6" s="488"/>
      <c r="C6" s="3892" t="s">
        <v>2196</v>
      </c>
      <c r="D6" s="3893"/>
      <c r="E6" s="3909" t="s">
        <v>2196</v>
      </c>
      <c r="F6" s="3910"/>
      <c r="G6" s="3892" t="s">
        <v>2196</v>
      </c>
      <c r="H6" s="3893"/>
      <c r="I6" s="3892" t="s">
        <v>2196</v>
      </c>
      <c r="J6" s="3893"/>
      <c r="K6" s="484" t="s">
        <v>477</v>
      </c>
      <c r="L6" s="1856"/>
      <c r="M6" s="1857"/>
      <c r="N6" s="1857"/>
      <c r="O6" s="1857"/>
      <c r="P6" s="3889"/>
      <c r="Q6" s="3890"/>
      <c r="R6" s="3871"/>
      <c r="S6" s="3872"/>
      <c r="T6" s="3873"/>
      <c r="U6" s="3874"/>
      <c r="V6" s="3891"/>
      <c r="W6" s="3891"/>
      <c r="X6" s="1380"/>
      <c r="Y6" s="3873"/>
      <c r="Z6" s="3874"/>
      <c r="AA6" s="3866"/>
      <c r="AB6" s="3891"/>
      <c r="AC6" s="3866"/>
    </row>
    <row r="7" spans="1:29" s="1118" customFormat="1" ht="15.75" thickBot="1">
      <c r="A7" s="2392"/>
      <c r="B7" s="2399" t="s">
        <v>478</v>
      </c>
      <c r="C7" s="489">
        <f>'数据-取费表'!B2</f>
        <v>45499</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67" t="s">
        <v>479</v>
      </c>
      <c r="Q7" s="3876"/>
      <c r="R7" s="1381" t="s">
        <v>5</v>
      </c>
      <c r="S7" s="1382">
        <f t="shared" ref="S7:S15" si="0">F7</f>
        <v>0</v>
      </c>
      <c r="T7" s="1381" t="s">
        <v>5</v>
      </c>
      <c r="U7" s="1382">
        <f t="shared" ref="U7:U15" si="1">H7</f>
        <v>0</v>
      </c>
      <c r="V7" s="1381" t="s">
        <v>5</v>
      </c>
      <c r="W7" s="1382">
        <f t="shared" ref="W7:W15"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67" t="s">
        <v>482</v>
      </c>
      <c r="Q8" s="3868"/>
      <c r="R8" s="1381" t="s">
        <v>5</v>
      </c>
      <c r="S8" s="1382">
        <f t="shared" si="0"/>
        <v>0</v>
      </c>
      <c r="T8" s="1381" t="s">
        <v>5</v>
      </c>
      <c r="U8" s="1382">
        <f t="shared" si="1"/>
        <v>0</v>
      </c>
      <c r="V8" s="1381" t="s">
        <v>5</v>
      </c>
      <c r="W8" s="1382">
        <f t="shared" si="2"/>
        <v>0</v>
      </c>
      <c r="X8" s="1383"/>
      <c r="Y8" s="3867" t="s">
        <v>482</v>
      </c>
      <c r="Z8" s="3868"/>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75" t="s">
        <v>484</v>
      </c>
      <c r="Q9" s="1050" t="str">
        <f t="shared" ref="Q9:Q15" si="6">B9</f>
        <v>用途</v>
      </c>
      <c r="R9" s="1381" t="s">
        <v>5</v>
      </c>
      <c r="S9" s="1382">
        <f t="shared" si="0"/>
        <v>100</v>
      </c>
      <c r="T9" s="1381" t="s">
        <v>5</v>
      </c>
      <c r="U9" s="1382">
        <f t="shared" si="1"/>
        <v>100</v>
      </c>
      <c r="V9" s="1381" t="s">
        <v>5</v>
      </c>
      <c r="W9" s="1382">
        <f t="shared" si="2"/>
        <v>100</v>
      </c>
      <c r="X9" s="1383"/>
      <c r="Y9" s="382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75"/>
      <c r="Q10" s="1050" t="str">
        <f t="shared" si="6"/>
        <v>土地使用年限（年）</v>
      </c>
      <c r="R10" s="1381" t="s">
        <v>5</v>
      </c>
      <c r="S10" s="1382">
        <f t="shared" si="0"/>
        <v>100</v>
      </c>
      <c r="T10" s="1381" t="s">
        <v>5</v>
      </c>
      <c r="U10" s="1382">
        <f t="shared" si="1"/>
        <v>100</v>
      </c>
      <c r="V10" s="1381" t="s">
        <v>5</v>
      </c>
      <c r="W10" s="1382">
        <f t="shared" si="2"/>
        <v>100</v>
      </c>
      <c r="X10" s="1383"/>
      <c r="Y10" s="382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75"/>
      <c r="Q11" s="1050" t="str">
        <f t="shared" si="6"/>
        <v>容积率</v>
      </c>
      <c r="R11" s="1381" t="s">
        <v>5</v>
      </c>
      <c r="S11" s="1382" t="e">
        <f t="shared" si="0"/>
        <v>#N/A</v>
      </c>
      <c r="T11" s="1381" t="s">
        <v>5</v>
      </c>
      <c r="U11" s="1382" t="e">
        <f t="shared" si="1"/>
        <v>#N/A</v>
      </c>
      <c r="V11" s="1381" t="s">
        <v>5</v>
      </c>
      <c r="W11" s="1382" t="e">
        <f t="shared" si="2"/>
        <v>#N/A</v>
      </c>
      <c r="X11" s="1383"/>
      <c r="Y11" s="382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75"/>
      <c r="Q12" s="1050">
        <f t="shared" si="6"/>
        <v>111</v>
      </c>
      <c r="R12" s="1381" t="s">
        <v>5</v>
      </c>
      <c r="S12" s="1382">
        <f t="shared" si="0"/>
        <v>100</v>
      </c>
      <c r="T12" s="1381" t="s">
        <v>5</v>
      </c>
      <c r="U12" s="1382">
        <f t="shared" si="1"/>
        <v>100</v>
      </c>
      <c r="V12" s="1381" t="s">
        <v>5</v>
      </c>
      <c r="W12" s="1382">
        <f t="shared" si="2"/>
        <v>100</v>
      </c>
      <c r="X12" s="1383"/>
      <c r="Y12" s="3823"/>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75"/>
      <c r="Q13" s="1050">
        <f t="shared" si="6"/>
        <v>111</v>
      </c>
      <c r="R13" s="1381" t="s">
        <v>5</v>
      </c>
      <c r="S13" s="1382">
        <f t="shared" si="0"/>
        <v>100</v>
      </c>
      <c r="T13" s="1381" t="s">
        <v>5</v>
      </c>
      <c r="U13" s="1382">
        <f t="shared" si="1"/>
        <v>100</v>
      </c>
      <c r="V13" s="1381" t="s">
        <v>5</v>
      </c>
      <c r="W13" s="1382">
        <f t="shared" si="2"/>
        <v>100</v>
      </c>
      <c r="X13" s="1383"/>
      <c r="Y13" s="3823"/>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75"/>
      <c r="Q14" s="1050">
        <f t="shared" si="6"/>
        <v>111</v>
      </c>
      <c r="R14" s="1381" t="s">
        <v>5</v>
      </c>
      <c r="S14" s="1382">
        <f t="shared" si="0"/>
        <v>100</v>
      </c>
      <c r="T14" s="1381" t="s">
        <v>5</v>
      </c>
      <c r="U14" s="1382">
        <f t="shared" si="1"/>
        <v>100</v>
      </c>
      <c r="V14" s="1381" t="s">
        <v>5</v>
      </c>
      <c r="W14" s="1382">
        <f t="shared" si="2"/>
        <v>100</v>
      </c>
      <c r="X14" s="1383"/>
      <c r="Y14" s="3823"/>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7" t="s">
        <v>489</v>
      </c>
      <c r="Q15" s="1385" t="str">
        <f t="shared" si="6"/>
        <v>商业繁华度</v>
      </c>
      <c r="R15" s="1386" t="s">
        <v>5</v>
      </c>
      <c r="S15" s="1387">
        <f t="shared" si="0"/>
        <v>100</v>
      </c>
      <c r="T15" s="1386" t="s">
        <v>5</v>
      </c>
      <c r="U15" s="1387">
        <f t="shared" si="1"/>
        <v>100</v>
      </c>
      <c r="V15" s="1386" t="s">
        <v>5</v>
      </c>
      <c r="W15" s="1387">
        <f t="shared" si="2"/>
        <v>100</v>
      </c>
      <c r="X15" s="1380"/>
      <c r="Y15" s="3877"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8"/>
      <c r="Q16" s="1385"/>
      <c r="R16" s="1386"/>
      <c r="S16" s="1387"/>
      <c r="T16" s="1386"/>
      <c r="U16" s="1387"/>
      <c r="V16" s="1386"/>
      <c r="W16" s="1387"/>
      <c r="X16" s="1380"/>
      <c r="Y16" s="3878"/>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8"/>
      <c r="Q17" s="1385" t="str">
        <f>B17</f>
        <v>交通便捷度</v>
      </c>
      <c r="R17" s="1386" t="s">
        <v>5</v>
      </c>
      <c r="S17" s="1387">
        <f>F17</f>
        <v>100</v>
      </c>
      <c r="T17" s="1386" t="s">
        <v>5</v>
      </c>
      <c r="U17" s="1387">
        <f>H17</f>
        <v>100</v>
      </c>
      <c r="V17" s="1386" t="s">
        <v>5</v>
      </c>
      <c r="W17" s="1387">
        <f>J17</f>
        <v>100</v>
      </c>
      <c r="X17" s="1380"/>
      <c r="Y17" s="387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8"/>
      <c r="Q18" s="1385"/>
      <c r="R18" s="1386"/>
      <c r="S18" s="1387"/>
      <c r="T18" s="1386"/>
      <c r="U18" s="1387"/>
      <c r="V18" s="1386"/>
      <c r="W18" s="1387"/>
      <c r="X18" s="1380"/>
      <c r="Y18" s="3878"/>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8"/>
      <c r="Q19" s="1385" t="str">
        <f>B19</f>
        <v>公共配套设施</v>
      </c>
      <c r="R19" s="1386" t="s">
        <v>5</v>
      </c>
      <c r="S19" s="1387">
        <f>F19</f>
        <v>100</v>
      </c>
      <c r="T19" s="1386" t="s">
        <v>5</v>
      </c>
      <c r="U19" s="1387">
        <f>H19</f>
        <v>100</v>
      </c>
      <c r="V19" s="1386" t="s">
        <v>5</v>
      </c>
      <c r="W19" s="1387">
        <f>J19</f>
        <v>100</v>
      </c>
      <c r="X19" s="1380"/>
      <c r="Y19" s="387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8"/>
      <c r="Q20" s="1385"/>
      <c r="R20" s="1386"/>
      <c r="S20" s="1387"/>
      <c r="T20" s="1386"/>
      <c r="U20" s="1387"/>
      <c r="V20" s="1386"/>
      <c r="W20" s="1387"/>
      <c r="X20" s="1380"/>
      <c r="Y20" s="3878"/>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8"/>
      <c r="Q21" s="2193" t="str">
        <f>B21</f>
        <v>基础设施水平</v>
      </c>
      <c r="R21" s="1386" t="s">
        <v>5</v>
      </c>
      <c r="S21" s="1387">
        <f>F21</f>
        <v>100</v>
      </c>
      <c r="T21" s="1386" t="s">
        <v>5</v>
      </c>
      <c r="U21" s="1387">
        <f>H21</f>
        <v>100</v>
      </c>
      <c r="V21" s="1386" t="s">
        <v>5</v>
      </c>
      <c r="W21" s="1387">
        <f>J21</f>
        <v>100</v>
      </c>
      <c r="X21" s="2195"/>
      <c r="Y21" s="3878"/>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8"/>
      <c r="Q22" s="2193"/>
      <c r="R22" s="1386"/>
      <c r="S22" s="1387"/>
      <c r="T22" s="1386"/>
      <c r="U22" s="1387"/>
      <c r="V22" s="1386"/>
      <c r="W22" s="1387"/>
      <c r="X22" s="2195"/>
      <c r="Y22" s="3878"/>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8"/>
      <c r="Q23" s="1385" t="str">
        <f>B23</f>
        <v>自然及人文环境</v>
      </c>
      <c r="R23" s="1386" t="s">
        <v>5</v>
      </c>
      <c r="S23" s="1387">
        <f>F23</f>
        <v>100</v>
      </c>
      <c r="T23" s="1386" t="s">
        <v>5</v>
      </c>
      <c r="U23" s="1387">
        <f>H23</f>
        <v>100</v>
      </c>
      <c r="V23" s="1386" t="s">
        <v>5</v>
      </c>
      <c r="W23" s="1387">
        <f>J23</f>
        <v>100</v>
      </c>
      <c r="X23" s="1380"/>
      <c r="Y23" s="387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8"/>
      <c r="Q24" s="1385"/>
      <c r="R24" s="1386"/>
      <c r="S24" s="1387"/>
      <c r="T24" s="1386"/>
      <c r="U24" s="1387"/>
      <c r="V24" s="1386"/>
      <c r="W24" s="1387"/>
      <c r="X24" s="1380"/>
      <c r="Y24" s="3878"/>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8"/>
      <c r="Q25" s="1385" t="str">
        <f t="shared" ref="Q25:Q46" si="8">B25</f>
        <v>临街状况</v>
      </c>
      <c r="R25" s="1386" t="s">
        <v>5</v>
      </c>
      <c r="S25" s="1387">
        <f>F25</f>
        <v>100</v>
      </c>
      <c r="T25" s="1386" t="s">
        <v>5</v>
      </c>
      <c r="U25" s="1387">
        <f>H25</f>
        <v>100</v>
      </c>
      <c r="V25" s="1386" t="s">
        <v>5</v>
      </c>
      <c r="W25" s="1387">
        <f>J25</f>
        <v>100</v>
      </c>
      <c r="X25" s="1380"/>
      <c r="Y25" s="3878"/>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8"/>
      <c r="Q26" s="1385" t="str">
        <f t="shared" si="8"/>
        <v>平面位置/可视性</v>
      </c>
      <c r="R26" s="1386" t="s">
        <v>5</v>
      </c>
      <c r="S26" s="1387">
        <f>F26</f>
        <v>100</v>
      </c>
      <c r="T26" s="1386" t="s">
        <v>5</v>
      </c>
      <c r="U26" s="1387">
        <f>H26</f>
        <v>100</v>
      </c>
      <c r="V26" s="1386" t="s">
        <v>5</v>
      </c>
      <c r="W26" s="1387">
        <f>J26</f>
        <v>100</v>
      </c>
      <c r="X26" s="1380"/>
      <c r="Y26" s="3878"/>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8"/>
      <c r="Q27" s="1050" t="str">
        <f t="shared" si="8"/>
        <v>人流量</v>
      </c>
      <c r="R27" s="1381" t="s">
        <v>5</v>
      </c>
      <c r="S27" s="1382">
        <f>F27</f>
        <v>100</v>
      </c>
      <c r="T27" s="1381" t="s">
        <v>5</v>
      </c>
      <c r="U27" s="1382">
        <f>H27</f>
        <v>100</v>
      </c>
      <c r="V27" s="1381" t="s">
        <v>5</v>
      </c>
      <c r="W27" s="1382">
        <f>J27</f>
        <v>100</v>
      </c>
      <c r="X27" s="1383"/>
      <c r="Y27" s="3878"/>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8"/>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8"/>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8"/>
      <c r="Q29" s="1385">
        <f t="shared" si="8"/>
        <v>111</v>
      </c>
      <c r="R29" s="1386" t="s">
        <v>5</v>
      </c>
      <c r="S29" s="1387">
        <f t="shared" si="9"/>
        <v>100</v>
      </c>
      <c r="T29" s="1386" t="s">
        <v>5</v>
      </c>
      <c r="U29" s="1387">
        <f t="shared" si="10"/>
        <v>100</v>
      </c>
      <c r="V29" s="1386" t="s">
        <v>5</v>
      </c>
      <c r="W29" s="1387">
        <f t="shared" si="11"/>
        <v>100</v>
      </c>
      <c r="X29" s="1380"/>
      <c r="Y29" s="387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8"/>
      <c r="Q30" s="1385">
        <f t="shared" si="8"/>
        <v>111</v>
      </c>
      <c r="R30" s="1386" t="s">
        <v>5</v>
      </c>
      <c r="S30" s="1387">
        <f t="shared" si="9"/>
        <v>100</v>
      </c>
      <c r="T30" s="1386" t="s">
        <v>5</v>
      </c>
      <c r="U30" s="1387">
        <f t="shared" si="10"/>
        <v>100</v>
      </c>
      <c r="V30" s="1386" t="s">
        <v>5</v>
      </c>
      <c r="W30" s="1387">
        <f t="shared" si="11"/>
        <v>100</v>
      </c>
      <c r="X30" s="1380"/>
      <c r="Y30" s="3878"/>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8"/>
      <c r="Q31" s="1385">
        <f t="shared" si="8"/>
        <v>111</v>
      </c>
      <c r="R31" s="1386" t="s">
        <v>5</v>
      </c>
      <c r="S31" s="1387">
        <f t="shared" si="9"/>
        <v>100</v>
      </c>
      <c r="T31" s="1386" t="s">
        <v>5</v>
      </c>
      <c r="U31" s="1387">
        <f t="shared" si="10"/>
        <v>100</v>
      </c>
      <c r="V31" s="1386" t="s">
        <v>5</v>
      </c>
      <c r="W31" s="1387">
        <f t="shared" si="11"/>
        <v>100</v>
      </c>
      <c r="X31" s="1380"/>
      <c r="Y31" s="3878"/>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9" t="s">
        <v>499</v>
      </c>
      <c r="Q32" s="1385" t="str">
        <f t="shared" si="8"/>
        <v>商业类型</v>
      </c>
      <c r="R32" s="1386" t="s">
        <v>5</v>
      </c>
      <c r="S32" s="1387">
        <f t="shared" si="9"/>
        <v>100</v>
      </c>
      <c r="T32" s="1386" t="s">
        <v>5</v>
      </c>
      <c r="U32" s="1387">
        <f t="shared" si="10"/>
        <v>100</v>
      </c>
      <c r="V32" s="1386" t="s">
        <v>5</v>
      </c>
      <c r="W32" s="1387">
        <f t="shared" si="11"/>
        <v>100</v>
      </c>
      <c r="X32" s="1380"/>
      <c r="Y32" s="3880"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80"/>
      <c r="Q33" s="1414" t="str">
        <f t="shared" si="8"/>
        <v>项目建筑规模</v>
      </c>
      <c r="R33" s="1390" t="s">
        <v>5</v>
      </c>
      <c r="S33" s="1391" t="e">
        <f t="shared" si="9"/>
        <v>#N/A</v>
      </c>
      <c r="T33" s="1390" t="s">
        <v>5</v>
      </c>
      <c r="U33" s="1391" t="e">
        <f t="shared" si="10"/>
        <v>#N/A</v>
      </c>
      <c r="V33" s="1390" t="s">
        <v>5</v>
      </c>
      <c r="W33" s="1391" t="e">
        <f t="shared" si="11"/>
        <v>#N/A</v>
      </c>
      <c r="X33" s="1392"/>
      <c r="Y33" s="388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80"/>
      <c r="Q34" s="1385" t="str">
        <f t="shared" si="8"/>
        <v>建筑结构</v>
      </c>
      <c r="R34" s="1386" t="s">
        <v>5</v>
      </c>
      <c r="S34" s="1387">
        <f t="shared" si="9"/>
        <v>100</v>
      </c>
      <c r="T34" s="1386" t="s">
        <v>5</v>
      </c>
      <c r="U34" s="1387">
        <f t="shared" si="10"/>
        <v>100</v>
      </c>
      <c r="V34" s="1386" t="s">
        <v>5</v>
      </c>
      <c r="W34" s="1387">
        <f t="shared" si="11"/>
        <v>100</v>
      </c>
      <c r="X34" s="1380"/>
      <c r="Y34" s="3880"/>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80"/>
      <c r="Q35" s="1385" t="str">
        <f t="shared" si="8"/>
        <v>公共部分装修</v>
      </c>
      <c r="R35" s="1386" t="s">
        <v>5</v>
      </c>
      <c r="S35" s="1387">
        <f t="shared" si="9"/>
        <v>100</v>
      </c>
      <c r="T35" s="1386" t="s">
        <v>5</v>
      </c>
      <c r="U35" s="1387">
        <f t="shared" si="10"/>
        <v>100</v>
      </c>
      <c r="V35" s="1386" t="s">
        <v>5</v>
      </c>
      <c r="W35" s="1387">
        <f t="shared" si="11"/>
        <v>100</v>
      </c>
      <c r="X35" s="1380"/>
      <c r="Y35" s="3880"/>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80"/>
      <c r="Q36" s="1385" t="str">
        <f t="shared" si="8"/>
        <v>成新度</v>
      </c>
      <c r="R36" s="1386" t="s">
        <v>5</v>
      </c>
      <c r="S36" s="1387" t="e">
        <f t="shared" si="9"/>
        <v>#N/A</v>
      </c>
      <c r="T36" s="1386" t="s">
        <v>5</v>
      </c>
      <c r="U36" s="1387" t="e">
        <f t="shared" si="10"/>
        <v>#N/A</v>
      </c>
      <c r="V36" s="1386" t="s">
        <v>5</v>
      </c>
      <c r="W36" s="1387" t="e">
        <f t="shared" si="11"/>
        <v>#N/A</v>
      </c>
      <c r="X36" s="1380"/>
      <c r="Y36" s="3880"/>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80"/>
      <c r="Q37" s="1050" t="str">
        <f t="shared" si="8"/>
        <v>市政基础设施</v>
      </c>
      <c r="R37" s="1381" t="s">
        <v>5</v>
      </c>
      <c r="S37" s="1382">
        <f t="shared" si="9"/>
        <v>100</v>
      </c>
      <c r="T37" s="1381" t="s">
        <v>5</v>
      </c>
      <c r="U37" s="1382">
        <f t="shared" si="10"/>
        <v>100</v>
      </c>
      <c r="V37" s="1381" t="s">
        <v>5</v>
      </c>
      <c r="W37" s="1382">
        <f t="shared" si="11"/>
        <v>100</v>
      </c>
      <c r="X37" s="1383"/>
      <c r="Y37" s="3880"/>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80" t="s">
        <v>706</v>
      </c>
      <c r="Q38" s="1385" t="str">
        <f t="shared" si="8"/>
        <v>业态</v>
      </c>
      <c r="R38" s="1386" t="s">
        <v>5</v>
      </c>
      <c r="S38" s="1387">
        <f t="shared" si="9"/>
        <v>100</v>
      </c>
      <c r="T38" s="1386" t="s">
        <v>5</v>
      </c>
      <c r="U38" s="1387">
        <f t="shared" si="10"/>
        <v>100</v>
      </c>
      <c r="V38" s="1386" t="s">
        <v>5</v>
      </c>
      <c r="W38" s="1387">
        <f t="shared" si="11"/>
        <v>100</v>
      </c>
      <c r="X38" s="1380"/>
      <c r="Y38" s="3880"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80"/>
      <c r="Q39" s="1385" t="str">
        <f t="shared" si="8"/>
        <v>层高</v>
      </c>
      <c r="R39" s="1386" t="s">
        <v>5</v>
      </c>
      <c r="S39" s="1387">
        <f t="shared" si="9"/>
        <v>100</v>
      </c>
      <c r="T39" s="1386" t="s">
        <v>5</v>
      </c>
      <c r="U39" s="1387">
        <f t="shared" si="10"/>
        <v>100</v>
      </c>
      <c r="V39" s="1386" t="s">
        <v>5</v>
      </c>
      <c r="W39" s="1387">
        <f t="shared" si="11"/>
        <v>100</v>
      </c>
      <c r="X39" s="1380"/>
      <c r="Y39" s="3880"/>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80"/>
      <c r="Q40" s="1385" t="str">
        <f t="shared" si="8"/>
        <v>单套建筑面积</v>
      </c>
      <c r="R40" s="1386" t="s">
        <v>5</v>
      </c>
      <c r="S40" s="1387">
        <f t="shared" si="9"/>
        <v>100</v>
      </c>
      <c r="T40" s="1386" t="s">
        <v>5</v>
      </c>
      <c r="U40" s="1387">
        <f t="shared" si="10"/>
        <v>100</v>
      </c>
      <c r="V40" s="1386" t="s">
        <v>5</v>
      </c>
      <c r="W40" s="1387">
        <f t="shared" si="11"/>
        <v>100</v>
      </c>
      <c r="X40" s="1380"/>
      <c r="Y40" s="3880"/>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80"/>
      <c r="Q41" s="1414" t="str">
        <f t="shared" si="8"/>
        <v>进深比</v>
      </c>
      <c r="R41" s="1390" t="s">
        <v>5</v>
      </c>
      <c r="S41" s="1391">
        <f t="shared" si="9"/>
        <v>100</v>
      </c>
      <c r="T41" s="1390" t="s">
        <v>5</v>
      </c>
      <c r="U41" s="1391">
        <f t="shared" si="10"/>
        <v>100</v>
      </c>
      <c r="V41" s="1390" t="s">
        <v>5</v>
      </c>
      <c r="W41" s="1391">
        <f t="shared" si="11"/>
        <v>100</v>
      </c>
      <c r="X41" s="1392"/>
      <c r="Y41" s="3880"/>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80"/>
      <c r="Q42" s="1385" t="str">
        <f t="shared" si="8"/>
        <v>内部装修</v>
      </c>
      <c r="R42" s="1386" t="s">
        <v>5</v>
      </c>
      <c r="S42" s="1387">
        <f t="shared" si="9"/>
        <v>100</v>
      </c>
      <c r="T42" s="1386" t="s">
        <v>5</v>
      </c>
      <c r="U42" s="1387">
        <f t="shared" si="10"/>
        <v>100</v>
      </c>
      <c r="V42" s="1386" t="s">
        <v>5</v>
      </c>
      <c r="W42" s="1387">
        <f t="shared" si="11"/>
        <v>100</v>
      </c>
      <c r="X42" s="1380"/>
      <c r="Y42" s="3880"/>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80"/>
      <c r="Q43" s="1385" t="str">
        <f t="shared" si="8"/>
        <v>内部装修维护情况</v>
      </c>
      <c r="R43" s="1386" t="s">
        <v>5</v>
      </c>
      <c r="S43" s="1387">
        <f t="shared" si="9"/>
        <v>100</v>
      </c>
      <c r="T43" s="1386" t="s">
        <v>5</v>
      </c>
      <c r="U43" s="1387">
        <f t="shared" si="10"/>
        <v>100</v>
      </c>
      <c r="V43" s="1386" t="s">
        <v>5</v>
      </c>
      <c r="W43" s="1387">
        <f t="shared" si="11"/>
        <v>100</v>
      </c>
      <c r="X43" s="1380"/>
      <c r="Y43" s="388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80"/>
      <c r="Q44" s="1050">
        <f t="shared" si="8"/>
        <v>111</v>
      </c>
      <c r="R44" s="1381" t="s">
        <v>5</v>
      </c>
      <c r="S44" s="1382">
        <f t="shared" si="9"/>
        <v>100</v>
      </c>
      <c r="T44" s="1381" t="s">
        <v>5</v>
      </c>
      <c r="U44" s="1382">
        <f t="shared" si="10"/>
        <v>100</v>
      </c>
      <c r="V44" s="1381" t="s">
        <v>5</v>
      </c>
      <c r="W44" s="1382">
        <f t="shared" si="11"/>
        <v>100</v>
      </c>
      <c r="X44" s="1383"/>
      <c r="Y44" s="388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80"/>
      <c r="Q45" s="1385">
        <f t="shared" si="8"/>
        <v>111</v>
      </c>
      <c r="R45" s="1386" t="s">
        <v>5</v>
      </c>
      <c r="S45" s="1387">
        <f t="shared" si="9"/>
        <v>100</v>
      </c>
      <c r="T45" s="1386" t="s">
        <v>5</v>
      </c>
      <c r="U45" s="1387">
        <f t="shared" si="10"/>
        <v>100</v>
      </c>
      <c r="V45" s="1386" t="s">
        <v>5</v>
      </c>
      <c r="W45" s="1387">
        <f t="shared" si="11"/>
        <v>100</v>
      </c>
      <c r="X45" s="1380"/>
      <c r="Y45" s="3880"/>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90"/>
      <c r="Q46" s="1385">
        <f t="shared" si="8"/>
        <v>111</v>
      </c>
      <c r="R46" s="1386" t="s">
        <v>5</v>
      </c>
      <c r="S46" s="1387">
        <f t="shared" si="9"/>
        <v>100</v>
      </c>
      <c r="T46" s="1386" t="s">
        <v>5</v>
      </c>
      <c r="U46" s="1387">
        <f t="shared" si="10"/>
        <v>100</v>
      </c>
      <c r="V46" s="1386" t="s">
        <v>5</v>
      </c>
      <c r="W46" s="1387">
        <f t="shared" si="11"/>
        <v>100</v>
      </c>
      <c r="X46" s="1380"/>
      <c r="Y46" s="3990"/>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75" t="str">
        <f>A47</f>
        <v>成交单价（元/平方米）</v>
      </c>
      <c r="Q47" s="3875"/>
      <c r="R47" s="3989">
        <f>E47</f>
        <v>0</v>
      </c>
      <c r="S47" s="3989"/>
      <c r="T47" s="3989">
        <f>G47</f>
        <v>0</v>
      </c>
      <c r="U47" s="3989"/>
      <c r="V47" s="3989">
        <f>I47</f>
        <v>0</v>
      </c>
      <c r="W47" s="3989"/>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75" t="str">
        <f>A48</f>
        <v>比较价格（元/平方米）</v>
      </c>
      <c r="Q48" s="3875"/>
      <c r="R48" s="3989" t="e">
        <f>IF(F1="售价",ROUND(PRODUCT(R47,AA7:AA46),0),ROUND(PRODUCT(R47,AA7:AA46),1))</f>
        <v>#DIV/0!</v>
      </c>
      <c r="S48" s="3989"/>
      <c r="T48" s="3989" t="e">
        <f>IF(F1="售价",ROUND(PRODUCT(T47,AB7:AB46),0),ROUND(PRODUCT(T47,AB7:AB46),1))</f>
        <v>#DIV/0!</v>
      </c>
      <c r="U48" s="3989"/>
      <c r="V48" s="3989" t="e">
        <f>IF(F1="售价",ROUND(PRODUCT(V47,AC7:AC46),0),ROUND(PRODUCT(V47,AC7:AC46),1))</f>
        <v>#DIV/0!</v>
      </c>
      <c r="W48" s="3989"/>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81" t="str">
        <f>A49</f>
        <v>估价对象XX用房的比较价格（楼面单价，元/平方米）</v>
      </c>
      <c r="Q49" s="3882"/>
      <c r="R49" s="3988" t="e">
        <f>IF(F1="售价",ROUND(IF(D48="简单平均",AVERAGE(R48:V48),R48*F48+T48*H48+V48*J48),0),ROUND(IF(D48="简单平均",AVERAGE(R48:V48),R48*F48+T48*H48+V48*J48),1))</f>
        <v>#DIV/0!</v>
      </c>
      <c r="S49" s="3988"/>
      <c r="T49" s="3988"/>
      <c r="U49" s="3988"/>
      <c r="V49" s="3988"/>
      <c r="W49" s="3988"/>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2024-7</v>
      </c>
      <c r="D58" s="2284">
        <f>EDATE(C58,-1)</f>
        <v>45444</v>
      </c>
      <c r="E58" s="2284">
        <f t="shared" ref="E58:O58" si="13">EDATE(D58,-1)</f>
        <v>45413</v>
      </c>
      <c r="F58" s="2284">
        <f t="shared" si="13"/>
        <v>45383</v>
      </c>
      <c r="G58" s="2284">
        <f t="shared" si="13"/>
        <v>45352</v>
      </c>
      <c r="H58" s="2284">
        <f t="shared" si="13"/>
        <v>45323</v>
      </c>
      <c r="I58" s="2284">
        <f t="shared" si="13"/>
        <v>45292</v>
      </c>
      <c r="J58" s="2284">
        <f t="shared" si="13"/>
        <v>45261</v>
      </c>
      <c r="K58" s="2284">
        <f t="shared" si="13"/>
        <v>45231</v>
      </c>
      <c r="L58" s="2284">
        <f t="shared" si="13"/>
        <v>45200</v>
      </c>
      <c r="M58" s="2284">
        <f t="shared" si="13"/>
        <v>45170</v>
      </c>
      <c r="N58" s="2284">
        <f t="shared" si="13"/>
        <v>45139</v>
      </c>
      <c r="O58" s="2284">
        <f t="shared" si="13"/>
        <v>45108</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42" sqref="J4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83" t="s">
        <v>471</v>
      </c>
      <c r="D4" s="3884"/>
      <c r="E4" s="3905" t="s">
        <v>472</v>
      </c>
      <c r="F4" s="3906"/>
      <c r="G4" s="3883" t="s">
        <v>473</v>
      </c>
      <c r="H4" s="3884"/>
      <c r="I4" s="3883" t="s">
        <v>474</v>
      </c>
      <c r="J4" s="3884"/>
      <c r="K4" s="484" t="s">
        <v>475</v>
      </c>
      <c r="L4" s="1856"/>
      <c r="M4" s="1857"/>
      <c r="N4" s="1857"/>
      <c r="O4" s="1857"/>
      <c r="P4" s="3991" t="s">
        <v>476</v>
      </c>
      <c r="Q4" s="3886"/>
      <c r="R4" s="3869" t="s">
        <v>472</v>
      </c>
      <c r="S4" s="3870"/>
      <c r="T4" s="3869" t="s">
        <v>473</v>
      </c>
      <c r="U4" s="3870"/>
      <c r="V4" s="3891" t="s">
        <v>474</v>
      </c>
      <c r="W4" s="3891"/>
      <c r="X4" s="1380"/>
      <c r="Y4" s="3869" t="s">
        <v>476</v>
      </c>
      <c r="Z4" s="3870"/>
      <c r="AA4" s="3864" t="s">
        <v>472</v>
      </c>
      <c r="AB4" s="3864" t="s">
        <v>473</v>
      </c>
      <c r="AC4" s="3864" t="s">
        <v>474</v>
      </c>
    </row>
    <row r="5" spans="1:29" ht="15">
      <c r="A5" s="485"/>
      <c r="B5" s="486"/>
      <c r="C5" s="3894" t="s">
        <v>2192</v>
      </c>
      <c r="D5" s="3895"/>
      <c r="E5" s="3907" t="s">
        <v>2193</v>
      </c>
      <c r="F5" s="3908"/>
      <c r="G5" s="3894" t="s">
        <v>2194</v>
      </c>
      <c r="H5" s="3895"/>
      <c r="I5" s="3894" t="s">
        <v>2195</v>
      </c>
      <c r="J5" s="3895"/>
      <c r="K5" s="484"/>
      <c r="L5" s="1856"/>
      <c r="M5" s="1857"/>
      <c r="N5" s="1857"/>
      <c r="O5" s="1857"/>
      <c r="P5" s="3992"/>
      <c r="Q5" s="3888"/>
      <c r="R5" s="3871"/>
      <c r="S5" s="3872"/>
      <c r="T5" s="3871"/>
      <c r="U5" s="3872"/>
      <c r="V5" s="3891"/>
      <c r="W5" s="3891"/>
      <c r="X5" s="1380"/>
      <c r="Y5" s="3871"/>
      <c r="Z5" s="3872"/>
      <c r="AA5" s="3865"/>
      <c r="AB5" s="3865"/>
      <c r="AC5" s="3865"/>
    </row>
    <row r="6" spans="1:29" ht="15.75" thickBot="1">
      <c r="A6" s="487"/>
      <c r="B6" s="488"/>
      <c r="C6" s="3892" t="s">
        <v>2196</v>
      </c>
      <c r="D6" s="3893"/>
      <c r="E6" s="3909" t="s">
        <v>2196</v>
      </c>
      <c r="F6" s="3910"/>
      <c r="G6" s="3892" t="s">
        <v>2196</v>
      </c>
      <c r="H6" s="3893"/>
      <c r="I6" s="3892" t="s">
        <v>2196</v>
      </c>
      <c r="J6" s="3893"/>
      <c r="K6" s="484" t="s">
        <v>477</v>
      </c>
      <c r="L6" s="1856"/>
      <c r="M6" s="1857"/>
      <c r="N6" s="1857"/>
      <c r="O6" s="1857"/>
      <c r="P6" s="3993"/>
      <c r="Q6" s="3890"/>
      <c r="R6" s="3871"/>
      <c r="S6" s="3872"/>
      <c r="T6" s="3873"/>
      <c r="U6" s="3874"/>
      <c r="V6" s="3891"/>
      <c r="W6" s="3891"/>
      <c r="X6" s="1380"/>
      <c r="Y6" s="3873"/>
      <c r="Z6" s="3874"/>
      <c r="AA6" s="3866"/>
      <c r="AB6" s="3866"/>
      <c r="AC6" s="3866"/>
    </row>
    <row r="7" spans="1:29" s="1118" customFormat="1" ht="15.75" thickBot="1">
      <c r="A7" s="2392"/>
      <c r="B7" s="2399" t="s">
        <v>478</v>
      </c>
      <c r="C7" s="489">
        <f>'数据-取费表'!B2</f>
        <v>45499</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76" t="s">
        <v>479</v>
      </c>
      <c r="Q7" s="3876"/>
      <c r="R7" s="1381" t="s">
        <v>5</v>
      </c>
      <c r="S7" s="1382">
        <f t="shared" ref="S7:S15" si="0">F7</f>
        <v>0</v>
      </c>
      <c r="T7" s="1381" t="s">
        <v>5</v>
      </c>
      <c r="U7" s="1382">
        <f t="shared" ref="U7:U15" si="1">H7</f>
        <v>0</v>
      </c>
      <c r="V7" s="1381" t="s">
        <v>5</v>
      </c>
      <c r="W7" s="1382">
        <f t="shared" ref="W7:W15"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76" t="s">
        <v>482</v>
      </c>
      <c r="Q8" s="3868"/>
      <c r="R8" s="1381" t="s">
        <v>5</v>
      </c>
      <c r="S8" s="1382">
        <f t="shared" si="0"/>
        <v>0</v>
      </c>
      <c r="T8" s="1381" t="s">
        <v>5</v>
      </c>
      <c r="U8" s="1382">
        <f t="shared" si="1"/>
        <v>0</v>
      </c>
      <c r="V8" s="1381" t="s">
        <v>5</v>
      </c>
      <c r="W8" s="1382">
        <f t="shared" si="2"/>
        <v>0</v>
      </c>
      <c r="X8" s="1383"/>
      <c r="Y8" s="3867" t="s">
        <v>482</v>
      </c>
      <c r="Z8" s="3868"/>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75" t="s">
        <v>484</v>
      </c>
      <c r="Q9" s="1050" t="str">
        <f t="shared" ref="Q9:Q15" si="6">B9</f>
        <v>用途</v>
      </c>
      <c r="R9" s="1381" t="s">
        <v>5</v>
      </c>
      <c r="S9" s="1382">
        <f t="shared" si="0"/>
        <v>100</v>
      </c>
      <c r="T9" s="1381" t="s">
        <v>5</v>
      </c>
      <c r="U9" s="1382">
        <f t="shared" si="1"/>
        <v>100</v>
      </c>
      <c r="V9" s="1381" t="s">
        <v>5</v>
      </c>
      <c r="W9" s="1382">
        <f t="shared" si="2"/>
        <v>100</v>
      </c>
      <c r="X9" s="1383"/>
      <c r="Y9" s="382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75"/>
      <c r="Q10" s="1050" t="str">
        <f t="shared" si="6"/>
        <v>土地使用年限（年）</v>
      </c>
      <c r="R10" s="1381" t="s">
        <v>5</v>
      </c>
      <c r="S10" s="1382">
        <f t="shared" si="0"/>
        <v>100</v>
      </c>
      <c r="T10" s="1381" t="s">
        <v>5</v>
      </c>
      <c r="U10" s="1382">
        <f t="shared" si="1"/>
        <v>100</v>
      </c>
      <c r="V10" s="1381" t="s">
        <v>5</v>
      </c>
      <c r="W10" s="1382">
        <f t="shared" si="2"/>
        <v>100</v>
      </c>
      <c r="X10" s="1383"/>
      <c r="Y10" s="382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75"/>
      <c r="Q11" s="1050" t="str">
        <f t="shared" si="6"/>
        <v>容积率</v>
      </c>
      <c r="R11" s="1381" t="s">
        <v>5</v>
      </c>
      <c r="S11" s="1382" t="e">
        <f t="shared" si="0"/>
        <v>#N/A</v>
      </c>
      <c r="T11" s="1381" t="s">
        <v>5</v>
      </c>
      <c r="U11" s="1382" t="e">
        <f t="shared" si="1"/>
        <v>#N/A</v>
      </c>
      <c r="V11" s="1381" t="s">
        <v>5</v>
      </c>
      <c r="W11" s="1382" t="e">
        <f t="shared" si="2"/>
        <v>#N/A</v>
      </c>
      <c r="X11" s="1383"/>
      <c r="Y11" s="382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75"/>
      <c r="Q12" s="1050">
        <f t="shared" si="6"/>
        <v>111</v>
      </c>
      <c r="R12" s="1381" t="s">
        <v>5</v>
      </c>
      <c r="S12" s="1382">
        <f t="shared" si="0"/>
        <v>100</v>
      </c>
      <c r="T12" s="1381" t="s">
        <v>5</v>
      </c>
      <c r="U12" s="1382">
        <f t="shared" si="1"/>
        <v>100</v>
      </c>
      <c r="V12" s="1381" t="s">
        <v>5</v>
      </c>
      <c r="W12" s="1382">
        <f t="shared" si="2"/>
        <v>100</v>
      </c>
      <c r="X12" s="1383"/>
      <c r="Y12" s="3823"/>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75"/>
      <c r="Q13" s="1050">
        <f t="shared" si="6"/>
        <v>111</v>
      </c>
      <c r="R13" s="1381" t="s">
        <v>5</v>
      </c>
      <c r="S13" s="1382">
        <f t="shared" si="0"/>
        <v>100</v>
      </c>
      <c r="T13" s="1381" t="s">
        <v>5</v>
      </c>
      <c r="U13" s="1382">
        <f t="shared" si="1"/>
        <v>100</v>
      </c>
      <c r="V13" s="1381" t="s">
        <v>5</v>
      </c>
      <c r="W13" s="1382">
        <f t="shared" si="2"/>
        <v>100</v>
      </c>
      <c r="X13" s="1383"/>
      <c r="Y13" s="3823"/>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75"/>
      <c r="Q14" s="1050">
        <f t="shared" si="6"/>
        <v>111</v>
      </c>
      <c r="R14" s="1381" t="s">
        <v>5</v>
      </c>
      <c r="S14" s="1382">
        <f t="shared" si="0"/>
        <v>100</v>
      </c>
      <c r="T14" s="1381" t="s">
        <v>5</v>
      </c>
      <c r="U14" s="1382">
        <f t="shared" si="1"/>
        <v>100</v>
      </c>
      <c r="V14" s="1381" t="s">
        <v>5</v>
      </c>
      <c r="W14" s="1382">
        <f t="shared" si="2"/>
        <v>100</v>
      </c>
      <c r="X14" s="1383"/>
      <c r="Y14" s="3823"/>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7" t="s">
        <v>489</v>
      </c>
      <c r="Q15" s="1385" t="str">
        <f t="shared" si="6"/>
        <v>办公集聚程度</v>
      </c>
      <c r="R15" s="1386" t="s">
        <v>5</v>
      </c>
      <c r="S15" s="1387">
        <f t="shared" si="0"/>
        <v>100</v>
      </c>
      <c r="T15" s="1386" t="s">
        <v>5</v>
      </c>
      <c r="U15" s="1387">
        <f t="shared" si="1"/>
        <v>100</v>
      </c>
      <c r="V15" s="1386" t="s">
        <v>5</v>
      </c>
      <c r="W15" s="1387">
        <f t="shared" si="2"/>
        <v>100</v>
      </c>
      <c r="X15" s="1380"/>
      <c r="Y15" s="3877"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8"/>
      <c r="Q16" s="1385"/>
      <c r="R16" s="1386"/>
      <c r="S16" s="1387"/>
      <c r="T16" s="1386"/>
      <c r="U16" s="1387"/>
      <c r="V16" s="1386"/>
      <c r="W16" s="1387"/>
      <c r="X16" s="1380"/>
      <c r="Y16" s="3878"/>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8"/>
      <c r="Q17" s="1385" t="str">
        <f>B17</f>
        <v>交通便捷度</v>
      </c>
      <c r="R17" s="1386" t="s">
        <v>5</v>
      </c>
      <c r="S17" s="1387">
        <f>F17</f>
        <v>100</v>
      </c>
      <c r="T17" s="1386" t="s">
        <v>5</v>
      </c>
      <c r="U17" s="1387">
        <f>H17</f>
        <v>100</v>
      </c>
      <c r="V17" s="1386" t="s">
        <v>5</v>
      </c>
      <c r="W17" s="1387">
        <f>J17</f>
        <v>100</v>
      </c>
      <c r="X17" s="1380"/>
      <c r="Y17" s="3878"/>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8"/>
      <c r="Q18" s="1385"/>
      <c r="R18" s="1386"/>
      <c r="S18" s="1387"/>
      <c r="T18" s="1386"/>
      <c r="U18" s="1387"/>
      <c r="V18" s="1386"/>
      <c r="W18" s="1387"/>
      <c r="X18" s="1380"/>
      <c r="Y18" s="3878"/>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8"/>
      <c r="Q19" s="1385" t="str">
        <f>B19</f>
        <v>公共配套设施</v>
      </c>
      <c r="R19" s="1386" t="s">
        <v>5</v>
      </c>
      <c r="S19" s="1387">
        <f>F19</f>
        <v>100</v>
      </c>
      <c r="T19" s="1386" t="s">
        <v>5</v>
      </c>
      <c r="U19" s="1387">
        <f>H19</f>
        <v>100</v>
      </c>
      <c r="V19" s="1386" t="s">
        <v>5</v>
      </c>
      <c r="W19" s="1387">
        <f>J19</f>
        <v>100</v>
      </c>
      <c r="X19" s="1380"/>
      <c r="Y19" s="3878"/>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8"/>
      <c r="Q20" s="1385"/>
      <c r="R20" s="1386"/>
      <c r="S20" s="1387"/>
      <c r="T20" s="1386"/>
      <c r="U20" s="1387"/>
      <c r="V20" s="1386"/>
      <c r="W20" s="1387"/>
      <c r="X20" s="1380"/>
      <c r="Y20" s="3878"/>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8"/>
      <c r="Q21" s="2193" t="str">
        <f>B21</f>
        <v>基础设施水平</v>
      </c>
      <c r="R21" s="1386" t="s">
        <v>5</v>
      </c>
      <c r="S21" s="1387">
        <f>F21</f>
        <v>100</v>
      </c>
      <c r="T21" s="1386" t="s">
        <v>5</v>
      </c>
      <c r="U21" s="1387">
        <f>H21</f>
        <v>100</v>
      </c>
      <c r="V21" s="1386" t="s">
        <v>5</v>
      </c>
      <c r="W21" s="1387">
        <f>J21</f>
        <v>100</v>
      </c>
      <c r="X21" s="2195"/>
      <c r="Y21" s="3878"/>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8"/>
      <c r="Q22" s="2193"/>
      <c r="R22" s="1386"/>
      <c r="S22" s="1387"/>
      <c r="T22" s="1386"/>
      <c r="U22" s="1387"/>
      <c r="V22" s="1386"/>
      <c r="W22" s="1387"/>
      <c r="X22" s="2195"/>
      <c r="Y22" s="3878"/>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8"/>
      <c r="Q23" s="1385" t="str">
        <f>B23</f>
        <v>环境质量</v>
      </c>
      <c r="R23" s="1386" t="s">
        <v>5</v>
      </c>
      <c r="S23" s="1387">
        <f>F23</f>
        <v>100</v>
      </c>
      <c r="T23" s="1386" t="s">
        <v>5</v>
      </c>
      <c r="U23" s="1387">
        <f>H23</f>
        <v>100</v>
      </c>
      <c r="V23" s="1386" t="s">
        <v>5</v>
      </c>
      <c r="W23" s="1387">
        <f>J23</f>
        <v>100</v>
      </c>
      <c r="X23" s="1380"/>
      <c r="Y23" s="3878"/>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8"/>
      <c r="Q24" s="1385"/>
      <c r="R24" s="1386"/>
      <c r="S24" s="1387"/>
      <c r="T24" s="1386"/>
      <c r="U24" s="1387"/>
      <c r="V24" s="1386"/>
      <c r="W24" s="1387"/>
      <c r="X24" s="1380"/>
      <c r="Y24" s="3878"/>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8"/>
      <c r="Q25" s="1385" t="str">
        <f>B25</f>
        <v>毗邻道路的类型与等级</v>
      </c>
      <c r="R25" s="1386" t="s">
        <v>5</v>
      </c>
      <c r="S25" s="1387">
        <f>F25</f>
        <v>100</v>
      </c>
      <c r="T25" s="1386" t="s">
        <v>5</v>
      </c>
      <c r="U25" s="1387">
        <f>H25</f>
        <v>100</v>
      </c>
      <c r="V25" s="1386" t="s">
        <v>5</v>
      </c>
      <c r="W25" s="1387">
        <f>J25</f>
        <v>100</v>
      </c>
      <c r="X25" s="1380"/>
      <c r="Y25" s="3878"/>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8"/>
      <c r="Q26" s="1385"/>
      <c r="R26" s="1386"/>
      <c r="S26" s="1387"/>
      <c r="T26" s="1386"/>
      <c r="U26" s="1387"/>
      <c r="V26" s="1386"/>
      <c r="W26" s="1387"/>
      <c r="X26" s="1380"/>
      <c r="Y26" s="3878"/>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8"/>
      <c r="Q27" s="1385" t="str">
        <f t="shared" ref="Q27:Q47" si="8">B27</f>
        <v>楼层</v>
      </c>
      <c r="R27" s="1386" t="s">
        <v>5</v>
      </c>
      <c r="S27" s="1387">
        <f>F27</f>
        <v>100</v>
      </c>
      <c r="T27" s="1386" t="s">
        <v>5</v>
      </c>
      <c r="U27" s="1387">
        <f>H27</f>
        <v>100</v>
      </c>
      <c r="V27" s="1386" t="s">
        <v>5</v>
      </c>
      <c r="W27" s="1387">
        <f>J27</f>
        <v>100</v>
      </c>
      <c r="X27" s="1380"/>
      <c r="Y27" s="3878"/>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8"/>
      <c r="Q28" s="1050" t="str">
        <f t="shared" si="8"/>
        <v>朝向</v>
      </c>
      <c r="R28" s="1381" t="s">
        <v>5</v>
      </c>
      <c r="S28" s="1382">
        <f>F28</f>
        <v>100</v>
      </c>
      <c r="T28" s="1381" t="s">
        <v>5</v>
      </c>
      <c r="U28" s="1382">
        <f>H28</f>
        <v>100</v>
      </c>
      <c r="V28" s="1381" t="s">
        <v>5</v>
      </c>
      <c r="W28" s="1382">
        <f>J28</f>
        <v>100</v>
      </c>
      <c r="X28" s="1383"/>
      <c r="Y28" s="3878"/>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8"/>
      <c r="Q29" s="1385">
        <f t="shared" si="8"/>
        <v>111</v>
      </c>
      <c r="R29" s="1386" t="s">
        <v>5</v>
      </c>
      <c r="S29" s="1387">
        <f t="shared" ref="S29:S47" si="9">F29</f>
        <v>100</v>
      </c>
      <c r="T29" s="1386" t="s">
        <v>5</v>
      </c>
      <c r="U29" s="1387">
        <f t="shared" ref="U29:U47" si="10">H29</f>
        <v>100</v>
      </c>
      <c r="V29" s="1386" t="s">
        <v>5</v>
      </c>
      <c r="W29" s="1387">
        <f t="shared" ref="W29:W47" si="11">J29</f>
        <v>100</v>
      </c>
      <c r="X29" s="1380"/>
      <c r="Y29" s="3878"/>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8"/>
      <c r="Q30" s="1385">
        <f t="shared" si="8"/>
        <v>111</v>
      </c>
      <c r="R30" s="1386" t="s">
        <v>5</v>
      </c>
      <c r="S30" s="1387">
        <f t="shared" si="9"/>
        <v>100</v>
      </c>
      <c r="T30" s="1386" t="s">
        <v>5</v>
      </c>
      <c r="U30" s="1387">
        <f t="shared" si="10"/>
        <v>100</v>
      </c>
      <c r="V30" s="1386" t="s">
        <v>5</v>
      </c>
      <c r="W30" s="1387">
        <f t="shared" si="11"/>
        <v>100</v>
      </c>
      <c r="X30" s="1380"/>
      <c r="Y30" s="3878"/>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8"/>
      <c r="Q31" s="1385">
        <f t="shared" si="8"/>
        <v>111</v>
      </c>
      <c r="R31" s="1386" t="s">
        <v>5</v>
      </c>
      <c r="S31" s="1387">
        <f t="shared" si="9"/>
        <v>100</v>
      </c>
      <c r="T31" s="1386" t="s">
        <v>5</v>
      </c>
      <c r="U31" s="1387">
        <f t="shared" si="10"/>
        <v>100</v>
      </c>
      <c r="V31" s="1386" t="s">
        <v>5</v>
      </c>
      <c r="W31" s="1387">
        <f t="shared" si="11"/>
        <v>100</v>
      </c>
      <c r="X31" s="1380"/>
      <c r="Y31" s="3878"/>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8"/>
      <c r="Q32" s="1385">
        <f t="shared" si="8"/>
        <v>111</v>
      </c>
      <c r="R32" s="1386" t="s">
        <v>5</v>
      </c>
      <c r="S32" s="1387">
        <f t="shared" si="9"/>
        <v>100</v>
      </c>
      <c r="T32" s="1386" t="s">
        <v>5</v>
      </c>
      <c r="U32" s="1387">
        <f t="shared" si="10"/>
        <v>100</v>
      </c>
      <c r="V32" s="1386" t="s">
        <v>5</v>
      </c>
      <c r="W32" s="1387">
        <f t="shared" si="11"/>
        <v>100</v>
      </c>
      <c r="X32" s="1380"/>
      <c r="Y32" s="3878"/>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9" t="s">
        <v>499</v>
      </c>
      <c r="Q33" s="1385" t="str">
        <f t="shared" si="8"/>
        <v>建筑类型</v>
      </c>
      <c r="R33" s="1386" t="s">
        <v>5</v>
      </c>
      <c r="S33" s="1387">
        <f t="shared" si="9"/>
        <v>100</v>
      </c>
      <c r="T33" s="1386" t="s">
        <v>5</v>
      </c>
      <c r="U33" s="1387">
        <f t="shared" si="10"/>
        <v>100</v>
      </c>
      <c r="V33" s="1386" t="s">
        <v>5</v>
      </c>
      <c r="W33" s="1387">
        <f t="shared" si="11"/>
        <v>100</v>
      </c>
      <c r="X33" s="1380"/>
      <c r="Y33" s="3880"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80"/>
      <c r="Q34" s="1414" t="str">
        <f t="shared" si="8"/>
        <v>项目建筑规模</v>
      </c>
      <c r="R34" s="1390" t="s">
        <v>5</v>
      </c>
      <c r="S34" s="1391" t="e">
        <f t="shared" si="9"/>
        <v>#N/A</v>
      </c>
      <c r="T34" s="1390" t="s">
        <v>5</v>
      </c>
      <c r="U34" s="1391" t="e">
        <f t="shared" si="10"/>
        <v>#N/A</v>
      </c>
      <c r="V34" s="1390" t="s">
        <v>5</v>
      </c>
      <c r="W34" s="1391" t="e">
        <f t="shared" si="11"/>
        <v>#N/A</v>
      </c>
      <c r="X34" s="1392"/>
      <c r="Y34" s="3880"/>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80"/>
      <c r="Q35" s="1385" t="str">
        <f t="shared" si="8"/>
        <v>建筑结构</v>
      </c>
      <c r="R35" s="1386" t="s">
        <v>5</v>
      </c>
      <c r="S35" s="1387">
        <f t="shared" si="9"/>
        <v>100</v>
      </c>
      <c r="T35" s="1386" t="s">
        <v>5</v>
      </c>
      <c r="U35" s="1387">
        <f t="shared" si="10"/>
        <v>100</v>
      </c>
      <c r="V35" s="1386" t="s">
        <v>5</v>
      </c>
      <c r="W35" s="1387">
        <f t="shared" si="11"/>
        <v>100</v>
      </c>
      <c r="X35" s="1380"/>
      <c r="Y35" s="3880"/>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80"/>
      <c r="Q36" s="1385" t="str">
        <f t="shared" si="8"/>
        <v>公共部分装修</v>
      </c>
      <c r="R36" s="1386" t="s">
        <v>5</v>
      </c>
      <c r="S36" s="1387">
        <f t="shared" si="9"/>
        <v>100</v>
      </c>
      <c r="T36" s="1386" t="s">
        <v>5</v>
      </c>
      <c r="U36" s="1387">
        <f t="shared" si="10"/>
        <v>100</v>
      </c>
      <c r="V36" s="1386" t="s">
        <v>5</v>
      </c>
      <c r="W36" s="1387">
        <f t="shared" si="11"/>
        <v>100</v>
      </c>
      <c r="X36" s="1380"/>
      <c r="Y36" s="3880"/>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80"/>
      <c r="Q37" s="1385" t="str">
        <f t="shared" si="8"/>
        <v>成新度</v>
      </c>
      <c r="R37" s="1386" t="s">
        <v>5</v>
      </c>
      <c r="S37" s="1387" t="e">
        <f t="shared" si="9"/>
        <v>#N/A</v>
      </c>
      <c r="T37" s="1386" t="s">
        <v>5</v>
      </c>
      <c r="U37" s="1387" t="e">
        <f t="shared" si="10"/>
        <v>#N/A</v>
      </c>
      <c r="V37" s="1386" t="s">
        <v>5</v>
      </c>
      <c r="W37" s="1387" t="e">
        <f t="shared" si="11"/>
        <v>#N/A</v>
      </c>
      <c r="X37" s="1380"/>
      <c r="Y37" s="3880"/>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80"/>
      <c r="Q38" s="1050" t="str">
        <f t="shared" si="8"/>
        <v>写字楼等级</v>
      </c>
      <c r="R38" s="1381" t="s">
        <v>5</v>
      </c>
      <c r="S38" s="1382">
        <f t="shared" si="9"/>
        <v>100</v>
      </c>
      <c r="T38" s="1381" t="s">
        <v>5</v>
      </c>
      <c r="U38" s="1382">
        <f t="shared" si="10"/>
        <v>100</v>
      </c>
      <c r="V38" s="1381" t="s">
        <v>5</v>
      </c>
      <c r="W38" s="1382">
        <f t="shared" si="11"/>
        <v>100</v>
      </c>
      <c r="X38" s="1383"/>
      <c r="Y38" s="3880"/>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80" t="s">
        <v>499</v>
      </c>
      <c r="Q39" s="1385" t="str">
        <f t="shared" si="8"/>
        <v>物业管理</v>
      </c>
      <c r="R39" s="1386" t="s">
        <v>5</v>
      </c>
      <c r="S39" s="1387">
        <f t="shared" si="9"/>
        <v>100</v>
      </c>
      <c r="T39" s="1386" t="s">
        <v>5</v>
      </c>
      <c r="U39" s="1387">
        <f t="shared" si="10"/>
        <v>100</v>
      </c>
      <c r="V39" s="1386" t="s">
        <v>5</v>
      </c>
      <c r="W39" s="1387">
        <f t="shared" si="11"/>
        <v>100</v>
      </c>
      <c r="X39" s="1380"/>
      <c r="Y39" s="3880"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80"/>
      <c r="Q40" s="1385" t="str">
        <f t="shared" si="8"/>
        <v>市政基础设施</v>
      </c>
      <c r="R40" s="1386" t="s">
        <v>5</v>
      </c>
      <c r="S40" s="1387">
        <f t="shared" si="9"/>
        <v>100</v>
      </c>
      <c r="T40" s="1386" t="s">
        <v>5</v>
      </c>
      <c r="U40" s="1387">
        <f t="shared" si="10"/>
        <v>100</v>
      </c>
      <c r="V40" s="1386" t="s">
        <v>5</v>
      </c>
      <c r="W40" s="1387">
        <f t="shared" si="11"/>
        <v>100</v>
      </c>
      <c r="X40" s="1380"/>
      <c r="Y40" s="3880"/>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80"/>
      <c r="Q41" s="1385" t="str">
        <f t="shared" si="8"/>
        <v>层高</v>
      </c>
      <c r="R41" s="1386" t="s">
        <v>5</v>
      </c>
      <c r="S41" s="1387">
        <f t="shared" si="9"/>
        <v>100</v>
      </c>
      <c r="T41" s="1386" t="s">
        <v>5</v>
      </c>
      <c r="U41" s="1387">
        <f t="shared" si="10"/>
        <v>100</v>
      </c>
      <c r="V41" s="1386" t="s">
        <v>5</v>
      </c>
      <c r="W41" s="1387">
        <f t="shared" si="11"/>
        <v>100</v>
      </c>
      <c r="X41" s="1380"/>
      <c r="Y41" s="3880"/>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80"/>
      <c r="Q42" s="1414" t="str">
        <f t="shared" si="8"/>
        <v>单套建筑面积</v>
      </c>
      <c r="R42" s="1390" t="s">
        <v>5</v>
      </c>
      <c r="S42" s="1391">
        <f t="shared" si="9"/>
        <v>100</v>
      </c>
      <c r="T42" s="1390" t="s">
        <v>5</v>
      </c>
      <c r="U42" s="1391">
        <f t="shared" si="10"/>
        <v>100</v>
      </c>
      <c r="V42" s="1390" t="s">
        <v>5</v>
      </c>
      <c r="W42" s="1391">
        <f t="shared" si="11"/>
        <v>100</v>
      </c>
      <c r="X42" s="1392"/>
      <c r="Y42" s="3880"/>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80"/>
      <c r="Q43" s="1385" t="str">
        <f t="shared" si="8"/>
        <v>内部装修</v>
      </c>
      <c r="R43" s="1386" t="s">
        <v>5</v>
      </c>
      <c r="S43" s="1387">
        <f t="shared" si="9"/>
        <v>100</v>
      </c>
      <c r="T43" s="1386" t="s">
        <v>5</v>
      </c>
      <c r="U43" s="1387">
        <f t="shared" si="10"/>
        <v>100</v>
      </c>
      <c r="V43" s="1386" t="s">
        <v>5</v>
      </c>
      <c r="W43" s="1387">
        <f t="shared" si="11"/>
        <v>100</v>
      </c>
      <c r="X43" s="1380"/>
      <c r="Y43" s="3880"/>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80"/>
      <c r="Q44" s="1385" t="str">
        <f t="shared" si="8"/>
        <v>内部装修维护情况</v>
      </c>
      <c r="R44" s="1386" t="s">
        <v>5</v>
      </c>
      <c r="S44" s="1387">
        <f t="shared" si="9"/>
        <v>100</v>
      </c>
      <c r="T44" s="1386" t="s">
        <v>5</v>
      </c>
      <c r="U44" s="1387">
        <f t="shared" si="10"/>
        <v>100</v>
      </c>
      <c r="V44" s="1386" t="s">
        <v>5</v>
      </c>
      <c r="W44" s="1387">
        <f t="shared" si="11"/>
        <v>100</v>
      </c>
      <c r="X44" s="1380"/>
      <c r="Y44" s="3880"/>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80"/>
      <c r="Q45" s="1050">
        <f t="shared" si="8"/>
        <v>111</v>
      </c>
      <c r="R45" s="1381" t="s">
        <v>5</v>
      </c>
      <c r="S45" s="1382">
        <f t="shared" si="9"/>
        <v>100</v>
      </c>
      <c r="T45" s="1381" t="s">
        <v>5</v>
      </c>
      <c r="U45" s="1382">
        <f t="shared" si="10"/>
        <v>100</v>
      </c>
      <c r="V45" s="1381" t="s">
        <v>5</v>
      </c>
      <c r="W45" s="1382">
        <f t="shared" si="11"/>
        <v>100</v>
      </c>
      <c r="X45" s="1383"/>
      <c r="Y45" s="3880"/>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80"/>
      <c r="Q46" s="1385">
        <f t="shared" si="8"/>
        <v>111</v>
      </c>
      <c r="R46" s="1386" t="s">
        <v>5</v>
      </c>
      <c r="S46" s="1387">
        <f t="shared" si="9"/>
        <v>100</v>
      </c>
      <c r="T46" s="1386" t="s">
        <v>5</v>
      </c>
      <c r="U46" s="1387">
        <f t="shared" si="10"/>
        <v>100</v>
      </c>
      <c r="V46" s="1386" t="s">
        <v>5</v>
      </c>
      <c r="W46" s="1387">
        <f t="shared" si="11"/>
        <v>100</v>
      </c>
      <c r="X46" s="1380"/>
      <c r="Y46" s="3880"/>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90"/>
      <c r="Q47" s="1385">
        <f t="shared" si="8"/>
        <v>111</v>
      </c>
      <c r="R47" s="1386" t="s">
        <v>5</v>
      </c>
      <c r="S47" s="1387">
        <f t="shared" si="9"/>
        <v>100</v>
      </c>
      <c r="T47" s="1386" t="s">
        <v>5</v>
      </c>
      <c r="U47" s="1387">
        <f t="shared" si="10"/>
        <v>100</v>
      </c>
      <c r="V47" s="1386" t="s">
        <v>5</v>
      </c>
      <c r="W47" s="1387">
        <f t="shared" si="11"/>
        <v>100</v>
      </c>
      <c r="X47" s="1380"/>
      <c r="Y47" s="3990"/>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82" t="str">
        <f>A48</f>
        <v>成交单价（元/平方米）</v>
      </c>
      <c r="Q48" s="3875"/>
      <c r="R48" s="3989">
        <f>E48</f>
        <v>0</v>
      </c>
      <c r="S48" s="3989"/>
      <c r="T48" s="3989">
        <f>G48</f>
        <v>0</v>
      </c>
      <c r="U48" s="3989"/>
      <c r="V48" s="3989">
        <f>I48</f>
        <v>0</v>
      </c>
      <c r="W48" s="3989"/>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82" t="str">
        <f>A49</f>
        <v>比较价格（元/平方米）</v>
      </c>
      <c r="Q49" s="3875"/>
      <c r="R49" s="3989" t="e">
        <f>IF(F1="售价",ROUND(PRODUCT(R48,AA7:AA47),0),ROUND(PRODUCT(R48,AA7:AA47),1))</f>
        <v>#DIV/0!</v>
      </c>
      <c r="S49" s="3989"/>
      <c r="T49" s="3989" t="e">
        <f>IF(F1="售价",ROUND(PRODUCT(T48,AB7:AB47),0),ROUND(PRODUCT(T48,AB7:AB47),1))</f>
        <v>#DIV/0!</v>
      </c>
      <c r="U49" s="3989"/>
      <c r="V49" s="3989" t="e">
        <f>IF(F1="售价",ROUND(PRODUCT(V48,AC7:AC47),0),ROUND(PRODUCT(V48,AC7:AC47),1))</f>
        <v>#DIV/0!</v>
      </c>
      <c r="W49" s="3989"/>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94" t="str">
        <f>A50</f>
        <v>估价对象XX用房的比较价格（楼面单价，元/平方米）</v>
      </c>
      <c r="Q50" s="3882"/>
      <c r="R50" s="3988" t="e">
        <f>IF(F1="售价",ROUND(IF(D49="简单平均",AVERAGE(R49:V49),R49*F49+T49*H49+V49*J49),0),ROUND(IF(D49="简单平均",AVERAGE(R49:V49),R49*F49+T49*H49+V49*J49),1))</f>
        <v>#DIV/0!</v>
      </c>
      <c r="S50" s="3988"/>
      <c r="T50" s="3988"/>
      <c r="U50" s="3988"/>
      <c r="V50" s="3988"/>
      <c r="W50" s="3988"/>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2024-7</v>
      </c>
      <c r="D59" s="2284">
        <f>EDATE(C59,-1)</f>
        <v>45444</v>
      </c>
      <c r="E59" s="2284">
        <f t="shared" ref="E59:O59" si="13">EDATE(D59,-1)</f>
        <v>45413</v>
      </c>
      <c r="F59" s="2284">
        <f t="shared" si="13"/>
        <v>45383</v>
      </c>
      <c r="G59" s="2284">
        <f t="shared" si="13"/>
        <v>45352</v>
      </c>
      <c r="H59" s="2284">
        <f t="shared" si="13"/>
        <v>45323</v>
      </c>
      <c r="I59" s="2284">
        <f t="shared" si="13"/>
        <v>45292</v>
      </c>
      <c r="J59" s="2284">
        <f t="shared" si="13"/>
        <v>45261</v>
      </c>
      <c r="K59" s="2284">
        <f t="shared" si="13"/>
        <v>45231</v>
      </c>
      <c r="L59" s="2284">
        <f t="shared" si="13"/>
        <v>45200</v>
      </c>
      <c r="M59" s="2284">
        <f t="shared" si="13"/>
        <v>45170</v>
      </c>
      <c r="N59" s="2284">
        <f t="shared" si="13"/>
        <v>45139</v>
      </c>
      <c r="O59" s="2284">
        <f t="shared" si="13"/>
        <v>45108</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J42" sqref="J4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83" t="s">
        <v>471</v>
      </c>
      <c r="D4" s="3884"/>
      <c r="E4" s="3905" t="s">
        <v>472</v>
      </c>
      <c r="F4" s="3906"/>
      <c r="G4" s="3883" t="s">
        <v>473</v>
      </c>
      <c r="H4" s="3884"/>
      <c r="I4" s="3883" t="s">
        <v>474</v>
      </c>
      <c r="J4" s="3884"/>
      <c r="K4" s="484" t="s">
        <v>475</v>
      </c>
      <c r="L4" s="1856"/>
      <c r="M4" s="1857"/>
      <c r="N4" s="1857"/>
      <c r="O4" s="1857"/>
      <c r="P4" s="3885" t="s">
        <v>476</v>
      </c>
      <c r="Q4" s="3886"/>
      <c r="R4" s="3869" t="s">
        <v>472</v>
      </c>
      <c r="S4" s="3870"/>
      <c r="T4" s="3869" t="s">
        <v>473</v>
      </c>
      <c r="U4" s="3870"/>
      <c r="V4" s="3891" t="s">
        <v>474</v>
      </c>
      <c r="W4" s="3891"/>
      <c r="X4" s="1380"/>
      <c r="Y4" s="3869" t="s">
        <v>476</v>
      </c>
      <c r="Z4" s="3870"/>
      <c r="AA4" s="3864" t="s">
        <v>472</v>
      </c>
      <c r="AB4" s="3865" t="s">
        <v>473</v>
      </c>
      <c r="AC4" s="3864" t="s">
        <v>474</v>
      </c>
    </row>
    <row r="5" spans="1:29" ht="15">
      <c r="A5" s="485"/>
      <c r="B5" s="486"/>
      <c r="C5" s="3894" t="s">
        <v>2192</v>
      </c>
      <c r="D5" s="3895"/>
      <c r="E5" s="3907" t="s">
        <v>2193</v>
      </c>
      <c r="F5" s="3908"/>
      <c r="G5" s="3894" t="s">
        <v>2194</v>
      </c>
      <c r="H5" s="3895"/>
      <c r="I5" s="3894" t="s">
        <v>2195</v>
      </c>
      <c r="J5" s="3895"/>
      <c r="K5" s="484"/>
      <c r="L5" s="1856"/>
      <c r="M5" s="1857"/>
      <c r="N5" s="1857"/>
      <c r="O5" s="1857"/>
      <c r="P5" s="3887"/>
      <c r="Q5" s="3888"/>
      <c r="R5" s="3871"/>
      <c r="S5" s="3872"/>
      <c r="T5" s="3871"/>
      <c r="U5" s="3872"/>
      <c r="V5" s="3891"/>
      <c r="W5" s="3891"/>
      <c r="X5" s="1380"/>
      <c r="Y5" s="3871"/>
      <c r="Z5" s="3872"/>
      <c r="AA5" s="3865"/>
      <c r="AB5" s="3865"/>
      <c r="AC5" s="3865"/>
    </row>
    <row r="6" spans="1:29" ht="15.75" thickBot="1">
      <c r="A6" s="487"/>
      <c r="B6" s="488"/>
      <c r="C6" s="3892" t="s">
        <v>2196</v>
      </c>
      <c r="D6" s="3893"/>
      <c r="E6" s="3909" t="s">
        <v>2196</v>
      </c>
      <c r="F6" s="3910"/>
      <c r="G6" s="3892" t="s">
        <v>2196</v>
      </c>
      <c r="H6" s="3893"/>
      <c r="I6" s="3892" t="s">
        <v>2196</v>
      </c>
      <c r="J6" s="3893"/>
      <c r="K6" s="484" t="s">
        <v>477</v>
      </c>
      <c r="L6" s="1856"/>
      <c r="M6" s="1857"/>
      <c r="N6" s="1857"/>
      <c r="O6" s="1857"/>
      <c r="P6" s="3889"/>
      <c r="Q6" s="3890"/>
      <c r="R6" s="3871"/>
      <c r="S6" s="3872"/>
      <c r="T6" s="3873"/>
      <c r="U6" s="3874"/>
      <c r="V6" s="3891"/>
      <c r="W6" s="3891"/>
      <c r="X6" s="1380"/>
      <c r="Y6" s="3873"/>
      <c r="Z6" s="3874"/>
      <c r="AA6" s="3866"/>
      <c r="AB6" s="3866"/>
      <c r="AC6" s="3866"/>
    </row>
    <row r="7" spans="1:29" s="1118" customFormat="1" ht="15.75" thickBot="1">
      <c r="A7" s="2392"/>
      <c r="B7" s="2399" t="s">
        <v>478</v>
      </c>
      <c r="C7" s="489">
        <f>'数据-取费表'!B2</f>
        <v>45499</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67" t="s">
        <v>479</v>
      </c>
      <c r="Q7" s="3876"/>
      <c r="R7" s="1381" t="s">
        <v>5</v>
      </c>
      <c r="S7" s="1382">
        <f t="shared" ref="S7:S15" si="0">F7</f>
        <v>0</v>
      </c>
      <c r="T7" s="1381" t="s">
        <v>5</v>
      </c>
      <c r="U7" s="1382">
        <f t="shared" ref="U7:U15" si="1">H7</f>
        <v>0</v>
      </c>
      <c r="V7" s="1381" t="s">
        <v>5</v>
      </c>
      <c r="W7" s="1382">
        <f t="shared" ref="W7:W15"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67" t="s">
        <v>482</v>
      </c>
      <c r="Q8" s="3868"/>
      <c r="R8" s="1381" t="s">
        <v>5</v>
      </c>
      <c r="S8" s="1382">
        <f t="shared" si="0"/>
        <v>0</v>
      </c>
      <c r="T8" s="1381" t="s">
        <v>5</v>
      </c>
      <c r="U8" s="1382">
        <f t="shared" si="1"/>
        <v>0</v>
      </c>
      <c r="V8" s="1381" t="s">
        <v>5</v>
      </c>
      <c r="W8" s="1382">
        <f t="shared" si="2"/>
        <v>0</v>
      </c>
      <c r="X8" s="1383"/>
      <c r="Y8" s="3867" t="s">
        <v>482</v>
      </c>
      <c r="Z8" s="3868"/>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75" t="s">
        <v>484</v>
      </c>
      <c r="Q9" s="1050" t="str">
        <f t="shared" ref="Q9:Q15" si="6">B9</f>
        <v>用途</v>
      </c>
      <c r="R9" s="1381" t="s">
        <v>5</v>
      </c>
      <c r="S9" s="1382">
        <f t="shared" si="0"/>
        <v>100</v>
      </c>
      <c r="T9" s="1381" t="s">
        <v>5</v>
      </c>
      <c r="U9" s="1382">
        <f t="shared" si="1"/>
        <v>100</v>
      </c>
      <c r="V9" s="1381" t="s">
        <v>5</v>
      </c>
      <c r="W9" s="1382">
        <f t="shared" si="2"/>
        <v>100</v>
      </c>
      <c r="X9" s="1383"/>
      <c r="Y9" s="382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75"/>
      <c r="Q10" s="1050" t="str">
        <f t="shared" si="6"/>
        <v>土地使用年限（年）</v>
      </c>
      <c r="R10" s="1381" t="s">
        <v>5</v>
      </c>
      <c r="S10" s="1382">
        <f t="shared" si="0"/>
        <v>100</v>
      </c>
      <c r="T10" s="1381" t="s">
        <v>5</v>
      </c>
      <c r="U10" s="1382">
        <f t="shared" si="1"/>
        <v>100</v>
      </c>
      <c r="V10" s="1381" t="s">
        <v>5</v>
      </c>
      <c r="W10" s="1382">
        <f t="shared" si="2"/>
        <v>100</v>
      </c>
      <c r="X10" s="1383"/>
      <c r="Y10" s="382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75"/>
      <c r="Q11" s="1050" t="str">
        <f t="shared" si="6"/>
        <v>容积率</v>
      </c>
      <c r="R11" s="1381" t="s">
        <v>5</v>
      </c>
      <c r="S11" s="1382" t="e">
        <f t="shared" si="0"/>
        <v>#N/A</v>
      </c>
      <c r="T11" s="1381" t="s">
        <v>5</v>
      </c>
      <c r="U11" s="1382" t="e">
        <f t="shared" si="1"/>
        <v>#N/A</v>
      </c>
      <c r="V11" s="1381" t="s">
        <v>5</v>
      </c>
      <c r="W11" s="1382" t="e">
        <f t="shared" si="2"/>
        <v>#N/A</v>
      </c>
      <c r="X11" s="1383"/>
      <c r="Y11" s="382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75"/>
      <c r="Q12" s="1050">
        <f t="shared" si="6"/>
        <v>111</v>
      </c>
      <c r="R12" s="1381" t="s">
        <v>5</v>
      </c>
      <c r="S12" s="1382">
        <f t="shared" si="0"/>
        <v>100</v>
      </c>
      <c r="T12" s="1381" t="s">
        <v>5</v>
      </c>
      <c r="U12" s="1382">
        <f t="shared" si="1"/>
        <v>100</v>
      </c>
      <c r="V12" s="1381" t="s">
        <v>5</v>
      </c>
      <c r="W12" s="1382">
        <f t="shared" si="2"/>
        <v>100</v>
      </c>
      <c r="X12" s="1383"/>
      <c r="Y12" s="3823"/>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75"/>
      <c r="Q13" s="1050">
        <f t="shared" si="6"/>
        <v>111</v>
      </c>
      <c r="R13" s="1381" t="s">
        <v>5</v>
      </c>
      <c r="S13" s="1382">
        <f t="shared" si="0"/>
        <v>100</v>
      </c>
      <c r="T13" s="1381" t="s">
        <v>5</v>
      </c>
      <c r="U13" s="1382">
        <f t="shared" si="1"/>
        <v>100</v>
      </c>
      <c r="V13" s="1381" t="s">
        <v>5</v>
      </c>
      <c r="W13" s="1382">
        <f t="shared" si="2"/>
        <v>100</v>
      </c>
      <c r="X13" s="1383"/>
      <c r="Y13" s="3823"/>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75"/>
      <c r="Q14" s="1050">
        <f t="shared" si="6"/>
        <v>111</v>
      </c>
      <c r="R14" s="1381" t="s">
        <v>5</v>
      </c>
      <c r="S14" s="1382">
        <f t="shared" si="0"/>
        <v>100</v>
      </c>
      <c r="T14" s="1381" t="s">
        <v>5</v>
      </c>
      <c r="U14" s="1382">
        <f t="shared" si="1"/>
        <v>100</v>
      </c>
      <c r="V14" s="1381" t="s">
        <v>5</v>
      </c>
      <c r="W14" s="1382">
        <f t="shared" si="2"/>
        <v>100</v>
      </c>
      <c r="X14" s="1383"/>
      <c r="Y14" s="3823"/>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7" t="s">
        <v>489</v>
      </c>
      <c r="Q15" s="1385" t="str">
        <f t="shared" si="6"/>
        <v>产业集聚程度</v>
      </c>
      <c r="R15" s="1386" t="s">
        <v>5</v>
      </c>
      <c r="S15" s="1387">
        <f t="shared" si="0"/>
        <v>100</v>
      </c>
      <c r="T15" s="1386" t="s">
        <v>5</v>
      </c>
      <c r="U15" s="1387">
        <f t="shared" si="1"/>
        <v>100</v>
      </c>
      <c r="V15" s="1386" t="s">
        <v>5</v>
      </c>
      <c r="W15" s="1387">
        <f t="shared" si="2"/>
        <v>100</v>
      </c>
      <c r="X15" s="1380"/>
      <c r="Y15" s="3877"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8"/>
      <c r="Q16" s="1385"/>
      <c r="R16" s="1386"/>
      <c r="S16" s="1387"/>
      <c r="T16" s="1386"/>
      <c r="U16" s="1387"/>
      <c r="V16" s="1386"/>
      <c r="W16" s="1387"/>
      <c r="X16" s="1380"/>
      <c r="Y16" s="3878"/>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8"/>
      <c r="Q17" s="1385" t="str">
        <f>B17</f>
        <v>交通便捷度</v>
      </c>
      <c r="R17" s="1386" t="s">
        <v>5</v>
      </c>
      <c r="S17" s="1387">
        <f>F17</f>
        <v>100</v>
      </c>
      <c r="T17" s="1386" t="s">
        <v>5</v>
      </c>
      <c r="U17" s="1387">
        <f>H17</f>
        <v>100</v>
      </c>
      <c r="V17" s="1386" t="s">
        <v>5</v>
      </c>
      <c r="W17" s="1387">
        <f>J17</f>
        <v>100</v>
      </c>
      <c r="X17" s="1380"/>
      <c r="Y17" s="387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8"/>
      <c r="Q18" s="1385"/>
      <c r="R18" s="1386"/>
      <c r="S18" s="1387"/>
      <c r="T18" s="1386"/>
      <c r="U18" s="1387"/>
      <c r="V18" s="1386"/>
      <c r="W18" s="1387"/>
      <c r="X18" s="1380"/>
      <c r="Y18" s="3878"/>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8"/>
      <c r="Q19" s="1385" t="str">
        <f>B19</f>
        <v>公共配套设施</v>
      </c>
      <c r="R19" s="1386" t="s">
        <v>5</v>
      </c>
      <c r="S19" s="1387">
        <f>F19</f>
        <v>100</v>
      </c>
      <c r="T19" s="1386" t="s">
        <v>5</v>
      </c>
      <c r="U19" s="1387">
        <f>H19</f>
        <v>100</v>
      </c>
      <c r="V19" s="1386" t="s">
        <v>5</v>
      </c>
      <c r="W19" s="1387">
        <f>J19</f>
        <v>100</v>
      </c>
      <c r="X19" s="1380"/>
      <c r="Y19" s="3878"/>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8"/>
      <c r="Q20" s="1385"/>
      <c r="R20" s="1386"/>
      <c r="S20" s="1387"/>
      <c r="T20" s="1386"/>
      <c r="U20" s="1387"/>
      <c r="V20" s="1386"/>
      <c r="W20" s="1387"/>
      <c r="X20" s="1380"/>
      <c r="Y20" s="3878"/>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8"/>
      <c r="Q21" s="2193" t="str">
        <f>B21</f>
        <v>基础设施水平</v>
      </c>
      <c r="R21" s="1386" t="s">
        <v>5</v>
      </c>
      <c r="S21" s="1387">
        <f>F21</f>
        <v>100</v>
      </c>
      <c r="T21" s="1386" t="s">
        <v>5</v>
      </c>
      <c r="U21" s="1387">
        <f>H21</f>
        <v>100</v>
      </c>
      <c r="V21" s="1386" t="s">
        <v>5</v>
      </c>
      <c r="W21" s="1387">
        <f>J21</f>
        <v>100</v>
      </c>
      <c r="X21" s="2195"/>
      <c r="Y21" s="3878"/>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8"/>
      <c r="Q22" s="2193"/>
      <c r="R22" s="1386"/>
      <c r="S22" s="1387"/>
      <c r="T22" s="1386"/>
      <c r="U22" s="1387"/>
      <c r="V22" s="1386"/>
      <c r="W22" s="1387"/>
      <c r="X22" s="2195"/>
      <c r="Y22" s="3878"/>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8"/>
      <c r="Q23" s="1385" t="str">
        <f>B23</f>
        <v>环境质量</v>
      </c>
      <c r="R23" s="1386" t="s">
        <v>5</v>
      </c>
      <c r="S23" s="1387">
        <f>F23</f>
        <v>100</v>
      </c>
      <c r="T23" s="1386" t="s">
        <v>5</v>
      </c>
      <c r="U23" s="1387">
        <f>H23</f>
        <v>100</v>
      </c>
      <c r="V23" s="1386" t="s">
        <v>5</v>
      </c>
      <c r="W23" s="1387">
        <f>J23</f>
        <v>100</v>
      </c>
      <c r="X23" s="1380"/>
      <c r="Y23" s="3878"/>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8"/>
      <c r="Q24" s="1385"/>
      <c r="R24" s="1386"/>
      <c r="S24" s="1387"/>
      <c r="T24" s="1386"/>
      <c r="U24" s="1387"/>
      <c r="V24" s="1386"/>
      <c r="W24" s="1387"/>
      <c r="X24" s="1380"/>
      <c r="Y24" s="3878"/>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8"/>
      <c r="Q25" s="1385">
        <f>B25</f>
        <v>111</v>
      </c>
      <c r="R25" s="1386" t="s">
        <v>5</v>
      </c>
      <c r="S25" s="1387">
        <f>F25</f>
        <v>100</v>
      </c>
      <c r="T25" s="1386" t="s">
        <v>5</v>
      </c>
      <c r="U25" s="1387">
        <f>H25</f>
        <v>100</v>
      </c>
      <c r="V25" s="1386" t="s">
        <v>5</v>
      </c>
      <c r="W25" s="1387">
        <f>J25</f>
        <v>100</v>
      </c>
      <c r="X25" s="1380"/>
      <c r="Y25" s="3878"/>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8"/>
      <c r="Q26" s="1385">
        <f t="shared" ref="Q26:Q40" si="8">B26</f>
        <v>111</v>
      </c>
      <c r="R26" s="1386" t="s">
        <v>5</v>
      </c>
      <c r="S26" s="1387">
        <f>F26</f>
        <v>100</v>
      </c>
      <c r="T26" s="1386" t="s">
        <v>5</v>
      </c>
      <c r="U26" s="1387">
        <f>H26</f>
        <v>100</v>
      </c>
      <c r="V26" s="1386" t="s">
        <v>5</v>
      </c>
      <c r="W26" s="1387">
        <f>J26</f>
        <v>100</v>
      </c>
      <c r="X26" s="1380"/>
      <c r="Y26" s="3878"/>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8"/>
      <c r="Q27" s="1050">
        <f t="shared" si="8"/>
        <v>111</v>
      </c>
      <c r="R27" s="1381" t="s">
        <v>5</v>
      </c>
      <c r="S27" s="1382">
        <f>F27</f>
        <v>100</v>
      </c>
      <c r="T27" s="1381" t="s">
        <v>5</v>
      </c>
      <c r="U27" s="1382">
        <f>H27</f>
        <v>100</v>
      </c>
      <c r="V27" s="1381" t="s">
        <v>5</v>
      </c>
      <c r="W27" s="1382">
        <f>J27</f>
        <v>100</v>
      </c>
      <c r="X27" s="1383"/>
      <c r="Y27" s="3878"/>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8"/>
      <c r="Q28" s="1385">
        <f t="shared" si="8"/>
        <v>111</v>
      </c>
      <c r="R28" s="1386" t="s">
        <v>5</v>
      </c>
      <c r="S28" s="1387">
        <f t="shared" ref="S28:S40" si="9">F28</f>
        <v>100</v>
      </c>
      <c r="T28" s="1386" t="s">
        <v>5</v>
      </c>
      <c r="U28" s="1387">
        <f t="shared" ref="U28:U40" si="10">H28</f>
        <v>100</v>
      </c>
      <c r="V28" s="1386" t="s">
        <v>5</v>
      </c>
      <c r="W28" s="1387">
        <f t="shared" ref="W28:W40" si="11">J28</f>
        <v>100</v>
      </c>
      <c r="X28" s="1380"/>
      <c r="Y28" s="3878"/>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9" t="s">
        <v>499</v>
      </c>
      <c r="Q29" s="1385" t="str">
        <f t="shared" si="8"/>
        <v>建筑类型</v>
      </c>
      <c r="R29" s="1386" t="s">
        <v>5</v>
      </c>
      <c r="S29" s="1387">
        <f t="shared" si="9"/>
        <v>100</v>
      </c>
      <c r="T29" s="1386" t="s">
        <v>5</v>
      </c>
      <c r="U29" s="1387">
        <f t="shared" si="10"/>
        <v>100</v>
      </c>
      <c r="V29" s="1386" t="s">
        <v>5</v>
      </c>
      <c r="W29" s="1387">
        <f t="shared" si="11"/>
        <v>100</v>
      </c>
      <c r="X29" s="1380"/>
      <c r="Y29" s="3880"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80"/>
      <c r="Q30" s="1414" t="str">
        <f t="shared" si="8"/>
        <v>项目建筑规模</v>
      </c>
      <c r="R30" s="1390" t="s">
        <v>5</v>
      </c>
      <c r="S30" s="1391" t="e">
        <f t="shared" si="9"/>
        <v>#N/A</v>
      </c>
      <c r="T30" s="1390" t="s">
        <v>5</v>
      </c>
      <c r="U30" s="1391" t="e">
        <f t="shared" si="10"/>
        <v>#N/A</v>
      </c>
      <c r="V30" s="1390" t="s">
        <v>5</v>
      </c>
      <c r="W30" s="1391" t="e">
        <f t="shared" si="11"/>
        <v>#N/A</v>
      </c>
      <c r="X30" s="1392"/>
      <c r="Y30" s="3880"/>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80"/>
      <c r="Q31" s="1385" t="str">
        <f t="shared" si="8"/>
        <v>建筑结构</v>
      </c>
      <c r="R31" s="1386" t="s">
        <v>5</v>
      </c>
      <c r="S31" s="1387">
        <f t="shared" si="9"/>
        <v>100</v>
      </c>
      <c r="T31" s="1386" t="s">
        <v>5</v>
      </c>
      <c r="U31" s="1387">
        <f t="shared" si="10"/>
        <v>100</v>
      </c>
      <c r="V31" s="1386" t="s">
        <v>5</v>
      </c>
      <c r="W31" s="1387">
        <f t="shared" si="11"/>
        <v>100</v>
      </c>
      <c r="X31" s="1380"/>
      <c r="Y31" s="3880"/>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80"/>
      <c r="Q32" s="1385" t="str">
        <f t="shared" si="8"/>
        <v>公共部分装修</v>
      </c>
      <c r="R32" s="1386" t="s">
        <v>5</v>
      </c>
      <c r="S32" s="1387">
        <f t="shared" si="9"/>
        <v>100</v>
      </c>
      <c r="T32" s="1386" t="s">
        <v>5</v>
      </c>
      <c r="U32" s="1387">
        <f t="shared" si="10"/>
        <v>100</v>
      </c>
      <c r="V32" s="1386" t="s">
        <v>5</v>
      </c>
      <c r="W32" s="1387">
        <f t="shared" si="11"/>
        <v>100</v>
      </c>
      <c r="X32" s="1380"/>
      <c r="Y32" s="3880"/>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80"/>
      <c r="Q33" s="1385" t="str">
        <f t="shared" si="8"/>
        <v>成新度</v>
      </c>
      <c r="R33" s="1386" t="s">
        <v>5</v>
      </c>
      <c r="S33" s="1387" t="e">
        <f t="shared" si="9"/>
        <v>#N/A</v>
      </c>
      <c r="T33" s="1386" t="s">
        <v>5</v>
      </c>
      <c r="U33" s="1387" t="e">
        <f t="shared" si="10"/>
        <v>#N/A</v>
      </c>
      <c r="V33" s="1386" t="s">
        <v>5</v>
      </c>
      <c r="W33" s="1387" t="e">
        <f t="shared" si="11"/>
        <v>#N/A</v>
      </c>
      <c r="X33" s="1380"/>
      <c r="Y33" s="3880"/>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80"/>
      <c r="Q34" s="1050" t="str">
        <f t="shared" si="8"/>
        <v>物业管理</v>
      </c>
      <c r="R34" s="1381" t="s">
        <v>5</v>
      </c>
      <c r="S34" s="1382">
        <f t="shared" si="9"/>
        <v>100</v>
      </c>
      <c r="T34" s="1381" t="s">
        <v>5</v>
      </c>
      <c r="U34" s="1382">
        <f t="shared" si="10"/>
        <v>100</v>
      </c>
      <c r="V34" s="1381" t="s">
        <v>5</v>
      </c>
      <c r="W34" s="1382">
        <f t="shared" si="11"/>
        <v>100</v>
      </c>
      <c r="X34" s="1383"/>
      <c r="Y34" s="3880"/>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80" t="s">
        <v>499</v>
      </c>
      <c r="Q35" s="1385" t="str">
        <f t="shared" si="8"/>
        <v>市政基础设施</v>
      </c>
      <c r="R35" s="1386" t="s">
        <v>5</v>
      </c>
      <c r="S35" s="1387">
        <f t="shared" si="9"/>
        <v>100</v>
      </c>
      <c r="T35" s="1386" t="s">
        <v>5</v>
      </c>
      <c r="U35" s="1387">
        <f t="shared" si="10"/>
        <v>100</v>
      </c>
      <c r="V35" s="1386" t="s">
        <v>5</v>
      </c>
      <c r="W35" s="1387">
        <f t="shared" si="11"/>
        <v>100</v>
      </c>
      <c r="X35" s="1380"/>
      <c r="Y35" s="3880"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80"/>
      <c r="Q36" s="1385" t="str">
        <f t="shared" si="8"/>
        <v>内部装修</v>
      </c>
      <c r="R36" s="1386" t="s">
        <v>5</v>
      </c>
      <c r="S36" s="1387">
        <f t="shared" si="9"/>
        <v>100</v>
      </c>
      <c r="T36" s="1386" t="s">
        <v>5</v>
      </c>
      <c r="U36" s="1387">
        <f t="shared" si="10"/>
        <v>100</v>
      </c>
      <c r="V36" s="1386" t="s">
        <v>5</v>
      </c>
      <c r="W36" s="1387">
        <f t="shared" si="11"/>
        <v>100</v>
      </c>
      <c r="X36" s="1380"/>
      <c r="Y36" s="3880"/>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80"/>
      <c r="Q37" s="1385" t="str">
        <f t="shared" si="8"/>
        <v>内部装修状况</v>
      </c>
      <c r="R37" s="1386" t="s">
        <v>5</v>
      </c>
      <c r="S37" s="1387">
        <f t="shared" si="9"/>
        <v>100</v>
      </c>
      <c r="T37" s="1386" t="s">
        <v>5</v>
      </c>
      <c r="U37" s="1387">
        <f t="shared" si="10"/>
        <v>100</v>
      </c>
      <c r="V37" s="1386" t="s">
        <v>5</v>
      </c>
      <c r="W37" s="1387">
        <f t="shared" si="11"/>
        <v>100</v>
      </c>
      <c r="X37" s="1380"/>
      <c r="Y37" s="3880"/>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80"/>
      <c r="Q38" s="1414">
        <f t="shared" si="8"/>
        <v>111</v>
      </c>
      <c r="R38" s="1390" t="s">
        <v>5</v>
      </c>
      <c r="S38" s="1391">
        <f t="shared" si="9"/>
        <v>100</v>
      </c>
      <c r="T38" s="1390" t="s">
        <v>5</v>
      </c>
      <c r="U38" s="1391">
        <f t="shared" si="10"/>
        <v>100</v>
      </c>
      <c r="V38" s="1390" t="s">
        <v>5</v>
      </c>
      <c r="W38" s="1391">
        <f t="shared" si="11"/>
        <v>100</v>
      </c>
      <c r="X38" s="1392"/>
      <c r="Y38" s="3880"/>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80"/>
      <c r="Q39" s="1385">
        <f t="shared" si="8"/>
        <v>111</v>
      </c>
      <c r="R39" s="1386" t="s">
        <v>5</v>
      </c>
      <c r="S39" s="1387">
        <f t="shared" si="9"/>
        <v>100</v>
      </c>
      <c r="T39" s="1386" t="s">
        <v>5</v>
      </c>
      <c r="U39" s="1387">
        <f t="shared" si="10"/>
        <v>100</v>
      </c>
      <c r="V39" s="1386" t="s">
        <v>5</v>
      </c>
      <c r="W39" s="1387">
        <f t="shared" si="11"/>
        <v>100</v>
      </c>
      <c r="X39" s="1380"/>
      <c r="Y39" s="3880"/>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90"/>
      <c r="Q40" s="1385">
        <f t="shared" si="8"/>
        <v>111</v>
      </c>
      <c r="R40" s="1386" t="s">
        <v>5</v>
      </c>
      <c r="S40" s="1387">
        <f t="shared" si="9"/>
        <v>100</v>
      </c>
      <c r="T40" s="1386" t="s">
        <v>5</v>
      </c>
      <c r="U40" s="1387">
        <f t="shared" si="10"/>
        <v>100</v>
      </c>
      <c r="V40" s="1386" t="s">
        <v>5</v>
      </c>
      <c r="W40" s="1387">
        <f t="shared" si="11"/>
        <v>100</v>
      </c>
      <c r="X40" s="1380"/>
      <c r="Y40" s="3990"/>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75" t="str">
        <f>A41</f>
        <v>成交单价（元/平方米）</v>
      </c>
      <c r="Q41" s="3875"/>
      <c r="R41" s="3989">
        <f>E41</f>
        <v>0</v>
      </c>
      <c r="S41" s="3989"/>
      <c r="T41" s="3989">
        <f>G41</f>
        <v>0</v>
      </c>
      <c r="U41" s="3989"/>
      <c r="V41" s="3989">
        <f>I41</f>
        <v>0</v>
      </c>
      <c r="W41" s="3989"/>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75" t="str">
        <f>A42</f>
        <v>比较价格（元/平方米）</v>
      </c>
      <c r="Q42" s="3875"/>
      <c r="R42" s="3989" t="e">
        <f>IF(F1="售价",ROUND(PRODUCT(R41,AA7:AA40),0),ROUND(PRODUCT(R41,AA7:AA40),1))</f>
        <v>#DIV/0!</v>
      </c>
      <c r="S42" s="3989"/>
      <c r="T42" s="3989" t="e">
        <f>IF(F1="售价",ROUND(PRODUCT(T41,AB7:AB40),0),ROUND(PRODUCT(T41,AB7:AB40),1))</f>
        <v>#DIV/0!</v>
      </c>
      <c r="U42" s="3989"/>
      <c r="V42" s="3989" t="e">
        <f>IF(F1="售价",ROUND(PRODUCT(V41,AC7:AC40),0),ROUND(PRODUCT(V41,AC7:AC40),1))</f>
        <v>#DIV/0!</v>
      </c>
      <c r="W42" s="3989"/>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81" t="str">
        <f>A43</f>
        <v>估价对象XX用房的比较价格（楼面单价，元/平方米）</v>
      </c>
      <c r="Q43" s="3882"/>
      <c r="R43" s="3988" t="e">
        <f>IF(F1="售价",ROUND(IF(D42="简单平均",AVERAGE(R42:V42),R42*F42+T42*H42+V42*J42),0),ROUND(IF(D42="简单平均",AVERAGE(R42:V42),R42*F42+T42*H42+V42*J42),1))</f>
        <v>#DIV/0!</v>
      </c>
      <c r="S43" s="3988"/>
      <c r="T43" s="3988"/>
      <c r="U43" s="3988"/>
      <c r="V43" s="3988"/>
      <c r="W43" s="3988"/>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2024-7</v>
      </c>
      <c r="D52" s="2284">
        <f>EDATE(C52,-1)</f>
        <v>45444</v>
      </c>
      <c r="E52" s="2284">
        <f t="shared" ref="E52:O52" si="13">EDATE(D52,-1)</f>
        <v>45413</v>
      </c>
      <c r="F52" s="2284">
        <f t="shared" si="13"/>
        <v>45383</v>
      </c>
      <c r="G52" s="2284">
        <f t="shared" si="13"/>
        <v>45352</v>
      </c>
      <c r="H52" s="2284">
        <f t="shared" si="13"/>
        <v>45323</v>
      </c>
      <c r="I52" s="2284">
        <f t="shared" si="13"/>
        <v>45292</v>
      </c>
      <c r="J52" s="2284">
        <f t="shared" si="13"/>
        <v>45261</v>
      </c>
      <c r="K52" s="2284">
        <f t="shared" si="13"/>
        <v>45231</v>
      </c>
      <c r="L52" s="2284">
        <f t="shared" si="13"/>
        <v>45200</v>
      </c>
      <c r="M52" s="2284">
        <f t="shared" si="13"/>
        <v>45170</v>
      </c>
      <c r="N52" s="2284">
        <f t="shared" si="13"/>
        <v>45139</v>
      </c>
      <c r="O52" s="2284">
        <f t="shared" si="13"/>
        <v>45108</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J42" sqref="J4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83" t="s">
        <v>738</v>
      </c>
      <c r="D4" s="3884"/>
      <c r="E4" s="3883" t="s">
        <v>739</v>
      </c>
      <c r="F4" s="3884"/>
      <c r="G4" s="3883" t="s">
        <v>740</v>
      </c>
      <c r="H4" s="3884"/>
      <c r="I4" s="3883" t="s">
        <v>741</v>
      </c>
      <c r="J4" s="3884"/>
      <c r="K4" s="484" t="s">
        <v>742</v>
      </c>
      <c r="L4" s="1856"/>
      <c r="M4" s="1857"/>
      <c r="N4" s="1857"/>
      <c r="O4" s="1857"/>
      <c r="P4" s="3885" t="s">
        <v>743</v>
      </c>
      <c r="Q4" s="3886"/>
      <c r="R4" s="3869" t="s">
        <v>739</v>
      </c>
      <c r="S4" s="3870"/>
      <c r="T4" s="3869" t="s">
        <v>740</v>
      </c>
      <c r="U4" s="3870"/>
      <c r="V4" s="3891" t="s">
        <v>741</v>
      </c>
      <c r="W4" s="3891"/>
      <c r="X4" s="1380"/>
      <c r="Y4" s="3869" t="s">
        <v>743</v>
      </c>
      <c r="Z4" s="3870"/>
      <c r="AA4" s="3864" t="s">
        <v>739</v>
      </c>
      <c r="AB4" s="3865" t="s">
        <v>740</v>
      </c>
      <c r="AC4" s="3864" t="s">
        <v>741</v>
      </c>
    </row>
    <row r="5" spans="1:29" ht="15">
      <c r="A5" s="485"/>
      <c r="B5" s="486"/>
      <c r="C5" s="3894" t="s">
        <v>2192</v>
      </c>
      <c r="D5" s="3895"/>
      <c r="E5" s="3894" t="s">
        <v>2193</v>
      </c>
      <c r="F5" s="3895"/>
      <c r="G5" s="3894" t="s">
        <v>2194</v>
      </c>
      <c r="H5" s="3895"/>
      <c r="I5" s="3894" t="s">
        <v>2195</v>
      </c>
      <c r="J5" s="3895"/>
      <c r="K5" s="484"/>
      <c r="L5" s="1856"/>
      <c r="M5" s="1857"/>
      <c r="N5" s="1857"/>
      <c r="O5" s="1857"/>
      <c r="P5" s="3887"/>
      <c r="Q5" s="3888"/>
      <c r="R5" s="3871"/>
      <c r="S5" s="3872"/>
      <c r="T5" s="3871"/>
      <c r="U5" s="3872"/>
      <c r="V5" s="3891"/>
      <c r="W5" s="3891"/>
      <c r="X5" s="1380"/>
      <c r="Y5" s="3871"/>
      <c r="Z5" s="3872"/>
      <c r="AA5" s="3865"/>
      <c r="AB5" s="3865"/>
      <c r="AC5" s="3865"/>
    </row>
    <row r="6" spans="1:29" ht="15.75" thickBot="1">
      <c r="A6" s="487"/>
      <c r="B6" s="488"/>
      <c r="C6" s="3892" t="s">
        <v>2196</v>
      </c>
      <c r="D6" s="3893"/>
      <c r="E6" s="3896" t="s">
        <v>2196</v>
      </c>
      <c r="F6" s="3897"/>
      <c r="G6" s="3892" t="s">
        <v>2196</v>
      </c>
      <c r="H6" s="3893"/>
      <c r="I6" s="3892" t="s">
        <v>2196</v>
      </c>
      <c r="J6" s="3893"/>
      <c r="K6" s="484" t="s">
        <v>477</v>
      </c>
      <c r="L6" s="1856"/>
      <c r="M6" s="1857"/>
      <c r="N6" s="1857"/>
      <c r="O6" s="1857"/>
      <c r="P6" s="3889"/>
      <c r="Q6" s="3890"/>
      <c r="R6" s="3871"/>
      <c r="S6" s="3872"/>
      <c r="T6" s="3873"/>
      <c r="U6" s="3874"/>
      <c r="V6" s="3891"/>
      <c r="W6" s="3891"/>
      <c r="X6" s="1380"/>
      <c r="Y6" s="3873"/>
      <c r="Z6" s="3874"/>
      <c r="AA6" s="3866"/>
      <c r="AB6" s="3866"/>
      <c r="AC6" s="3866"/>
    </row>
    <row r="7" spans="1:29" s="1118" customFormat="1" ht="15.75" thickBot="1">
      <c r="A7" s="2392"/>
      <c r="B7" s="2399" t="s">
        <v>478</v>
      </c>
      <c r="C7" s="489">
        <f>'数据-取费表'!B2</f>
        <v>45499</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67" t="s">
        <v>479</v>
      </c>
      <c r="Q7" s="3876"/>
      <c r="R7" s="1381" t="s">
        <v>5</v>
      </c>
      <c r="S7" s="1382">
        <f t="shared" ref="S7:S14" si="0">F7</f>
        <v>0</v>
      </c>
      <c r="T7" s="1381" t="s">
        <v>5</v>
      </c>
      <c r="U7" s="1382">
        <f t="shared" ref="U7:U14" si="1">H7</f>
        <v>0</v>
      </c>
      <c r="V7" s="1381" t="s">
        <v>5</v>
      </c>
      <c r="W7" s="1382">
        <f t="shared" ref="W7:W14"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67" t="s">
        <v>482</v>
      </c>
      <c r="Q8" s="3868"/>
      <c r="R8" s="1381" t="s">
        <v>5</v>
      </c>
      <c r="S8" s="1382">
        <f t="shared" si="0"/>
        <v>0</v>
      </c>
      <c r="T8" s="1381" t="s">
        <v>5</v>
      </c>
      <c r="U8" s="1382">
        <f t="shared" si="1"/>
        <v>0</v>
      </c>
      <c r="V8" s="1381" t="s">
        <v>5</v>
      </c>
      <c r="W8" s="1382">
        <f t="shared" si="2"/>
        <v>0</v>
      </c>
      <c r="X8" s="1383"/>
      <c r="Y8" s="3867" t="s">
        <v>482</v>
      </c>
      <c r="Z8" s="3868"/>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75" t="s">
        <v>484</v>
      </c>
      <c r="Q9" s="1050" t="str">
        <f t="shared" ref="Q9:Q14" si="6">B9</f>
        <v>用途</v>
      </c>
      <c r="R9" s="1381" t="s">
        <v>5</v>
      </c>
      <c r="S9" s="1382">
        <f t="shared" si="0"/>
        <v>100</v>
      </c>
      <c r="T9" s="1381" t="s">
        <v>5</v>
      </c>
      <c r="U9" s="1382">
        <f t="shared" si="1"/>
        <v>100</v>
      </c>
      <c r="V9" s="1381" t="s">
        <v>5</v>
      </c>
      <c r="W9" s="1382">
        <f t="shared" si="2"/>
        <v>100</v>
      </c>
      <c r="X9" s="1383"/>
      <c r="Y9" s="3823"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75"/>
      <c r="Q10" s="1050" t="str">
        <f t="shared" si="6"/>
        <v>土地使用年限（年）</v>
      </c>
      <c r="R10" s="1381" t="s">
        <v>5</v>
      </c>
      <c r="S10" s="1382">
        <f t="shared" si="0"/>
        <v>100</v>
      </c>
      <c r="T10" s="1381" t="s">
        <v>5</v>
      </c>
      <c r="U10" s="1382">
        <f t="shared" si="1"/>
        <v>100</v>
      </c>
      <c r="V10" s="1381" t="s">
        <v>5</v>
      </c>
      <c r="W10" s="1382">
        <f t="shared" si="2"/>
        <v>100</v>
      </c>
      <c r="X10" s="1383"/>
      <c r="Y10" s="3823"/>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75"/>
      <c r="Q11" s="1050">
        <f t="shared" si="6"/>
        <v>111</v>
      </c>
      <c r="R11" s="1381" t="s">
        <v>5</v>
      </c>
      <c r="S11" s="1382">
        <f t="shared" si="0"/>
        <v>100</v>
      </c>
      <c r="T11" s="1381" t="s">
        <v>5</v>
      </c>
      <c r="U11" s="1382">
        <f t="shared" si="1"/>
        <v>100</v>
      </c>
      <c r="V11" s="1381" t="s">
        <v>5</v>
      </c>
      <c r="W11" s="1382">
        <f t="shared" si="2"/>
        <v>100</v>
      </c>
      <c r="X11" s="1383"/>
      <c r="Y11" s="3823"/>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75"/>
      <c r="Q12" s="1050">
        <f t="shared" si="6"/>
        <v>111</v>
      </c>
      <c r="R12" s="1381" t="s">
        <v>5</v>
      </c>
      <c r="S12" s="1382">
        <f t="shared" si="0"/>
        <v>100</v>
      </c>
      <c r="T12" s="1381" t="s">
        <v>5</v>
      </c>
      <c r="U12" s="1382">
        <f t="shared" si="1"/>
        <v>100</v>
      </c>
      <c r="V12" s="1381" t="s">
        <v>5</v>
      </c>
      <c r="W12" s="1382">
        <f t="shared" si="2"/>
        <v>100</v>
      </c>
      <c r="X12" s="1383"/>
      <c r="Y12" s="3823"/>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75"/>
      <c r="Q13" s="1050">
        <f t="shared" si="6"/>
        <v>111</v>
      </c>
      <c r="R13" s="1381" t="s">
        <v>5</v>
      </c>
      <c r="S13" s="1382">
        <f t="shared" si="0"/>
        <v>100</v>
      </c>
      <c r="T13" s="1381" t="s">
        <v>5</v>
      </c>
      <c r="U13" s="1382">
        <f t="shared" si="1"/>
        <v>100</v>
      </c>
      <c r="V13" s="1381" t="s">
        <v>5</v>
      </c>
      <c r="W13" s="1382">
        <f t="shared" si="2"/>
        <v>100</v>
      </c>
      <c r="X13" s="1383"/>
      <c r="Y13" s="3823"/>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7" t="s">
        <v>489</v>
      </c>
      <c r="Q14" s="1385" t="str">
        <f t="shared" si="6"/>
        <v>交通便捷度</v>
      </c>
      <c r="R14" s="1386" t="s">
        <v>5</v>
      </c>
      <c r="S14" s="1387">
        <f t="shared" si="0"/>
        <v>100</v>
      </c>
      <c r="T14" s="1386" t="s">
        <v>5</v>
      </c>
      <c r="U14" s="1387">
        <f t="shared" si="1"/>
        <v>100</v>
      </c>
      <c r="V14" s="1386" t="s">
        <v>5</v>
      </c>
      <c r="W14" s="1387">
        <f t="shared" si="2"/>
        <v>100</v>
      </c>
      <c r="X14" s="1380"/>
      <c r="Y14" s="3877"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8"/>
      <c r="Q15" s="1385"/>
      <c r="R15" s="1386"/>
      <c r="S15" s="1387"/>
      <c r="T15" s="1386"/>
      <c r="U15" s="1387"/>
      <c r="V15" s="1386"/>
      <c r="W15" s="1387"/>
      <c r="X15" s="1380"/>
      <c r="Y15" s="3878"/>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8"/>
      <c r="Q16" s="1385" t="str">
        <f>B16</f>
        <v>公共配套设施</v>
      </c>
      <c r="R16" s="1386" t="s">
        <v>5</v>
      </c>
      <c r="S16" s="1387">
        <f>F16</f>
        <v>100</v>
      </c>
      <c r="T16" s="1386" t="s">
        <v>5</v>
      </c>
      <c r="U16" s="1387">
        <f>H16</f>
        <v>100</v>
      </c>
      <c r="V16" s="1386" t="s">
        <v>5</v>
      </c>
      <c r="W16" s="1387">
        <f>J16</f>
        <v>100</v>
      </c>
      <c r="X16" s="1380"/>
      <c r="Y16" s="3878"/>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8"/>
      <c r="Q17" s="1385"/>
      <c r="R17" s="1386"/>
      <c r="S17" s="1387"/>
      <c r="T17" s="1386"/>
      <c r="U17" s="1387"/>
      <c r="V17" s="1386"/>
      <c r="W17" s="1387"/>
      <c r="X17" s="1380"/>
      <c r="Y17" s="3878"/>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8"/>
      <c r="Q18" s="2193" t="str">
        <f>B18</f>
        <v>基础设施水平</v>
      </c>
      <c r="R18" s="1386" t="s">
        <v>5</v>
      </c>
      <c r="S18" s="1387">
        <f>F18</f>
        <v>100</v>
      </c>
      <c r="T18" s="1386" t="s">
        <v>5</v>
      </c>
      <c r="U18" s="1387">
        <f>H18</f>
        <v>100</v>
      </c>
      <c r="V18" s="1386" t="s">
        <v>5</v>
      </c>
      <c r="W18" s="1387">
        <f>J18</f>
        <v>100</v>
      </c>
      <c r="X18" s="2195"/>
      <c r="Y18" s="3878"/>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8"/>
      <c r="Q19" s="2193"/>
      <c r="R19" s="1386"/>
      <c r="S19" s="1387"/>
      <c r="T19" s="1386"/>
      <c r="U19" s="1387"/>
      <c r="V19" s="1386"/>
      <c r="W19" s="1387"/>
      <c r="X19" s="2195"/>
      <c r="Y19" s="3878"/>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8"/>
      <c r="Q20" s="1385" t="str">
        <f>B20</f>
        <v>自然及人文环境</v>
      </c>
      <c r="R20" s="1386" t="s">
        <v>5</v>
      </c>
      <c r="S20" s="1387">
        <f>F20</f>
        <v>100</v>
      </c>
      <c r="T20" s="1386" t="s">
        <v>5</v>
      </c>
      <c r="U20" s="1387">
        <f>H20</f>
        <v>100</v>
      </c>
      <c r="V20" s="1386" t="s">
        <v>5</v>
      </c>
      <c r="W20" s="1387">
        <f>J20</f>
        <v>100</v>
      </c>
      <c r="X20" s="1380"/>
      <c r="Y20" s="3878"/>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8"/>
      <c r="Q21" s="1385"/>
      <c r="R21" s="1386"/>
      <c r="S21" s="1387"/>
      <c r="T21" s="1386"/>
      <c r="U21" s="1387"/>
      <c r="V21" s="1386"/>
      <c r="W21" s="1387"/>
      <c r="X21" s="1380"/>
      <c r="Y21" s="3878"/>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8"/>
      <c r="Q22" s="1385" t="str">
        <f>B22</f>
        <v>楼层</v>
      </c>
      <c r="R22" s="1386" t="s">
        <v>5</v>
      </c>
      <c r="S22" s="1387">
        <f>F22</f>
        <v>100</v>
      </c>
      <c r="T22" s="1386" t="s">
        <v>5</v>
      </c>
      <c r="U22" s="1387">
        <f>H22</f>
        <v>100</v>
      </c>
      <c r="V22" s="1386" t="s">
        <v>5</v>
      </c>
      <c r="W22" s="1387">
        <f>J22</f>
        <v>100</v>
      </c>
      <c r="X22" s="1380"/>
      <c r="Y22" s="3878"/>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8"/>
      <c r="Q23" s="1385">
        <f>B23</f>
        <v>111</v>
      </c>
      <c r="R23" s="1386" t="s">
        <v>5</v>
      </c>
      <c r="S23" s="1387">
        <f>F23</f>
        <v>100</v>
      </c>
      <c r="T23" s="1386" t="s">
        <v>5</v>
      </c>
      <c r="U23" s="1387">
        <f>H23</f>
        <v>100</v>
      </c>
      <c r="V23" s="1386" t="s">
        <v>5</v>
      </c>
      <c r="W23" s="1387">
        <f>J23</f>
        <v>100</v>
      </c>
      <c r="X23" s="1380"/>
      <c r="Y23" s="3878"/>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8"/>
      <c r="Q24" s="1385">
        <f t="shared" ref="Q24:Q36" si="8">B24</f>
        <v>111</v>
      </c>
      <c r="R24" s="1386" t="s">
        <v>5</v>
      </c>
      <c r="S24" s="1387">
        <f>F24</f>
        <v>100</v>
      </c>
      <c r="T24" s="1386" t="s">
        <v>5</v>
      </c>
      <c r="U24" s="1387">
        <f>H24</f>
        <v>100</v>
      </c>
      <c r="V24" s="1386" t="s">
        <v>5</v>
      </c>
      <c r="W24" s="1387">
        <f>J24</f>
        <v>100</v>
      </c>
      <c r="X24" s="1380"/>
      <c r="Y24" s="3878"/>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8"/>
      <c r="Q25" s="1050">
        <f t="shared" si="8"/>
        <v>111</v>
      </c>
      <c r="R25" s="1381" t="s">
        <v>5</v>
      </c>
      <c r="S25" s="1382">
        <f>F25</f>
        <v>100</v>
      </c>
      <c r="T25" s="1381" t="s">
        <v>5</v>
      </c>
      <c r="U25" s="1382">
        <f>H25</f>
        <v>100</v>
      </c>
      <c r="V25" s="1381" t="s">
        <v>5</v>
      </c>
      <c r="W25" s="1382">
        <f>J25</f>
        <v>100</v>
      </c>
      <c r="X25" s="1383"/>
      <c r="Y25" s="3878"/>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9"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80"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80"/>
      <c r="Q27" s="1414" t="str">
        <f t="shared" si="8"/>
        <v>项目停车位配比</v>
      </c>
      <c r="R27" s="1390" t="s">
        <v>5</v>
      </c>
      <c r="S27" s="1391">
        <f t="shared" si="9"/>
        <v>100</v>
      </c>
      <c r="T27" s="1390" t="s">
        <v>5</v>
      </c>
      <c r="U27" s="1391">
        <f t="shared" si="10"/>
        <v>100</v>
      </c>
      <c r="V27" s="1390" t="s">
        <v>5</v>
      </c>
      <c r="W27" s="1391">
        <f t="shared" si="11"/>
        <v>100</v>
      </c>
      <c r="X27" s="1392"/>
      <c r="Y27" s="3880"/>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80"/>
      <c r="Q28" s="1385" t="str">
        <f t="shared" si="8"/>
        <v>公共部分装修</v>
      </c>
      <c r="R28" s="1386" t="s">
        <v>5</v>
      </c>
      <c r="S28" s="1387">
        <f t="shared" si="9"/>
        <v>100</v>
      </c>
      <c r="T28" s="1386" t="s">
        <v>5</v>
      </c>
      <c r="U28" s="1387">
        <f t="shared" si="10"/>
        <v>100</v>
      </c>
      <c r="V28" s="1386" t="s">
        <v>5</v>
      </c>
      <c r="W28" s="1387">
        <f t="shared" si="11"/>
        <v>100</v>
      </c>
      <c r="X28" s="1380"/>
      <c r="Y28" s="3880"/>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80"/>
      <c r="Q29" s="1385" t="str">
        <f t="shared" si="8"/>
        <v>成新率</v>
      </c>
      <c r="R29" s="1386" t="s">
        <v>5</v>
      </c>
      <c r="S29" s="1387" t="e">
        <f t="shared" si="9"/>
        <v>#N/A</v>
      </c>
      <c r="T29" s="1386" t="s">
        <v>5</v>
      </c>
      <c r="U29" s="1387" t="e">
        <f t="shared" si="10"/>
        <v>#N/A</v>
      </c>
      <c r="V29" s="1386" t="s">
        <v>5</v>
      </c>
      <c r="W29" s="1387" t="e">
        <f t="shared" si="11"/>
        <v>#N/A</v>
      </c>
      <c r="X29" s="1380"/>
      <c r="Y29" s="3880"/>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80"/>
      <c r="Q30" s="1385" t="str">
        <f t="shared" si="8"/>
        <v>物业等级</v>
      </c>
      <c r="R30" s="1386" t="s">
        <v>5</v>
      </c>
      <c r="S30" s="1387">
        <f t="shared" si="9"/>
        <v>100</v>
      </c>
      <c r="T30" s="1386" t="s">
        <v>5</v>
      </c>
      <c r="U30" s="1387">
        <f t="shared" si="10"/>
        <v>100</v>
      </c>
      <c r="V30" s="1386" t="s">
        <v>5</v>
      </c>
      <c r="W30" s="1387">
        <f t="shared" si="11"/>
        <v>100</v>
      </c>
      <c r="X30" s="1380"/>
      <c r="Y30" s="3880"/>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80"/>
      <c r="Q31" s="1050" t="str">
        <f t="shared" si="8"/>
        <v>停车位面积</v>
      </c>
      <c r="R31" s="1381" t="s">
        <v>5</v>
      </c>
      <c r="S31" s="1382" t="e">
        <f t="shared" si="9"/>
        <v>#N/A</v>
      </c>
      <c r="T31" s="1381" t="s">
        <v>5</v>
      </c>
      <c r="U31" s="1382" t="e">
        <f t="shared" si="10"/>
        <v>#N/A</v>
      </c>
      <c r="V31" s="1381" t="s">
        <v>5</v>
      </c>
      <c r="W31" s="1382" t="e">
        <f t="shared" si="11"/>
        <v>#N/A</v>
      </c>
      <c r="X31" s="1383"/>
      <c r="Y31" s="3880"/>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80" t="s">
        <v>499</v>
      </c>
      <c r="Q32" s="1385" t="str">
        <f t="shared" si="8"/>
        <v>车位类型</v>
      </c>
      <c r="R32" s="1386" t="s">
        <v>5</v>
      </c>
      <c r="S32" s="1387">
        <f t="shared" si="9"/>
        <v>100</v>
      </c>
      <c r="T32" s="1386" t="s">
        <v>5</v>
      </c>
      <c r="U32" s="1387">
        <f t="shared" si="10"/>
        <v>100</v>
      </c>
      <c r="V32" s="1386" t="s">
        <v>5</v>
      </c>
      <c r="W32" s="1387">
        <f t="shared" si="11"/>
        <v>100</v>
      </c>
      <c r="X32" s="1380"/>
      <c r="Y32" s="3880"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80"/>
      <c r="Q33" s="1385" t="str">
        <f t="shared" si="8"/>
        <v>是否直接入户</v>
      </c>
      <c r="R33" s="1386" t="s">
        <v>5</v>
      </c>
      <c r="S33" s="1387">
        <f t="shared" si="9"/>
        <v>100</v>
      </c>
      <c r="T33" s="1386" t="s">
        <v>5</v>
      </c>
      <c r="U33" s="1387">
        <f t="shared" si="10"/>
        <v>100</v>
      </c>
      <c r="V33" s="1386" t="s">
        <v>5</v>
      </c>
      <c r="W33" s="1387">
        <f t="shared" si="11"/>
        <v>100</v>
      </c>
      <c r="X33" s="1380"/>
      <c r="Y33" s="3880"/>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80"/>
      <c r="Q34" s="1385">
        <f t="shared" si="8"/>
        <v>111</v>
      </c>
      <c r="R34" s="1386" t="s">
        <v>5</v>
      </c>
      <c r="S34" s="1387">
        <f t="shared" si="9"/>
        <v>100</v>
      </c>
      <c r="T34" s="1386" t="s">
        <v>5</v>
      </c>
      <c r="U34" s="1387">
        <f t="shared" si="10"/>
        <v>100</v>
      </c>
      <c r="V34" s="1386" t="s">
        <v>5</v>
      </c>
      <c r="W34" s="1387">
        <f t="shared" si="11"/>
        <v>100</v>
      </c>
      <c r="X34" s="1380"/>
      <c r="Y34" s="3880"/>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80"/>
      <c r="Q35" s="1414">
        <f t="shared" si="8"/>
        <v>111</v>
      </c>
      <c r="R35" s="1390" t="s">
        <v>5</v>
      </c>
      <c r="S35" s="1391">
        <f t="shared" si="9"/>
        <v>100</v>
      </c>
      <c r="T35" s="1390" t="s">
        <v>5</v>
      </c>
      <c r="U35" s="1391">
        <f t="shared" si="10"/>
        <v>100</v>
      </c>
      <c r="V35" s="1390" t="s">
        <v>5</v>
      </c>
      <c r="W35" s="1391">
        <f t="shared" si="11"/>
        <v>100</v>
      </c>
      <c r="X35" s="1392"/>
      <c r="Y35" s="3880"/>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80"/>
      <c r="Q36" s="1385">
        <f t="shared" si="8"/>
        <v>111</v>
      </c>
      <c r="R36" s="1386" t="s">
        <v>5</v>
      </c>
      <c r="S36" s="1387">
        <f t="shared" si="9"/>
        <v>100</v>
      </c>
      <c r="T36" s="1386" t="s">
        <v>5</v>
      </c>
      <c r="U36" s="1387">
        <f t="shared" si="10"/>
        <v>100</v>
      </c>
      <c r="V36" s="1386" t="s">
        <v>5</v>
      </c>
      <c r="W36" s="1387">
        <f t="shared" si="11"/>
        <v>100</v>
      </c>
      <c r="X36" s="1380"/>
      <c r="Y36" s="3880"/>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75" t="str">
        <f>A37</f>
        <v>成交单价</v>
      </c>
      <c r="Q37" s="3875"/>
      <c r="R37" s="3989">
        <f>E37</f>
        <v>0</v>
      </c>
      <c r="S37" s="3989"/>
      <c r="T37" s="3989">
        <f>G37</f>
        <v>0</v>
      </c>
      <c r="U37" s="3989"/>
      <c r="V37" s="3989">
        <f>I37</f>
        <v>0</v>
      </c>
      <c r="W37" s="3989"/>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75" t="str">
        <f>A38</f>
        <v>比较价格（元/平方米）</v>
      </c>
      <c r="Q38" s="3875"/>
      <c r="R38" s="3989" t="e">
        <f>IF(F1="售价",ROUND(PRODUCT(R37,AA7:AA36),0),ROUND(PRODUCT(R37,AA7:AA36),1))</f>
        <v>#DIV/0!</v>
      </c>
      <c r="S38" s="3989"/>
      <c r="T38" s="3989" t="e">
        <f>IF(F1="售价",ROUND(PRODUCT(T37,AB7:AB36),0),ROUND(PRODUCT(T37,AB7:AB36),1))</f>
        <v>#DIV/0!</v>
      </c>
      <c r="U38" s="3989"/>
      <c r="V38" s="3989" t="e">
        <f>IF(F1="售价",ROUND(PRODUCT(V37,AC7:AC36),0),ROUND(PRODUCT(V37,AC7:AC36),1))</f>
        <v>#DIV/0!</v>
      </c>
      <c r="W38" s="3989"/>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81" t="str">
        <f>A39</f>
        <v>估价对象XX用房的比较价格（楼面单价，元/平方米）</v>
      </c>
      <c r="Q39" s="3882"/>
      <c r="R39" s="3988" t="e">
        <f>IF(F1="售价",ROUND(IF(D38="简单平均",AVERAGE(R38:W38),R38*F38+T38*H38+V38*J38),0),ROUND(IF(D38="简单平均",AVERAGE(R38:V38),R38*F38+T38*H38+V38*J38),1))</f>
        <v>#DIV/0!</v>
      </c>
      <c r="S39" s="3988"/>
      <c r="T39" s="3988"/>
      <c r="U39" s="3988"/>
      <c r="V39" s="3988"/>
      <c r="W39" s="3988"/>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2024-7</v>
      </c>
      <c r="D48" s="2284">
        <f>EDATE(C48,-1)</f>
        <v>45444</v>
      </c>
      <c r="E48" s="2284">
        <f t="shared" ref="E48:O48" si="13">EDATE(D48,-1)</f>
        <v>45413</v>
      </c>
      <c r="F48" s="2284">
        <f t="shared" si="13"/>
        <v>45383</v>
      </c>
      <c r="G48" s="2284">
        <f t="shared" si="13"/>
        <v>45352</v>
      </c>
      <c r="H48" s="2284">
        <f t="shared" si="13"/>
        <v>45323</v>
      </c>
      <c r="I48" s="2284">
        <f t="shared" si="13"/>
        <v>45292</v>
      </c>
      <c r="J48" s="2284">
        <f t="shared" si="13"/>
        <v>45261</v>
      </c>
      <c r="K48" s="2284">
        <f t="shared" si="13"/>
        <v>45231</v>
      </c>
      <c r="L48" s="2284">
        <f t="shared" si="13"/>
        <v>45200</v>
      </c>
      <c r="M48" s="2284">
        <f t="shared" si="13"/>
        <v>45170</v>
      </c>
      <c r="N48" s="2284">
        <f t="shared" si="13"/>
        <v>45139</v>
      </c>
      <c r="O48" s="2284">
        <f t="shared" si="13"/>
        <v>45108</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83" t="s">
        <v>738</v>
      </c>
      <c r="D4" s="3884"/>
      <c r="E4" s="3905" t="s">
        <v>739</v>
      </c>
      <c r="F4" s="3906"/>
      <c r="G4" s="3883" t="s">
        <v>740</v>
      </c>
      <c r="H4" s="3884"/>
      <c r="I4" s="3883" t="s">
        <v>741</v>
      </c>
      <c r="J4" s="3884"/>
      <c r="K4" s="484" t="s">
        <v>742</v>
      </c>
      <c r="L4" s="1856"/>
      <c r="M4" s="1857"/>
      <c r="N4" s="1857"/>
      <c r="O4" s="1857"/>
      <c r="P4" s="3885" t="s">
        <v>743</v>
      </c>
      <c r="Q4" s="3886"/>
      <c r="R4" s="3869" t="s">
        <v>739</v>
      </c>
      <c r="S4" s="3870"/>
      <c r="T4" s="3869" t="s">
        <v>740</v>
      </c>
      <c r="U4" s="3870"/>
      <c r="V4" s="3891" t="s">
        <v>741</v>
      </c>
      <c r="W4" s="3891"/>
      <c r="X4" s="1380"/>
      <c r="Y4" s="3869" t="s">
        <v>743</v>
      </c>
      <c r="Z4" s="3870"/>
      <c r="AA4" s="3864" t="s">
        <v>739</v>
      </c>
      <c r="AB4" s="3865" t="s">
        <v>740</v>
      </c>
      <c r="AC4" s="3864" t="s">
        <v>741</v>
      </c>
    </row>
    <row r="5" spans="1:29" ht="15">
      <c r="A5" s="485"/>
      <c r="B5" s="486"/>
      <c r="C5" s="3894" t="s">
        <v>2192</v>
      </c>
      <c r="D5" s="3895"/>
      <c r="E5" s="3907" t="s">
        <v>2193</v>
      </c>
      <c r="F5" s="3908"/>
      <c r="G5" s="3894" t="s">
        <v>2194</v>
      </c>
      <c r="H5" s="3895"/>
      <c r="I5" s="3894" t="s">
        <v>2195</v>
      </c>
      <c r="J5" s="3895"/>
      <c r="K5" s="484"/>
      <c r="L5" s="1856"/>
      <c r="M5" s="1857"/>
      <c r="N5" s="1857"/>
      <c r="O5" s="1857"/>
      <c r="P5" s="3887"/>
      <c r="Q5" s="3888"/>
      <c r="R5" s="3871"/>
      <c r="S5" s="3872"/>
      <c r="T5" s="3871"/>
      <c r="U5" s="3872"/>
      <c r="V5" s="3891"/>
      <c r="W5" s="3891"/>
      <c r="X5" s="1380"/>
      <c r="Y5" s="3871"/>
      <c r="Z5" s="3872"/>
      <c r="AA5" s="3865"/>
      <c r="AB5" s="3865"/>
      <c r="AC5" s="3865"/>
    </row>
    <row r="6" spans="1:29" ht="15.75" thickBot="1">
      <c r="A6" s="487"/>
      <c r="B6" s="488"/>
      <c r="C6" s="3892" t="s">
        <v>2196</v>
      </c>
      <c r="D6" s="3893"/>
      <c r="E6" s="3909" t="s">
        <v>2196</v>
      </c>
      <c r="F6" s="3910"/>
      <c r="G6" s="3892" t="s">
        <v>2196</v>
      </c>
      <c r="H6" s="3893"/>
      <c r="I6" s="3892" t="s">
        <v>2196</v>
      </c>
      <c r="J6" s="3893"/>
      <c r="K6" s="484" t="s">
        <v>477</v>
      </c>
      <c r="L6" s="1856"/>
      <c r="M6" s="1857"/>
      <c r="N6" s="1857"/>
      <c r="O6" s="1857"/>
      <c r="P6" s="3889"/>
      <c r="Q6" s="3890"/>
      <c r="R6" s="3871"/>
      <c r="S6" s="3872"/>
      <c r="T6" s="3873"/>
      <c r="U6" s="3874"/>
      <c r="V6" s="3891"/>
      <c r="W6" s="3891"/>
      <c r="X6" s="1380"/>
      <c r="Y6" s="3873"/>
      <c r="Z6" s="3874"/>
      <c r="AA6" s="3866"/>
      <c r="AB6" s="3866"/>
      <c r="AC6" s="3866"/>
    </row>
    <row r="7" spans="1:29" s="1118" customFormat="1" ht="15.75" thickBot="1">
      <c r="A7" s="2392"/>
      <c r="B7" s="2399" t="s">
        <v>478</v>
      </c>
      <c r="C7" s="489">
        <f>'数据-取费表'!B2</f>
        <v>45499</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67" t="s">
        <v>479</v>
      </c>
      <c r="Q7" s="3876"/>
      <c r="R7" s="1381" t="s">
        <v>5</v>
      </c>
      <c r="S7" s="1382">
        <f t="shared" ref="S7:S14" si="0">F7</f>
        <v>0</v>
      </c>
      <c r="T7" s="1381" t="s">
        <v>5</v>
      </c>
      <c r="U7" s="1382">
        <f t="shared" ref="U7:U14" si="1">H7</f>
        <v>0</v>
      </c>
      <c r="V7" s="1381" t="s">
        <v>5</v>
      </c>
      <c r="W7" s="1382">
        <f t="shared" ref="W7:W14"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67" t="s">
        <v>482</v>
      </c>
      <c r="Q8" s="3868"/>
      <c r="R8" s="1381" t="s">
        <v>5</v>
      </c>
      <c r="S8" s="1382">
        <f t="shared" si="0"/>
        <v>0</v>
      </c>
      <c r="T8" s="1381" t="s">
        <v>5</v>
      </c>
      <c r="U8" s="1382">
        <f t="shared" si="1"/>
        <v>0</v>
      </c>
      <c r="V8" s="1381" t="s">
        <v>5</v>
      </c>
      <c r="W8" s="1382">
        <f t="shared" si="2"/>
        <v>0</v>
      </c>
      <c r="X8" s="1383"/>
      <c r="Y8" s="3867" t="s">
        <v>482</v>
      </c>
      <c r="Z8" s="3868"/>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75" t="s">
        <v>484</v>
      </c>
      <c r="Q9" s="1050" t="str">
        <f t="shared" ref="Q9:Q14" si="6">B9</f>
        <v>用途</v>
      </c>
      <c r="R9" s="1381" t="s">
        <v>5</v>
      </c>
      <c r="S9" s="1382">
        <f t="shared" si="0"/>
        <v>100</v>
      </c>
      <c r="T9" s="1381" t="s">
        <v>5</v>
      </c>
      <c r="U9" s="1382">
        <f t="shared" si="1"/>
        <v>100</v>
      </c>
      <c r="V9" s="1381" t="s">
        <v>5</v>
      </c>
      <c r="W9" s="1382">
        <f t="shared" si="2"/>
        <v>100</v>
      </c>
      <c r="X9" s="1383"/>
      <c r="Y9" s="3823"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75"/>
      <c r="Q10" s="1050" t="str">
        <f t="shared" si="6"/>
        <v>土地使用年限（年）</v>
      </c>
      <c r="R10" s="1381" t="s">
        <v>5</v>
      </c>
      <c r="S10" s="1382">
        <f t="shared" si="0"/>
        <v>100</v>
      </c>
      <c r="T10" s="1381" t="s">
        <v>5</v>
      </c>
      <c r="U10" s="1382">
        <f t="shared" si="1"/>
        <v>100</v>
      </c>
      <c r="V10" s="1381" t="s">
        <v>5</v>
      </c>
      <c r="W10" s="1382">
        <f t="shared" si="2"/>
        <v>100</v>
      </c>
      <c r="X10" s="1383"/>
      <c r="Y10" s="3823"/>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75"/>
      <c r="Q11" s="1050">
        <f t="shared" si="6"/>
        <v>111</v>
      </c>
      <c r="R11" s="1381" t="s">
        <v>5</v>
      </c>
      <c r="S11" s="1382">
        <f t="shared" si="0"/>
        <v>100</v>
      </c>
      <c r="T11" s="1381" t="s">
        <v>5</v>
      </c>
      <c r="U11" s="1382">
        <f t="shared" si="1"/>
        <v>100</v>
      </c>
      <c r="V11" s="1381" t="s">
        <v>5</v>
      </c>
      <c r="W11" s="1382">
        <f t="shared" si="2"/>
        <v>100</v>
      </c>
      <c r="X11" s="1383"/>
      <c r="Y11" s="3823"/>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75"/>
      <c r="Q12" s="1050">
        <f t="shared" si="6"/>
        <v>111</v>
      </c>
      <c r="R12" s="1381" t="s">
        <v>5</v>
      </c>
      <c r="S12" s="1382">
        <f t="shared" si="0"/>
        <v>100</v>
      </c>
      <c r="T12" s="1381" t="s">
        <v>5</v>
      </c>
      <c r="U12" s="1382">
        <f t="shared" si="1"/>
        <v>100</v>
      </c>
      <c r="V12" s="1381" t="s">
        <v>5</v>
      </c>
      <c r="W12" s="1382">
        <f t="shared" si="2"/>
        <v>100</v>
      </c>
      <c r="X12" s="1383"/>
      <c r="Y12" s="3823"/>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75"/>
      <c r="Q13" s="1050">
        <f t="shared" si="6"/>
        <v>111</v>
      </c>
      <c r="R13" s="1381" t="s">
        <v>5</v>
      </c>
      <c r="S13" s="1382">
        <f t="shared" si="0"/>
        <v>100</v>
      </c>
      <c r="T13" s="1381" t="s">
        <v>5</v>
      </c>
      <c r="U13" s="1382">
        <f t="shared" si="1"/>
        <v>100</v>
      </c>
      <c r="V13" s="1381" t="s">
        <v>5</v>
      </c>
      <c r="W13" s="1382">
        <f t="shared" si="2"/>
        <v>100</v>
      </c>
      <c r="X13" s="1383"/>
      <c r="Y13" s="3823"/>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7" t="s">
        <v>489</v>
      </c>
      <c r="Q14" s="1385" t="str">
        <f t="shared" si="6"/>
        <v>交通便捷度</v>
      </c>
      <c r="R14" s="1386" t="s">
        <v>5</v>
      </c>
      <c r="S14" s="1387">
        <f t="shared" si="0"/>
        <v>100</v>
      </c>
      <c r="T14" s="1386" t="s">
        <v>5</v>
      </c>
      <c r="U14" s="1387">
        <f t="shared" si="1"/>
        <v>100</v>
      </c>
      <c r="V14" s="1386" t="s">
        <v>5</v>
      </c>
      <c r="W14" s="1387">
        <f t="shared" si="2"/>
        <v>100</v>
      </c>
      <c r="X14" s="1380"/>
      <c r="Y14" s="3877"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8"/>
      <c r="Q15" s="1385"/>
      <c r="R15" s="1386"/>
      <c r="S15" s="1387"/>
      <c r="T15" s="1386"/>
      <c r="U15" s="1387"/>
      <c r="V15" s="1386"/>
      <c r="W15" s="1387"/>
      <c r="X15" s="1380"/>
      <c r="Y15" s="3878"/>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8"/>
      <c r="Q16" s="1385" t="str">
        <f>B16</f>
        <v>公共配套设施</v>
      </c>
      <c r="R16" s="1386" t="s">
        <v>5</v>
      </c>
      <c r="S16" s="1387">
        <f>F16</f>
        <v>100</v>
      </c>
      <c r="T16" s="1386" t="s">
        <v>5</v>
      </c>
      <c r="U16" s="1387">
        <f>H16</f>
        <v>100</v>
      </c>
      <c r="V16" s="1386" t="s">
        <v>5</v>
      </c>
      <c r="W16" s="1387">
        <f>J16</f>
        <v>100</v>
      </c>
      <c r="X16" s="1380"/>
      <c r="Y16" s="3878"/>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8"/>
      <c r="Q17" s="1385"/>
      <c r="R17" s="1386"/>
      <c r="S17" s="1387"/>
      <c r="T17" s="1386"/>
      <c r="U17" s="1387"/>
      <c r="V17" s="1386"/>
      <c r="W17" s="1387"/>
      <c r="X17" s="1380"/>
      <c r="Y17" s="3878"/>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8"/>
      <c r="Q18" s="2193" t="str">
        <f>B18</f>
        <v>基础设施水平</v>
      </c>
      <c r="R18" s="1386" t="s">
        <v>5</v>
      </c>
      <c r="S18" s="1387">
        <f>F18</f>
        <v>100</v>
      </c>
      <c r="T18" s="1386" t="s">
        <v>5</v>
      </c>
      <c r="U18" s="1387">
        <f>H18</f>
        <v>100</v>
      </c>
      <c r="V18" s="1386" t="s">
        <v>5</v>
      </c>
      <c r="W18" s="1387">
        <f>J18</f>
        <v>100</v>
      </c>
      <c r="X18" s="2195"/>
      <c r="Y18" s="3878"/>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8"/>
      <c r="Q19" s="2193"/>
      <c r="R19" s="1386"/>
      <c r="S19" s="1387"/>
      <c r="T19" s="1386"/>
      <c r="U19" s="1387"/>
      <c r="V19" s="1386"/>
      <c r="W19" s="1387"/>
      <c r="X19" s="2195"/>
      <c r="Y19" s="3878"/>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8"/>
      <c r="Q20" s="1385" t="str">
        <f>B20</f>
        <v>自然及人文环境</v>
      </c>
      <c r="R20" s="1386" t="s">
        <v>5</v>
      </c>
      <c r="S20" s="1387">
        <f>F20</f>
        <v>100</v>
      </c>
      <c r="T20" s="1386" t="s">
        <v>5</v>
      </c>
      <c r="U20" s="1387">
        <f>H20</f>
        <v>100</v>
      </c>
      <c r="V20" s="1386" t="s">
        <v>5</v>
      </c>
      <c r="W20" s="1387">
        <f>J20</f>
        <v>100</v>
      </c>
      <c r="X20" s="1380"/>
      <c r="Y20" s="3878"/>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8"/>
      <c r="Q21" s="1385"/>
      <c r="R21" s="1386"/>
      <c r="S21" s="1387"/>
      <c r="T21" s="1386"/>
      <c r="U21" s="1387"/>
      <c r="V21" s="1386"/>
      <c r="W21" s="1387"/>
      <c r="X21" s="1380"/>
      <c r="Y21" s="3878"/>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8"/>
      <c r="Q22" s="1385" t="str">
        <f>B22</f>
        <v>楼层</v>
      </c>
      <c r="R22" s="1386" t="s">
        <v>5</v>
      </c>
      <c r="S22" s="1387">
        <f>F22</f>
        <v>100</v>
      </c>
      <c r="T22" s="1386" t="s">
        <v>5</v>
      </c>
      <c r="U22" s="1387">
        <f>H22</f>
        <v>100</v>
      </c>
      <c r="V22" s="1386" t="s">
        <v>5</v>
      </c>
      <c r="W22" s="1387">
        <f>J22</f>
        <v>100</v>
      </c>
      <c r="X22" s="1380"/>
      <c r="Y22" s="3878"/>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8"/>
      <c r="Q23" s="1385">
        <f>B23</f>
        <v>111</v>
      </c>
      <c r="R23" s="1386" t="s">
        <v>5</v>
      </c>
      <c r="S23" s="1387">
        <f>F23</f>
        <v>100</v>
      </c>
      <c r="T23" s="1386" t="s">
        <v>5</v>
      </c>
      <c r="U23" s="1387">
        <f>H23</f>
        <v>100</v>
      </c>
      <c r="V23" s="1386" t="s">
        <v>5</v>
      </c>
      <c r="W23" s="1387">
        <f>J23</f>
        <v>100</v>
      </c>
      <c r="X23" s="1380"/>
      <c r="Y23" s="3878"/>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8"/>
      <c r="Q24" s="1385">
        <f t="shared" ref="Q24:Q34" si="8">B24</f>
        <v>111</v>
      </c>
      <c r="R24" s="1386" t="s">
        <v>5</v>
      </c>
      <c r="S24" s="1387">
        <f>F24</f>
        <v>100</v>
      </c>
      <c r="T24" s="1386" t="s">
        <v>5</v>
      </c>
      <c r="U24" s="1387">
        <f>H24</f>
        <v>100</v>
      </c>
      <c r="V24" s="1386" t="s">
        <v>5</v>
      </c>
      <c r="W24" s="1387">
        <f>J24</f>
        <v>100</v>
      </c>
      <c r="X24" s="1380"/>
      <c r="Y24" s="3878"/>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8"/>
      <c r="Q25" s="1050">
        <f t="shared" si="8"/>
        <v>111</v>
      </c>
      <c r="R25" s="1381" t="s">
        <v>5</v>
      </c>
      <c r="S25" s="1382">
        <f>F25</f>
        <v>100</v>
      </c>
      <c r="T25" s="1381" t="s">
        <v>5</v>
      </c>
      <c r="U25" s="1382">
        <f>H25</f>
        <v>100</v>
      </c>
      <c r="V25" s="1381" t="s">
        <v>5</v>
      </c>
      <c r="W25" s="1382">
        <f>J25</f>
        <v>100</v>
      </c>
      <c r="X25" s="1383"/>
      <c r="Y25" s="3878"/>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9"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80"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80"/>
      <c r="Q27" s="1414" t="str">
        <f t="shared" si="8"/>
        <v>成新率</v>
      </c>
      <c r="R27" s="1390" t="s">
        <v>5</v>
      </c>
      <c r="S27" s="1391" t="e">
        <f t="shared" si="9"/>
        <v>#N/A</v>
      </c>
      <c r="T27" s="1390" t="s">
        <v>5</v>
      </c>
      <c r="U27" s="1391" t="e">
        <f t="shared" si="10"/>
        <v>#N/A</v>
      </c>
      <c r="V27" s="1390" t="s">
        <v>5</v>
      </c>
      <c r="W27" s="1391" t="e">
        <f t="shared" si="11"/>
        <v>#N/A</v>
      </c>
      <c r="X27" s="1392"/>
      <c r="Y27" s="3880"/>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80"/>
      <c r="Q28" s="1385" t="str">
        <f t="shared" si="8"/>
        <v>物业等级</v>
      </c>
      <c r="R28" s="1386" t="s">
        <v>5</v>
      </c>
      <c r="S28" s="1387">
        <f t="shared" si="9"/>
        <v>100</v>
      </c>
      <c r="T28" s="1386" t="s">
        <v>5</v>
      </c>
      <c r="U28" s="1387">
        <f t="shared" si="10"/>
        <v>100</v>
      </c>
      <c r="V28" s="1386" t="s">
        <v>5</v>
      </c>
      <c r="W28" s="1387">
        <f t="shared" si="11"/>
        <v>100</v>
      </c>
      <c r="X28" s="1380"/>
      <c r="Y28" s="3880"/>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80"/>
      <c r="Q29" s="1385" t="str">
        <f t="shared" si="8"/>
        <v>有无电梯</v>
      </c>
      <c r="R29" s="1386" t="s">
        <v>5</v>
      </c>
      <c r="S29" s="1387">
        <f t="shared" si="9"/>
        <v>100</v>
      </c>
      <c r="T29" s="1386" t="s">
        <v>5</v>
      </c>
      <c r="U29" s="1387">
        <f t="shared" si="10"/>
        <v>100</v>
      </c>
      <c r="V29" s="1386" t="s">
        <v>5</v>
      </c>
      <c r="W29" s="1387">
        <f t="shared" si="11"/>
        <v>100</v>
      </c>
      <c r="X29" s="1380"/>
      <c r="Y29" s="3880"/>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80"/>
      <c r="Q30" s="1385" t="str">
        <f t="shared" si="8"/>
        <v>建筑面积</v>
      </c>
      <c r="R30" s="1386" t="s">
        <v>5</v>
      </c>
      <c r="S30" s="1387" t="e">
        <f t="shared" si="9"/>
        <v>#N/A</v>
      </c>
      <c r="T30" s="1386" t="s">
        <v>5</v>
      </c>
      <c r="U30" s="1387" t="e">
        <f t="shared" si="10"/>
        <v>#N/A</v>
      </c>
      <c r="V30" s="1386" t="s">
        <v>5</v>
      </c>
      <c r="W30" s="1387" t="e">
        <f t="shared" si="11"/>
        <v>#N/A</v>
      </c>
      <c r="X30" s="1380"/>
      <c r="Y30" s="3880"/>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80"/>
      <c r="Q31" s="1050" t="str">
        <f t="shared" si="8"/>
        <v>是否封闭</v>
      </c>
      <c r="R31" s="1381" t="s">
        <v>5</v>
      </c>
      <c r="S31" s="1382">
        <f t="shared" si="9"/>
        <v>100</v>
      </c>
      <c r="T31" s="1381" t="s">
        <v>5</v>
      </c>
      <c r="U31" s="1382">
        <f t="shared" si="10"/>
        <v>100</v>
      </c>
      <c r="V31" s="1381" t="s">
        <v>5</v>
      </c>
      <c r="W31" s="1382">
        <f t="shared" si="11"/>
        <v>100</v>
      </c>
      <c r="X31" s="1383"/>
      <c r="Y31" s="3880"/>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80" t="s">
        <v>499</v>
      </c>
      <c r="Q32" s="1385">
        <f t="shared" si="8"/>
        <v>111</v>
      </c>
      <c r="R32" s="1386" t="s">
        <v>5</v>
      </c>
      <c r="S32" s="1387">
        <f t="shared" si="9"/>
        <v>100</v>
      </c>
      <c r="T32" s="1386" t="s">
        <v>5</v>
      </c>
      <c r="U32" s="1387">
        <f t="shared" si="10"/>
        <v>100</v>
      </c>
      <c r="V32" s="1386" t="s">
        <v>5</v>
      </c>
      <c r="W32" s="1387">
        <f t="shared" si="11"/>
        <v>100</v>
      </c>
      <c r="X32" s="1380"/>
      <c r="Y32" s="3880"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80"/>
      <c r="Q33" s="1385">
        <f t="shared" si="8"/>
        <v>111</v>
      </c>
      <c r="R33" s="1386" t="s">
        <v>5</v>
      </c>
      <c r="S33" s="1387">
        <f t="shared" si="9"/>
        <v>100</v>
      </c>
      <c r="T33" s="1386" t="s">
        <v>5</v>
      </c>
      <c r="U33" s="1387">
        <f t="shared" si="10"/>
        <v>100</v>
      </c>
      <c r="V33" s="1386" t="s">
        <v>5</v>
      </c>
      <c r="W33" s="1387">
        <f t="shared" si="11"/>
        <v>100</v>
      </c>
      <c r="X33" s="1380"/>
      <c r="Y33" s="3880"/>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80"/>
      <c r="Q34" s="1385">
        <f t="shared" si="8"/>
        <v>111</v>
      </c>
      <c r="R34" s="1386" t="s">
        <v>5</v>
      </c>
      <c r="S34" s="1387">
        <f t="shared" si="9"/>
        <v>100</v>
      </c>
      <c r="T34" s="1386" t="s">
        <v>5</v>
      </c>
      <c r="U34" s="1387">
        <f t="shared" si="10"/>
        <v>100</v>
      </c>
      <c r="V34" s="1386" t="s">
        <v>5</v>
      </c>
      <c r="W34" s="1387">
        <f t="shared" si="11"/>
        <v>100</v>
      </c>
      <c r="X34" s="1380"/>
      <c r="Y34" s="3880"/>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75" t="str">
        <f>A35</f>
        <v>成交单价（元/平方米）</v>
      </c>
      <c r="Q35" s="3875"/>
      <c r="R35" s="3989">
        <f>E35</f>
        <v>0</v>
      </c>
      <c r="S35" s="3989"/>
      <c r="T35" s="3989">
        <f>G35</f>
        <v>0</v>
      </c>
      <c r="U35" s="3989"/>
      <c r="V35" s="3989">
        <f>I35</f>
        <v>0</v>
      </c>
      <c r="W35" s="3989"/>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75" t="str">
        <f>A36</f>
        <v>比较价格（元/平方米）</v>
      </c>
      <c r="Q36" s="3875"/>
      <c r="R36" s="3989" t="e">
        <f>IF(F1="售价",ROUND(PRODUCT(R35,AA7:AA34),0),ROUND(PRODUCT(R35,AA7:AA34),1))</f>
        <v>#DIV/0!</v>
      </c>
      <c r="S36" s="3989"/>
      <c r="T36" s="3989" t="e">
        <f>IF(F1="售价",ROUND(PRODUCT(T35,AB7:AB34),0),ROUND(PRODUCT(T35,AB7:AB34),1))</f>
        <v>#DIV/0!</v>
      </c>
      <c r="U36" s="3989"/>
      <c r="V36" s="3989" t="e">
        <f>IF(F1="售价",ROUND(PRODUCT(V35,AC7:AC34),0),ROUND(PRODUCT(V35,AC7:AC34),1))</f>
        <v>#DIV/0!</v>
      </c>
      <c r="W36" s="3989"/>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81" t="str">
        <f>A37</f>
        <v>估价对象XX用房的比较价格（楼面单价，元/平方米）</v>
      </c>
      <c r="Q37" s="3882"/>
      <c r="R37" s="3988" t="e">
        <f>IF(F1="售价",ROUND(IF(D36="简单平均",AVERAGE(R36:W36),R36*F36+T36*H36+V36*J36),0),ROUND(IF(D36="简单平均",AVERAGE(R36:V36),R36*F36+T36*H36+V36*J36),1))</f>
        <v>#DIV/0!</v>
      </c>
      <c r="S37" s="3988"/>
      <c r="T37" s="3988"/>
      <c r="U37" s="3988"/>
      <c r="V37" s="3988"/>
      <c r="W37" s="3988"/>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2024-7</v>
      </c>
      <c r="D46" s="2284">
        <f>EDATE(C46,-1)</f>
        <v>45444</v>
      </c>
      <c r="E46" s="2284">
        <f t="shared" ref="E46:O46" si="13">EDATE(D46,-1)</f>
        <v>45413</v>
      </c>
      <c r="F46" s="2284">
        <f t="shared" si="13"/>
        <v>45383</v>
      </c>
      <c r="G46" s="2284">
        <f t="shared" si="13"/>
        <v>45352</v>
      </c>
      <c r="H46" s="2284">
        <f t="shared" si="13"/>
        <v>45323</v>
      </c>
      <c r="I46" s="2284">
        <f t="shared" si="13"/>
        <v>45292</v>
      </c>
      <c r="J46" s="2284">
        <f t="shared" si="13"/>
        <v>45261</v>
      </c>
      <c r="K46" s="2284">
        <f t="shared" si="13"/>
        <v>45231</v>
      </c>
      <c r="L46" s="2284">
        <f t="shared" si="13"/>
        <v>45200</v>
      </c>
      <c r="M46" s="2284">
        <f t="shared" si="13"/>
        <v>45170</v>
      </c>
      <c r="N46" s="2284">
        <f t="shared" si="13"/>
        <v>45139</v>
      </c>
      <c r="O46" s="2284">
        <f t="shared" si="13"/>
        <v>45108</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98" t="s">
        <v>1661</v>
      </c>
      <c r="D1" s="3999"/>
      <c r="E1" s="3999"/>
      <c r="F1" s="3999"/>
      <c r="G1" s="3999"/>
      <c r="H1" s="3999"/>
      <c r="I1" s="3999"/>
      <c r="J1" s="3999"/>
      <c r="K1" s="3999"/>
      <c r="L1" s="3999"/>
      <c r="M1" s="3999"/>
      <c r="N1" s="3999"/>
      <c r="O1" s="3999"/>
      <c r="P1" s="3999"/>
      <c r="Q1" s="3999"/>
      <c r="R1" s="3999"/>
      <c r="S1" s="4000"/>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95" t="s">
        <v>14</v>
      </c>
      <c r="D22" s="3996"/>
      <c r="E22" s="3996"/>
      <c r="F22" s="3996"/>
      <c r="G22" s="3996"/>
      <c r="H22" s="3996"/>
      <c r="I22" s="3996"/>
      <c r="J22" s="3996"/>
      <c r="K22" s="3996"/>
      <c r="L22" s="3996"/>
      <c r="M22" s="3996"/>
      <c r="N22" s="3996"/>
      <c r="O22" s="3996"/>
      <c r="P22" s="3996"/>
      <c r="Q22" s="3997"/>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24" sqref="C24:C524"/>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45499</v>
      </c>
      <c r="H1" s="2417">
        <f>IF(C1&gt;C13,0,MATCH(C1,C$13:C$111,-1))+IF(SUMIF(C13:C111,C1,D13:D111)=0,13,12)</f>
        <v>13</v>
      </c>
      <c r="I1" s="2417">
        <f ca="1">MATCH(C2,H3:H7,1)+IF(SUMIF(H3:H7,C2,I3:I7)=0,2,1)</f>
        <v>2</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0</v>
      </c>
      <c r="D2" s="2478" t="s">
        <v>2066</v>
      </c>
      <c r="E2" s="2481" t="e">
        <f ca="1">INDIRECT("I"&amp;$I$1)/100</f>
        <v>#VALUE!</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3" t="s">
        <v>2290</v>
      </c>
      <c r="C23" s="2471">
        <v>43697</v>
      </c>
      <c r="D23" s="3020">
        <v>4.25</v>
      </c>
      <c r="E23" s="3020">
        <v>4.25</v>
      </c>
      <c r="F23" s="3020">
        <v>4.25</v>
      </c>
      <c r="G23" s="3020">
        <v>4.25</v>
      </c>
      <c r="H23" s="3020">
        <v>4.8499999999999996</v>
      </c>
      <c r="I23" s="3020"/>
      <c r="J23" s="3020"/>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4"/>
      <c r="C24" s="3025">
        <v>42301</v>
      </c>
      <c r="D24" s="3026">
        <v>4.3499999999999996</v>
      </c>
      <c r="E24" s="3026">
        <v>4.3499999999999996</v>
      </c>
      <c r="F24" s="3026">
        <v>4.75</v>
      </c>
      <c r="G24" s="3026">
        <v>4.75</v>
      </c>
      <c r="H24" s="3026">
        <v>4.9000000000000004</v>
      </c>
      <c r="I24" s="3026"/>
      <c r="J24" s="3026"/>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9" t="s">
        <v>1556</v>
      </c>
      <c r="B1" s="3689"/>
      <c r="C1" s="3689"/>
      <c r="D1" s="3689"/>
      <c r="E1" s="3689"/>
      <c r="F1" s="3689"/>
      <c r="G1" s="3689"/>
      <c r="H1" s="3689"/>
      <c r="I1" s="3689"/>
      <c r="J1" s="3689"/>
      <c r="K1" s="3689"/>
      <c r="L1" s="3689"/>
      <c r="M1" s="3689"/>
      <c r="N1" s="3689"/>
      <c r="O1" s="3689"/>
      <c r="P1" s="3689"/>
      <c r="Q1" s="3689"/>
      <c r="R1" s="3689"/>
    </row>
    <row r="2" spans="1:18">
      <c r="A2" s="1595" t="s">
        <v>1558</v>
      </c>
      <c r="B2" s="1595"/>
      <c r="C2" s="1595"/>
      <c r="D2" s="1595"/>
      <c r="E2" s="1595"/>
      <c r="F2" s="1595"/>
      <c r="G2" s="1595"/>
      <c r="H2" s="1595"/>
      <c r="I2" s="1596"/>
      <c r="J2" s="1596"/>
      <c r="K2" s="1597" t="str">
        <f>"估价期日："&amp;TEXT(项目基本情况!D3,"yyyy年m月d日;;")</f>
        <v>估价期日：2024年7月26日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90" t="s">
        <v>1547</v>
      </c>
      <c r="B3" s="3690" t="s">
        <v>2013</v>
      </c>
      <c r="C3" s="3691" t="s">
        <v>1548</v>
      </c>
      <c r="D3" s="3690" t="s">
        <v>2017</v>
      </c>
      <c r="E3" s="3693" t="s">
        <v>1549</v>
      </c>
      <c r="F3" s="3693"/>
      <c r="G3" s="3693"/>
      <c r="H3" s="3693" t="s">
        <v>1550</v>
      </c>
      <c r="I3" s="3693"/>
      <c r="J3" s="3693"/>
      <c r="K3" s="3691" t="s">
        <v>1551</v>
      </c>
      <c r="L3" s="3691" t="s">
        <v>1552</v>
      </c>
      <c r="M3" s="3690" t="s">
        <v>2014</v>
      </c>
      <c r="N3" s="3692" t="str">
        <f>"（分摊）"&amp;项目基本情况!A17&amp;"国有建设用地使用权面积/㎡"</f>
        <v>（分摊）出让国有建设用地使用权面积/㎡</v>
      </c>
      <c r="O3" s="3690" t="s">
        <v>1581</v>
      </c>
      <c r="P3" s="3691" t="s">
        <v>1561</v>
      </c>
      <c r="Q3" s="3691" t="s">
        <v>1582</v>
      </c>
      <c r="R3" s="3691" t="s">
        <v>1553</v>
      </c>
    </row>
    <row r="4" spans="1:18" ht="36.75" customHeight="1">
      <c r="A4" s="3690"/>
      <c r="B4" s="3690"/>
      <c r="C4" s="3691"/>
      <c r="D4" s="3690"/>
      <c r="E4" s="2254" t="s">
        <v>1560</v>
      </c>
      <c r="F4" s="2254" t="s">
        <v>2026</v>
      </c>
      <c r="G4" s="2254" t="s">
        <v>1554</v>
      </c>
      <c r="H4" s="2254" t="s">
        <v>1555</v>
      </c>
      <c r="I4" s="2254" t="s">
        <v>2027</v>
      </c>
      <c r="J4" s="2254" t="s">
        <v>1554</v>
      </c>
      <c r="K4" s="3691"/>
      <c r="L4" s="3691"/>
      <c r="M4" s="3690"/>
      <c r="N4" s="3692"/>
      <c r="O4" s="3690"/>
      <c r="P4" s="3691"/>
      <c r="Q4" s="3691"/>
      <c r="R4" s="3691"/>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0</v>
      </c>
      <c r="O5" s="1598">
        <f>项目基本情况!C21</f>
        <v>0</v>
      </c>
      <c r="P5" s="1598" t="e">
        <f ca="1">结果表!E42</f>
        <v>#REF!</v>
      </c>
      <c r="Q5" s="1598" t="e">
        <f ca="1">结果表!D42</f>
        <v>#REF!</v>
      </c>
      <c r="R5" s="1599" t="e">
        <f ca="1">结果表!C42</f>
        <v>#REF!</v>
      </c>
    </row>
    <row r="6" spans="1:18">
      <c r="A6" s="3686" t="str">
        <f>IF(项目基本情况!B9="市场价格","——","抵押价格")</f>
        <v>抵押价格</v>
      </c>
      <c r="B6" s="3687"/>
      <c r="C6" s="3687"/>
      <c r="D6" s="3687"/>
      <c r="E6" s="3687"/>
      <c r="F6" s="3687"/>
      <c r="G6" s="3687"/>
      <c r="H6" s="3687"/>
      <c r="I6" s="3687"/>
      <c r="J6" s="3687"/>
      <c r="K6" s="3687"/>
      <c r="L6" s="3687"/>
      <c r="M6" s="3687"/>
      <c r="N6" s="3687"/>
      <c r="O6" s="3687"/>
      <c r="P6" s="3687"/>
      <c r="Q6" s="3688"/>
      <c r="R6" s="1600" t="str">
        <f>结果表!O39</f>
        <v>——</v>
      </c>
    </row>
    <row r="7" spans="1:18">
      <c r="A7" s="3686" t="str">
        <f>IF(项目基本情况!B9="市场价格","——",IF(项目基本情况!E8="已注销及未注销","抵押担保权已注销时的抵押价格","——"))</f>
        <v>——</v>
      </c>
      <c r="B7" s="3687"/>
      <c r="C7" s="3687"/>
      <c r="D7" s="3687"/>
      <c r="E7" s="3687"/>
      <c r="F7" s="3687"/>
      <c r="G7" s="3687"/>
      <c r="H7" s="3687"/>
      <c r="I7" s="3687"/>
      <c r="J7" s="3687"/>
      <c r="K7" s="3687"/>
      <c r="L7" s="3687"/>
      <c r="M7" s="3687"/>
      <c r="N7" s="3687"/>
      <c r="O7" s="3687"/>
      <c r="P7" s="3687"/>
      <c r="Q7" s="3688"/>
      <c r="R7" s="1600" t="str">
        <f>结果表!O40</f>
        <v>——</v>
      </c>
    </row>
    <row r="8" spans="1:18">
      <c r="A8" s="3686">
        <f>IF(项目基本情况!B9="市场价格","——",项目基本情况!E9)</f>
        <v>0</v>
      </c>
      <c r="B8" s="3687"/>
      <c r="C8" s="3687"/>
      <c r="D8" s="3687"/>
      <c r="E8" s="3687"/>
      <c r="F8" s="3687"/>
      <c r="G8" s="3687"/>
      <c r="H8" s="3687"/>
      <c r="I8" s="3687"/>
      <c r="J8" s="3687"/>
      <c r="K8" s="3687"/>
      <c r="L8" s="3687"/>
      <c r="M8" s="3687"/>
      <c r="N8" s="3687"/>
      <c r="O8" s="3687"/>
      <c r="P8" s="3687"/>
      <c r="Q8" s="3688"/>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4" t="s">
        <v>1583</v>
      </c>
      <c r="B1" s="3694"/>
      <c r="C1" s="3694"/>
      <c r="D1" s="3694"/>
    </row>
    <row r="2" spans="1:4" ht="47.25" customHeight="1">
      <c r="A2" s="3698" t="str">
        <f>"1.权利限制："&amp;项目基本情况!L24&amp;"未设定租赁等其他他项权利。"</f>
        <v>1.权利限制：根据估价对象《不动产权证书》原件、《国有土地使用权》复印件，截至估价期日，估价对象抵押权未见登记。未设定租赁等其他他项权利。</v>
      </c>
      <c r="B2" s="3698"/>
      <c r="C2" s="3698"/>
      <c r="D2" s="3698"/>
    </row>
    <row r="3" spans="1:4" ht="48" customHeight="1">
      <c r="A3" s="369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4"/>
      <c r="C3" s="3694"/>
      <c r="D3" s="3694"/>
    </row>
    <row r="4" spans="1:4" ht="36.75" customHeight="1">
      <c r="A4" s="3694" t="str">
        <f>"3.估价规划限制条件：详见"&amp;项目基本情况!E21&amp;"。"</f>
        <v>3.估价规划限制条件：详见《建设工程规划许可证》[]、《出让合同》[]。</v>
      </c>
      <c r="B4" s="3694"/>
      <c r="C4" s="3694"/>
      <c r="D4" s="3694"/>
    </row>
    <row r="5" spans="1:4">
      <c r="A5" s="3697" t="s">
        <v>1584</v>
      </c>
      <c r="B5" s="3697"/>
      <c r="C5" s="3697"/>
      <c r="D5" s="3697"/>
    </row>
    <row r="6" spans="1:4">
      <c r="A6" s="3694" t="s">
        <v>1562</v>
      </c>
      <c r="B6" s="3694"/>
      <c r="C6" s="3694"/>
      <c r="D6" s="3694"/>
    </row>
    <row r="7" spans="1:4" ht="33" customHeight="1">
      <c r="A7" s="3694" t="s">
        <v>1857</v>
      </c>
      <c r="B7" s="3694"/>
      <c r="C7" s="3694"/>
      <c r="D7" s="3694"/>
    </row>
    <row r="8" spans="1:4" ht="32.25" customHeight="1">
      <c r="A8" s="36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4"/>
      <c r="C8" s="3694"/>
      <c r="D8" s="3694"/>
    </row>
    <row r="9" spans="1:4" ht="33.75" customHeight="1">
      <c r="A9" s="3694" t="str">
        <f>IF(项目基本情况!B8="抵押","3.抵押双方在办理抵押登记手续时，应使用本公司出具的正式《土地估价报告》，特提请报告使用者注意。","——")</f>
        <v>——</v>
      </c>
      <c r="B9" s="3694"/>
      <c r="C9" s="3694"/>
      <c r="D9" s="3694"/>
    </row>
    <row r="10" spans="1:4">
      <c r="A10" s="3694" t="str">
        <f>IF(项目基本情况!B8="抵押","4.估价师所知悉的法定优先受偿款情况为：","——")</f>
        <v>——</v>
      </c>
      <c r="B10" s="3694"/>
      <c r="C10" s="3694"/>
      <c r="D10" s="3694"/>
    </row>
    <row r="11" spans="1:4" ht="37.5" customHeight="1">
      <c r="A11" s="3696" t="str">
        <f>IF(项目基本情况!B8="抵押","（1）"&amp;CONCATENATE(项目基本情况!L24,项目基本情况!L25,项目基本情况!L26),"——")</f>
        <v>——</v>
      </c>
      <c r="B11" s="3696"/>
      <c r="C11" s="3696"/>
      <c r="D11" s="3696"/>
    </row>
    <row r="12" spans="1:4" ht="168" customHeight="1">
      <c r="A12" s="3697" t="s">
        <v>1586</v>
      </c>
      <c r="B12" s="3697"/>
      <c r="C12" s="3697"/>
      <c r="D12" s="3697"/>
    </row>
    <row r="13" spans="1:4">
      <c r="A13" s="3695" t="s">
        <v>2028</v>
      </c>
      <c r="B13" s="3695"/>
      <c r="C13" s="3695"/>
      <c r="D13" s="3695"/>
    </row>
    <row r="14" spans="1:4">
      <c r="A14" s="3696" t="str">
        <f>IF(项目基本情况!B8="抵押","综上，"&amp;结果表!K47,"——")</f>
        <v>——</v>
      </c>
      <c r="B14" s="3696"/>
      <c r="C14" s="3696"/>
      <c r="D14" s="3696"/>
    </row>
    <row r="15" spans="1:4" ht="58.5" customHeight="1">
      <c r="A15" s="36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4"/>
      <c r="C15" s="3694"/>
      <c r="D15" s="3694"/>
    </row>
    <row r="16" spans="1:4" ht="70.5" customHeight="1">
      <c r="A16" s="36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4"/>
      <c r="C16" s="3694"/>
      <c r="D16" s="3694"/>
    </row>
    <row r="17" spans="1:4">
      <c r="A17" s="3694" t="s">
        <v>1984</v>
      </c>
      <c r="B17" s="3694"/>
      <c r="C17" s="3694"/>
      <c r="D17" s="3694"/>
    </row>
    <row r="18" spans="1:4">
      <c r="A18" s="3694" t="s">
        <v>1976</v>
      </c>
      <c r="B18" s="3694"/>
      <c r="C18" s="3694"/>
      <c r="D18" s="3694"/>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94" t="s">
        <v>1981</v>
      </c>
      <c r="B23" s="3694"/>
      <c r="C23" s="3694"/>
      <c r="D23" s="3694"/>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6" t="s">
        <v>27</v>
      </c>
      <c r="B15" s="3707" t="s">
        <v>784</v>
      </c>
      <c r="C15" s="3703"/>
    </row>
    <row r="16" spans="1:7" ht="14.25">
      <c r="A16" s="3706"/>
      <c r="B16" s="3704" t="s">
        <v>28</v>
      </c>
      <c r="C16" s="1070" t="s">
        <v>27</v>
      </c>
    </row>
    <row r="17" spans="1:3" ht="14.25">
      <c r="A17" s="3706"/>
      <c r="B17" s="3704"/>
      <c r="C17" s="1070" t="s">
        <v>29</v>
      </c>
    </row>
    <row r="18" spans="1:3" ht="14.25">
      <c r="A18" s="3706"/>
      <c r="B18" s="3704"/>
      <c r="C18" s="1070" t="s">
        <v>30</v>
      </c>
    </row>
    <row r="19" spans="1:3" ht="14.25">
      <c r="A19" s="3706"/>
      <c r="B19" s="3702" t="s">
        <v>31</v>
      </c>
      <c r="C19" s="3703"/>
    </row>
    <row r="20" spans="1:3" ht="14.25">
      <c r="A20" s="1071" t="s">
        <v>32</v>
      </c>
      <c r="B20" s="1072"/>
      <c r="C20" s="1073"/>
    </row>
    <row r="21" spans="1:3" ht="14.25">
      <c r="A21" s="3705" t="s">
        <v>33</v>
      </c>
      <c r="B21" s="3702" t="s">
        <v>34</v>
      </c>
      <c r="C21" s="3703"/>
    </row>
    <row r="22" spans="1:3" ht="14.25">
      <c r="A22" s="3705"/>
      <c r="B22" s="3702" t="s">
        <v>35</v>
      </c>
      <c r="C22" s="3703"/>
    </row>
    <row r="23" spans="1:3" ht="14.25">
      <c r="A23" s="3705"/>
      <c r="B23" s="3702" t="s">
        <v>36</v>
      </c>
      <c r="C23" s="3703"/>
    </row>
    <row r="24" spans="1:3" ht="14.25">
      <c r="A24" s="3705"/>
      <c r="B24" s="3708" t="s">
        <v>37</v>
      </c>
      <c r="C24" s="1074" t="s">
        <v>775</v>
      </c>
    </row>
    <row r="25" spans="1:3" ht="14.25">
      <c r="A25" s="3705"/>
      <c r="B25" s="3709"/>
      <c r="C25" s="1074" t="s">
        <v>776</v>
      </c>
    </row>
    <row r="26" spans="1:3" ht="14.25">
      <c r="A26" s="3705"/>
      <c r="B26" s="3709"/>
      <c r="C26" s="1074" t="s">
        <v>777</v>
      </c>
    </row>
    <row r="27" spans="1:3" ht="14.25">
      <c r="A27" s="3705"/>
      <c r="B27" s="3709"/>
      <c r="C27" s="1074" t="s">
        <v>778</v>
      </c>
    </row>
    <row r="28" spans="1:3" ht="14.25">
      <c r="A28" s="3705"/>
      <c r="B28" s="3709"/>
      <c r="C28" s="1074" t="s">
        <v>779</v>
      </c>
    </row>
    <row r="29" spans="1:3" ht="14.25">
      <c r="A29" s="3705"/>
      <c r="B29" s="3709"/>
      <c r="C29" s="1074" t="s">
        <v>780</v>
      </c>
    </row>
    <row r="30" spans="1:3" ht="14.25">
      <c r="A30" s="3705"/>
      <c r="B30" s="3709"/>
      <c r="C30" s="1074" t="s">
        <v>781</v>
      </c>
    </row>
    <row r="31" spans="1:3" ht="14.25">
      <c r="A31" s="3705"/>
      <c r="B31" s="3709"/>
      <c r="C31" s="1074" t="s">
        <v>782</v>
      </c>
    </row>
    <row r="32" spans="1:3" ht="14.25">
      <c r="A32" s="3705"/>
      <c r="B32" s="3709"/>
      <c r="C32" s="1074" t="s">
        <v>1181</v>
      </c>
    </row>
    <row r="33" spans="1:3" ht="14.25">
      <c r="A33" s="3705"/>
      <c r="B33" s="3699" t="s">
        <v>1187</v>
      </c>
      <c r="C33" s="1074" t="s">
        <v>1182</v>
      </c>
    </row>
    <row r="34" spans="1:3" ht="14.25">
      <c r="A34" s="3705"/>
      <c r="B34" s="3700"/>
      <c r="C34" s="1079" t="s">
        <v>1183</v>
      </c>
    </row>
    <row r="35" spans="1:3" ht="14.25">
      <c r="A35" s="3705"/>
      <c r="B35" s="3700"/>
      <c r="C35" s="1080" t="s">
        <v>1184</v>
      </c>
    </row>
    <row r="36" spans="1:3" ht="14.25">
      <c r="A36" s="3705"/>
      <c r="B36" s="3700"/>
      <c r="C36" s="1080" t="s">
        <v>1185</v>
      </c>
    </row>
    <row r="37" spans="1:3" ht="14.25">
      <c r="A37" s="3705"/>
      <c r="B37" s="3701"/>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45502</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2451</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3" t="s">
        <v>1448</v>
      </c>
      <c r="B18" s="3714"/>
      <c r="C18" s="3714"/>
      <c r="D18" s="3714"/>
      <c r="E18" s="3714"/>
      <c r="F18" s="3714"/>
      <c r="G18" s="2777"/>
    </row>
    <row r="19" spans="1:7" ht="20.25" customHeight="1">
      <c r="A19" s="3710" t="s">
        <v>1449</v>
      </c>
      <c r="B19" s="3710"/>
      <c r="C19" s="3711"/>
      <c r="D19" s="3712" t="s">
        <v>1450</v>
      </c>
      <c r="E19" s="3710"/>
      <c r="F19" s="3710"/>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4" priority="151">
      <formula>AND($C5-TODAY()&lt;30,TODAY()&lt;$C5)</formula>
    </cfRule>
  </conditionalFormatting>
  <conditionalFormatting sqref="C21">
    <cfRule type="expression" dxfId="233" priority="150">
      <formula>AND($C21-TODAY()&lt;30,TODAY()&lt;$C21)</formula>
    </cfRule>
  </conditionalFormatting>
  <conditionalFormatting sqref="C21 F4 C5 C13">
    <cfRule type="cellIs" dxfId="232" priority="152" stopIfTrue="1" operator="lessThan">
      <formula>$B$2</formula>
    </cfRule>
  </conditionalFormatting>
  <conditionalFormatting sqref="F5 F7 F9">
    <cfRule type="cellIs" dxfId="231" priority="146" stopIfTrue="1" operator="lessThan">
      <formula>$B$2</formula>
    </cfRule>
  </conditionalFormatting>
  <conditionalFormatting sqref="C17:D17">
    <cfRule type="expression" dxfId="230" priority="144">
      <formula>AND($C17-TODAY()&lt;30,TODAY()&lt;$C17)</formula>
    </cfRule>
  </conditionalFormatting>
  <conditionalFormatting sqref="F6 F8 F10 C17:D17">
    <cfRule type="cellIs" dxfId="229" priority="145" stopIfTrue="1" operator="lessThan">
      <formula>$B$2</formula>
    </cfRule>
  </conditionalFormatting>
  <conditionalFormatting sqref="F14">
    <cfRule type="cellIs" dxfId="228" priority="116" stopIfTrue="1" operator="lessThan">
      <formula>$B$2</formula>
    </cfRule>
  </conditionalFormatting>
  <conditionalFormatting sqref="F13">
    <cfRule type="cellIs" dxfId="227" priority="115" stopIfTrue="1" operator="lessThan">
      <formula>$B$2</formula>
    </cfRule>
  </conditionalFormatting>
  <conditionalFormatting sqref="B4:B11 E4:E11 E13:E16 B13:B16">
    <cfRule type="cellIs" dxfId="226" priority="113" stopIfTrue="1" operator="equal">
      <formula>"已过期"</formula>
    </cfRule>
  </conditionalFormatting>
  <conditionalFormatting sqref="C6">
    <cfRule type="expression" dxfId="225" priority="84">
      <formula>AND($C6-TODAY()&lt;30,TODAY()&lt;$C6)</formula>
    </cfRule>
  </conditionalFormatting>
  <conditionalFormatting sqref="C6">
    <cfRule type="cellIs" dxfId="224" priority="85" stopIfTrue="1" operator="lessThan">
      <formula>$B$2</formula>
    </cfRule>
  </conditionalFormatting>
  <conditionalFormatting sqref="C11 C15:C16">
    <cfRule type="expression" dxfId="223" priority="82">
      <formula>AND($C11-TODAY()&lt;30,TODAY()&lt;$C11)</formula>
    </cfRule>
  </conditionalFormatting>
  <conditionalFormatting sqref="C11 C15:C16">
    <cfRule type="cellIs" dxfId="222" priority="83" stopIfTrue="1" operator="lessThan">
      <formula>$B$2</formula>
    </cfRule>
  </conditionalFormatting>
  <conditionalFormatting sqref="F11">
    <cfRule type="cellIs" dxfId="221" priority="81" stopIfTrue="1" operator="lessThan">
      <formula>$B$2</formula>
    </cfRule>
  </conditionalFormatting>
  <conditionalFormatting sqref="C14">
    <cfRule type="expression" dxfId="220" priority="62">
      <formula>AND($C14-TODAY()&lt;30,TODAY()&lt;$C14)</formula>
    </cfRule>
  </conditionalFormatting>
  <conditionalFormatting sqref="C14">
    <cfRule type="cellIs" dxfId="219" priority="63" stopIfTrue="1" operator="lessThan">
      <formula>$B$2</formula>
    </cfRule>
  </conditionalFormatting>
  <conditionalFormatting sqref="C12">
    <cfRule type="cellIs" dxfId="218" priority="56" stopIfTrue="1" operator="lessThan">
      <formula>$B$2</formula>
    </cfRule>
  </conditionalFormatting>
  <conditionalFormatting sqref="C12">
    <cfRule type="expression" dxfId="217" priority="53">
      <formula>AND($C12-TODAY()&lt;30,TODAY()&lt;$C12)</formula>
    </cfRule>
  </conditionalFormatting>
  <conditionalFormatting sqref="C12">
    <cfRule type="cellIs" dxfId="216" priority="54" stopIfTrue="1" operator="lessThan">
      <formula>$B$2</formula>
    </cfRule>
  </conditionalFormatting>
  <conditionalFormatting sqref="B12">
    <cfRule type="cellIs" dxfId="215" priority="50" stopIfTrue="1" operator="equal">
      <formula>"已过期"</formula>
    </cfRule>
  </conditionalFormatting>
  <conditionalFormatting sqref="E12">
    <cfRule type="cellIs" dxfId="214" priority="40" stopIfTrue="1" operator="equal">
      <formula>"已过期"</formula>
    </cfRule>
  </conditionalFormatting>
  <conditionalFormatting sqref="F12">
    <cfRule type="cellIs" dxfId="213" priority="39" stopIfTrue="1" operator="lessThan">
      <formula>$B$2</formula>
    </cfRule>
  </conditionalFormatting>
  <conditionalFormatting sqref="C9:C10">
    <cfRule type="expression" dxfId="212" priority="35">
      <formula>AND($C9-TODAY()&lt;30,TODAY()&lt;$C9)</formula>
    </cfRule>
  </conditionalFormatting>
  <conditionalFormatting sqref="C9:C10">
    <cfRule type="cellIs" dxfId="211" priority="36" stopIfTrue="1" operator="lessThan">
      <formula>$B$2</formula>
    </cfRule>
  </conditionalFormatting>
  <conditionalFormatting sqref="F22">
    <cfRule type="cellIs" dxfId="210" priority="15" stopIfTrue="1" operator="lessThan">
      <formula>$B$2</formula>
    </cfRule>
  </conditionalFormatting>
  <conditionalFormatting sqref="F22">
    <cfRule type="expression" dxfId="209" priority="16">
      <formula>AND($E22-TODAY()&lt;30,TODAY()&lt;$E22)</formula>
    </cfRule>
  </conditionalFormatting>
  <conditionalFormatting sqref="C7:C8">
    <cfRule type="expression" dxfId="208" priority="7">
      <formula>AND($C7-TODAY()&lt;30,TODAY()&lt;$C7)</formula>
    </cfRule>
  </conditionalFormatting>
  <conditionalFormatting sqref="C7:C8">
    <cfRule type="cellIs" dxfId="207" priority="8" stopIfTrue="1" operator="lessThan">
      <formula>$B$2</formula>
    </cfRule>
  </conditionalFormatting>
  <conditionalFormatting sqref="C7:C8">
    <cfRule type="expression" dxfId="206" priority="5">
      <formula>AND($C7-TODAY()&lt;30,TODAY()&lt;$C7)</formula>
    </cfRule>
  </conditionalFormatting>
  <conditionalFormatting sqref="C7:C8">
    <cfRule type="cellIs" dxfId="205" priority="6" stopIfTrue="1" operator="lessThan">
      <formula>$B$2</formula>
    </cfRule>
  </conditionalFormatting>
  <conditionalFormatting sqref="C4">
    <cfRule type="expression" dxfId="204" priority="3">
      <formula>AND($C4-TODAY()&lt;30,TODAY()&lt;$C4)</formula>
    </cfRule>
  </conditionalFormatting>
  <conditionalFormatting sqref="C4">
    <cfRule type="cellIs" dxfId="203" priority="4" stopIfTrue="1" operator="lessThan">
      <formula>$B$2</formula>
    </cfRule>
  </conditionalFormatting>
  <conditionalFormatting sqref="F21">
    <cfRule type="cellIs" dxfId="202" priority="1" stopIfTrue="1" operator="lessThan">
      <formula>$B$2</formula>
    </cfRule>
  </conditionalFormatting>
  <conditionalFormatting sqref="F21">
    <cfRule type="expression" dxfId="20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9" sqref="A29"/>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2764</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2755</v>
      </c>
    </row>
    <row r="8" spans="1:23">
      <c r="A8" s="6" t="s">
        <v>75</v>
      </c>
      <c r="B8" s="6" t="s">
        <v>76</v>
      </c>
      <c r="C8" s="1368" t="s">
        <v>1244</v>
      </c>
      <c r="F8" s="7" t="s">
        <v>121</v>
      </c>
      <c r="H8" s="3337" t="s">
        <v>2749</v>
      </c>
      <c r="I8" s="7" t="s">
        <v>2756</v>
      </c>
    </row>
    <row r="9" spans="1:23">
      <c r="A9" s="6" t="s">
        <v>77</v>
      </c>
      <c r="B9" s="6" t="s">
        <v>122</v>
      </c>
      <c r="C9" s="1368" t="s">
        <v>1245</v>
      </c>
      <c r="F9" s="7" t="s">
        <v>78</v>
      </c>
      <c r="H9" s="7"/>
      <c r="I9" s="7" t="s">
        <v>2757</v>
      </c>
    </row>
    <row r="10" spans="1:23">
      <c r="A10" s="6" t="s">
        <v>79</v>
      </c>
      <c r="B10" s="6" t="s">
        <v>123</v>
      </c>
      <c r="C10" s="1368" t="s">
        <v>1246</v>
      </c>
      <c r="F10" s="3337" t="s">
        <v>2748</v>
      </c>
      <c r="I10" s="7" t="s">
        <v>2758</v>
      </c>
    </row>
    <row r="11" spans="1:23">
      <c r="A11" s="6" t="s">
        <v>80</v>
      </c>
      <c r="B11" s="6" t="s">
        <v>124</v>
      </c>
      <c r="C11" s="1368" t="s">
        <v>1247</v>
      </c>
      <c r="I11" s="7" t="s">
        <v>2759</v>
      </c>
    </row>
    <row r="12" spans="1:23">
      <c r="A12" s="6" t="s">
        <v>81</v>
      </c>
      <c r="B12" s="6" t="s">
        <v>125</v>
      </c>
      <c r="C12" s="1368" t="s">
        <v>1248</v>
      </c>
      <c r="I12" s="7" t="s">
        <v>2760</v>
      </c>
    </row>
    <row r="13" spans="1:23">
      <c r="A13" s="6" t="s">
        <v>82</v>
      </c>
      <c r="B13" s="6" t="s">
        <v>126</v>
      </c>
      <c r="C13" s="1368" t="s">
        <v>1249</v>
      </c>
      <c r="I13" s="7" t="s">
        <v>2761</v>
      </c>
    </row>
    <row r="14" spans="1:23">
      <c r="A14" s="6" t="s">
        <v>83</v>
      </c>
      <c r="B14" s="6" t="s">
        <v>127</v>
      </c>
      <c r="C14" s="1371" t="s">
        <v>1421</v>
      </c>
      <c r="I14" s="7" t="s">
        <v>2762</v>
      </c>
    </row>
    <row r="15" spans="1:23">
      <c r="A15" s="6" t="s">
        <v>84</v>
      </c>
      <c r="B15" s="6" t="s">
        <v>1214</v>
      </c>
      <c r="C15" s="1371"/>
      <c r="I15" s="7" t="s">
        <v>2763</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2443</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2547" t="s">
        <v>3272</v>
      </c>
      <c r="B27" s="6" t="s">
        <v>1177</v>
      </c>
      <c r="C27" s="1371"/>
    </row>
    <row r="28" spans="1:3">
      <c r="A28" s="2547" t="s">
        <v>3273</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5"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7月26日，在规划利用条件下、设定土地开发程度为红线外“七通”、宗地内场地，设定用途为，剩余土地使用年限为的出让国有建设用地使用权价格。</v>
      </c>
      <c r="D53" s="1558"/>
      <c r="E53" s="1558"/>
    </row>
    <row r="54" spans="1:5">
      <c r="A54" s="3715"/>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5"/>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5"/>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5"/>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156</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基准地价（商业）</vt:lpstr>
      <vt:lpstr>修正</vt:lpstr>
      <vt:lpstr>区片价</vt:lpstr>
      <vt:lpstr>区片价-范围</vt:lpstr>
      <vt:lpstr>容积率修正</vt:lpstr>
      <vt:lpstr>因素修正幅度</vt:lpstr>
      <vt:lpstr>地价</vt:lpstr>
      <vt:lpstr>地价-分区</vt:lpstr>
      <vt:lpstr>基准地价（汇总）</vt:lpstr>
      <vt:lpstr>基准地价（办公）</vt:lpstr>
      <vt:lpstr>基准地价（办公商务公寓）</vt:lpstr>
      <vt:lpstr>70%</vt:lpstr>
      <vt:lpstr>Sheet1</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'基准地价（办公）'!Print_Area</vt:lpstr>
      <vt:lpstr>'基准地价（办公商务公寓）'!Print_Area</vt:lpstr>
      <vt:lpstr>'基准地价（汇总）'!Print_Area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'基准地价（办公商务公寓）'!季度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2024-07-29T09:06:37Z</dcterms:modified>
</cp:coreProperties>
</file>