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不动产收益法" sheetId="15"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Sheet2!$A$2:$O$62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M33" i="69"/>
  <c r="M34"/>
  <c r="M35"/>
  <c r="M36"/>
  <c r="M37"/>
  <c r="M38"/>
  <c r="M39"/>
  <c r="M40"/>
  <c r="M41"/>
  <c r="M42"/>
  <c r="M43"/>
  <c r="M44"/>
  <c r="M45"/>
  <c r="M46"/>
  <c r="M47"/>
  <c r="M48"/>
  <c r="M49"/>
  <c r="M50"/>
  <c r="M51"/>
  <c r="M52"/>
  <c r="M53"/>
  <c r="M54"/>
  <c r="M55"/>
  <c r="M56"/>
  <c r="M57"/>
  <c r="M58"/>
  <c r="M59"/>
  <c r="M60"/>
  <c r="M61"/>
  <c r="M62"/>
  <c r="M4"/>
  <c r="M5"/>
  <c r="M6"/>
  <c r="M7"/>
  <c r="M8"/>
  <c r="M9"/>
  <c r="M10"/>
  <c r="M11"/>
  <c r="M12"/>
  <c r="M13"/>
  <c r="M14"/>
  <c r="M15"/>
  <c r="M16"/>
  <c r="M17"/>
  <c r="M18"/>
  <c r="M19"/>
  <c r="M20"/>
  <c r="M21"/>
  <c r="M22"/>
  <c r="M23"/>
  <c r="M24"/>
  <c r="M25"/>
  <c r="M26"/>
  <c r="M27"/>
  <c r="M28"/>
  <c r="M29"/>
  <c r="M30"/>
  <c r="M31"/>
  <c r="M32"/>
  <c r="M3"/>
  <c r="E47" i="21" l="1"/>
  <c r="J9" i="68"/>
  <c r="K9" s="1"/>
  <c r="D9"/>
  <c r="E9" s="1"/>
  <c r="C40" i="39"/>
  <c r="C12"/>
  <c r="K13" i="3"/>
  <c r="F20" i="6" s="1"/>
  <c r="I13" i="3"/>
  <c r="F19" i="6" s="1"/>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B11" i="67"/>
  <c r="B9"/>
  <c r="E8"/>
  <c r="F8"/>
  <c r="B12"/>
  <c r="E14"/>
  <c r="B10"/>
  <c r="F11"/>
  <c r="F14"/>
  <c r="E9"/>
  <c r="B14"/>
  <c r="B13"/>
  <c r="F12"/>
  <c r="F13"/>
  <c r="E11"/>
  <c r="B8"/>
  <c r="F10"/>
  <c r="E10"/>
  <c r="F9"/>
  <c r="E12"/>
  <c r="E13"/>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s="1"/>
  <c r="AG18"/>
  <c r="AH18"/>
  <c r="AH19"/>
  <c r="AG19"/>
  <c r="AE19"/>
  <c r="AF19" s="1"/>
  <c r="AD19"/>
  <c r="AD20"/>
  <c r="AE20"/>
  <c r="AF20"/>
  <c r="AG20"/>
  <c r="AH20"/>
  <c r="S2" i="31" l="1"/>
  <c r="M2"/>
  <c r="N2"/>
  <c r="O2"/>
  <c r="P2"/>
  <c r="Q2"/>
  <c r="R2"/>
  <c r="C3" i="65" l="1"/>
  <c r="C1"/>
  <c r="N1" s="1"/>
  <c r="N7"/>
  <c r="H1" l="1"/>
  <c r="B76" i="63"/>
  <c r="N6" i="65"/>
  <c r="N5"/>
  <c r="N3"/>
  <c r="J6"/>
  <c r="N4"/>
  <c r="C4" l="1"/>
  <c r="B39" i="1" s="1"/>
  <c r="I4" i="65"/>
  <c r="I6"/>
  <c r="I5"/>
  <c r="I7"/>
  <c r="I3"/>
  <c r="J4"/>
  <c r="J7"/>
  <c r="J5"/>
  <c r="J3"/>
  <c r="J1" l="1"/>
  <c r="E20" i="46"/>
  <c r="M5" i="54"/>
  <c r="A23" i="51"/>
  <c r="E3" i="65"/>
  <c r="F17" i="11" l="1"/>
  <c r="Y12" i="46"/>
  <c r="AA9"/>
  <c r="AB9"/>
  <c r="AB10" s="1"/>
  <c r="AC9"/>
  <c r="AD9"/>
  <c r="AE9"/>
  <c r="AF9"/>
  <c r="AF10" s="1"/>
  <c r="AG9"/>
  <c r="AH9"/>
  <c r="AI9"/>
  <c r="AJ9"/>
  <c r="AJ10" s="1"/>
  <c r="Z9"/>
  <c r="Z10" s="1"/>
  <c r="AI10"/>
  <c r="AH10"/>
  <c r="AG10"/>
  <c r="AE10"/>
  <c r="AD10"/>
  <c r="AC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B63" s="1"/>
  <c r="B62" s="1"/>
  <c r="F63"/>
  <c r="F62" s="1"/>
  <c r="D61"/>
  <c r="Q60"/>
  <c r="P60"/>
  <c r="O60"/>
  <c r="N60"/>
  <c r="F60"/>
  <c r="V60" s="1"/>
  <c r="E60"/>
  <c r="U60" s="1"/>
  <c r="C60"/>
  <c r="T60" s="1"/>
  <c r="B60"/>
  <c r="S60" s="1"/>
  <c r="Q59"/>
  <c r="P59"/>
  <c r="O59"/>
  <c r="N59"/>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Q15"/>
  <c r="AB15" s="1"/>
  <c r="P15"/>
  <c r="AA15" s="1"/>
  <c r="O15"/>
  <c r="Y15" s="1"/>
  <c r="Z15" s="1"/>
  <c r="N15"/>
  <c r="Q14"/>
  <c r="AB14" s="1"/>
  <c r="P14"/>
  <c r="AA14" s="1"/>
  <c r="O14"/>
  <c r="Y14" s="1"/>
  <c r="Z14" s="1"/>
  <c r="N14"/>
  <c r="Q13"/>
  <c r="P13"/>
  <c r="O13"/>
  <c r="N13"/>
  <c r="D13"/>
  <c r="Q12"/>
  <c r="P12"/>
  <c r="AA12" s="1"/>
  <c r="O12"/>
  <c r="N12"/>
  <c r="Q11"/>
  <c r="AB11" s="1"/>
  <c r="P11"/>
  <c r="AA11" s="1"/>
  <c r="O11"/>
  <c r="N11"/>
  <c r="Q10"/>
  <c r="AB10" s="1"/>
  <c r="P10"/>
  <c r="AA10" s="1"/>
  <c r="O10"/>
  <c r="N10"/>
  <c r="Q9"/>
  <c r="P9"/>
  <c r="AA9" s="1"/>
  <c r="O9"/>
  <c r="N9"/>
  <c r="D9"/>
  <c r="C14" l="1"/>
  <c r="Y13"/>
  <c r="Z13" s="1"/>
  <c r="F59"/>
  <c r="F58" s="1"/>
  <c r="S8"/>
  <c r="B7"/>
  <c r="B6" s="1"/>
  <c r="B5" s="1"/>
  <c r="B4" s="1"/>
  <c r="F10"/>
  <c r="AB9"/>
  <c r="AB12"/>
  <c r="E14"/>
  <c r="E15" s="1"/>
  <c r="E16" s="1"/>
  <c r="U16" s="1"/>
  <c r="AA13"/>
  <c r="C18"/>
  <c r="Y17"/>
  <c r="Z17" s="1"/>
  <c r="Q45"/>
  <c r="D8"/>
  <c r="T8"/>
  <c r="C7"/>
  <c r="B18"/>
  <c r="B19" s="1"/>
  <c r="B20" s="1"/>
  <c r="S20" s="1"/>
  <c r="X17"/>
  <c r="B10"/>
  <c r="X9"/>
  <c r="X11"/>
  <c r="X12"/>
  <c r="F14"/>
  <c r="AB13"/>
  <c r="E18"/>
  <c r="E19" s="1"/>
  <c r="E20" s="1"/>
  <c r="U20" s="1"/>
  <c r="AA17"/>
  <c r="B47"/>
  <c r="U8"/>
  <c r="E7"/>
  <c r="E6" s="1"/>
  <c r="E5" s="1"/>
  <c r="E4" s="1"/>
  <c r="X10"/>
  <c r="C10"/>
  <c r="Y9"/>
  <c r="Z9" s="1"/>
  <c r="Y10"/>
  <c r="Z10" s="1"/>
  <c r="Y11"/>
  <c r="Z11" s="1"/>
  <c r="Y12"/>
  <c r="Z12" s="1"/>
  <c r="B14"/>
  <c r="B15" s="1"/>
  <c r="B16" s="1"/>
  <c r="S16" s="1"/>
  <c r="X13"/>
  <c r="X14"/>
  <c r="X15"/>
  <c r="X16"/>
  <c r="F18"/>
  <c r="AB1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D77"/>
  <c r="E77" s="1"/>
  <c r="F77" s="1"/>
  <c r="G77" s="1"/>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F15" i="15"/>
  <c r="F17"/>
  <c r="F18"/>
  <c r="F20"/>
  <c r="F21"/>
  <c r="F33"/>
  <c r="F60" s="1"/>
  <c r="F13" i="44"/>
  <c r="K2" i="4"/>
  <c r="K1"/>
  <c r="B1"/>
  <c r="B37" i="50" s="1"/>
  <c r="B2" i="63" s="1"/>
  <c r="C31" i="57"/>
  <c r="C32"/>
  <c r="I23"/>
  <c r="D20"/>
  <c r="I19"/>
  <c r="I18"/>
  <c r="I20" s="1"/>
  <c r="I17"/>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N73"/>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L112" s="1"/>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G111" s="1"/>
  <c r="H111"/>
  <c r="BT110"/>
  <c r="BS110"/>
  <c r="BR110"/>
  <c r="BQ110"/>
  <c r="BP110"/>
  <c r="BO110"/>
  <c r="BN110"/>
  <c r="BM110"/>
  <c r="BL110"/>
  <c r="BK110"/>
  <c r="BJ110"/>
  <c r="BI110"/>
  <c r="BH110"/>
  <c r="BG110"/>
  <c r="BF110"/>
  <c r="BE110"/>
  <c r="BD110"/>
  <c r="BC110"/>
  <c r="BA110" s="1"/>
  <c r="BB110"/>
  <c r="AX110"/>
  <c r="AW110"/>
  <c r="AV110"/>
  <c r="AC110"/>
  <c r="H110"/>
  <c r="G110" s="1"/>
  <c r="BT109"/>
  <c r="BS109"/>
  <c r="BR109"/>
  <c r="BQ109"/>
  <c r="BP109"/>
  <c r="BO109"/>
  <c r="BN109"/>
  <c r="BM109"/>
  <c r="BL109" s="1"/>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G108" s="1"/>
  <c r="H108"/>
  <c r="BT107"/>
  <c r="BS107"/>
  <c r="BR107"/>
  <c r="BQ107"/>
  <c r="BP107"/>
  <c r="BO107"/>
  <c r="BN107"/>
  <c r="BM107"/>
  <c r="BL107"/>
  <c r="BK107"/>
  <c r="BJ107"/>
  <c r="BI107"/>
  <c r="BH107"/>
  <c r="BG107"/>
  <c r="BF107"/>
  <c r="BE107"/>
  <c r="BD107"/>
  <c r="BC107"/>
  <c r="BA107" s="1"/>
  <c r="BB107"/>
  <c r="AX107"/>
  <c r="AW107"/>
  <c r="AV107"/>
  <c r="AC107"/>
  <c r="H107"/>
  <c r="G107" s="1"/>
  <c r="BT106"/>
  <c r="BS106"/>
  <c r="BR106"/>
  <c r="BQ106"/>
  <c r="BP106"/>
  <c r="BO106"/>
  <c r="BN106"/>
  <c r="BM106"/>
  <c r="BL106" s="1"/>
  <c r="BK106"/>
  <c r="BJ106"/>
  <c r="BI106"/>
  <c r="BH106"/>
  <c r="BG106"/>
  <c r="BF106"/>
  <c r="BE106"/>
  <c r="BD106"/>
  <c r="BC106"/>
  <c r="BB106"/>
  <c r="BA106" s="1"/>
  <c r="AX106"/>
  <c r="AW106"/>
  <c r="AV106"/>
  <c r="AC106"/>
  <c r="G106" s="1"/>
  <c r="H106"/>
  <c r="BT105"/>
  <c r="BS105"/>
  <c r="BR105"/>
  <c r="BQ105"/>
  <c r="BP105"/>
  <c r="BO105"/>
  <c r="BN105"/>
  <c r="BM105"/>
  <c r="BL105"/>
  <c r="BK105"/>
  <c r="BJ105"/>
  <c r="BI105"/>
  <c r="BH105"/>
  <c r="BG105"/>
  <c r="BF105"/>
  <c r="BE105"/>
  <c r="BD105"/>
  <c r="BC105"/>
  <c r="BA105" s="1"/>
  <c r="AZ105" s="1"/>
  <c r="BB105"/>
  <c r="AX105"/>
  <c r="AW105"/>
  <c r="AV105"/>
  <c r="AC105"/>
  <c r="H105"/>
  <c r="G105" s="1"/>
  <c r="BT104"/>
  <c r="BS104"/>
  <c r="BR104"/>
  <c r="BQ104"/>
  <c r="BP104"/>
  <c r="BO104"/>
  <c r="BN104"/>
  <c r="BL104" s="1"/>
  <c r="BM104"/>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BA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s="1"/>
  <c r="BT101"/>
  <c r="BS101"/>
  <c r="BR101"/>
  <c r="BQ101"/>
  <c r="BP101"/>
  <c r="BO101"/>
  <c r="BN101"/>
  <c r="BL101" s="1"/>
  <c r="BM101"/>
  <c r="BK101"/>
  <c r="BJ101"/>
  <c r="BI101"/>
  <c r="BH101"/>
  <c r="BG101"/>
  <c r="BF101"/>
  <c r="BE101"/>
  <c r="BD101"/>
  <c r="BC101"/>
  <c r="BB101"/>
  <c r="BA101" s="1"/>
  <c r="AX101"/>
  <c r="AW101"/>
  <c r="AV101"/>
  <c r="AC101"/>
  <c r="H101"/>
  <c r="G101" s="1"/>
  <c r="BT100"/>
  <c r="BS100"/>
  <c r="BR100"/>
  <c r="BQ100"/>
  <c r="BP100"/>
  <c r="BO100"/>
  <c r="BN100"/>
  <c r="BM100"/>
  <c r="BL100" s="1"/>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L98" s="1"/>
  <c r="BM98"/>
  <c r="BK98"/>
  <c r="BJ98"/>
  <c r="BI98"/>
  <c r="BH98"/>
  <c r="BG98"/>
  <c r="BF98"/>
  <c r="BE98"/>
  <c r="BD98"/>
  <c r="BC98"/>
  <c r="BB98"/>
  <c r="BA98" s="1"/>
  <c r="AX98"/>
  <c r="AW98"/>
  <c r="AV98"/>
  <c r="AC98"/>
  <c r="H98"/>
  <c r="G98"/>
  <c r="BT97"/>
  <c r="BS97"/>
  <c r="BR97"/>
  <c r="BQ97"/>
  <c r="BP97"/>
  <c r="BO97"/>
  <c r="BN97"/>
  <c r="BM97"/>
  <c r="BL97" s="1"/>
  <c r="BK97"/>
  <c r="BJ97"/>
  <c r="BI97"/>
  <c r="BH97"/>
  <c r="BG97"/>
  <c r="BF97"/>
  <c r="BE97"/>
  <c r="BD97"/>
  <c r="BC97"/>
  <c r="BB97"/>
  <c r="BA97"/>
  <c r="AX97"/>
  <c r="AW97"/>
  <c r="AV97"/>
  <c r="AC97"/>
  <c r="G97" s="1"/>
  <c r="H97"/>
  <c r="BT96"/>
  <c r="BS96"/>
  <c r="BR96"/>
  <c r="BQ96"/>
  <c r="BP96"/>
  <c r="BO96"/>
  <c r="BN96"/>
  <c r="BM96"/>
  <c r="BL96"/>
  <c r="BK96"/>
  <c r="BJ96"/>
  <c r="BI96"/>
  <c r="BH96"/>
  <c r="BG96"/>
  <c r="BF96"/>
  <c r="BE96"/>
  <c r="BD96"/>
  <c r="BC96"/>
  <c r="BA96" s="1"/>
  <c r="AZ96" s="1"/>
  <c r="BB96"/>
  <c r="AX96"/>
  <c r="AW96"/>
  <c r="AV96"/>
  <c r="AC96"/>
  <c r="H96"/>
  <c r="G96" s="1"/>
  <c r="BT95"/>
  <c r="BS95"/>
  <c r="BR95"/>
  <c r="BQ95"/>
  <c r="BP95"/>
  <c r="BO95"/>
  <c r="BN95"/>
  <c r="BL95" s="1"/>
  <c r="BM95"/>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BA94" s="1"/>
  <c r="AX94"/>
  <c r="AW94"/>
  <c r="AV94"/>
  <c r="AC94"/>
  <c r="G94" s="1"/>
  <c r="H94"/>
  <c r="BT93"/>
  <c r="BS93"/>
  <c r="BR93"/>
  <c r="BQ93"/>
  <c r="BP93"/>
  <c r="BO93"/>
  <c r="BN93"/>
  <c r="BM93"/>
  <c r="BL93"/>
  <c r="BK93"/>
  <c r="BJ93"/>
  <c r="BI93"/>
  <c r="BH93"/>
  <c r="BG93"/>
  <c r="BF93"/>
  <c r="BE93"/>
  <c r="BD93"/>
  <c r="BC93"/>
  <c r="BA93" s="1"/>
  <c r="AZ93" s="1"/>
  <c r="BB93"/>
  <c r="AX93"/>
  <c r="AW93"/>
  <c r="AV93"/>
  <c r="AC93"/>
  <c r="H93"/>
  <c r="G93" s="1"/>
  <c r="BT92"/>
  <c r="BS92"/>
  <c r="BR92"/>
  <c r="BQ92"/>
  <c r="BP92"/>
  <c r="BO92"/>
  <c r="BN92"/>
  <c r="BL92" s="1"/>
  <c r="BM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BA91" s="1"/>
  <c r="AX91"/>
  <c r="AW91"/>
  <c r="AV91"/>
  <c r="AC91"/>
  <c r="G91" s="1"/>
  <c r="H91"/>
  <c r="BT90"/>
  <c r="BS90"/>
  <c r="BR90"/>
  <c r="BQ90"/>
  <c r="BP90"/>
  <c r="BO90"/>
  <c r="BN90"/>
  <c r="BM90"/>
  <c r="BL90"/>
  <c r="BK90"/>
  <c r="BJ90"/>
  <c r="BI90"/>
  <c r="BH90"/>
  <c r="BG90"/>
  <c r="BF90"/>
  <c r="BE90"/>
  <c r="BD90"/>
  <c r="BC90"/>
  <c r="BA90" s="1"/>
  <c r="BB90"/>
  <c r="AX90"/>
  <c r="AW90"/>
  <c r="AV90"/>
  <c r="AC90"/>
  <c r="H90"/>
  <c r="G90" s="1"/>
  <c r="BT89"/>
  <c r="BS89"/>
  <c r="BR89"/>
  <c r="BQ89"/>
  <c r="BP89"/>
  <c r="BO89"/>
  <c r="BN89"/>
  <c r="BM89"/>
  <c r="BL89" s="1"/>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G88" s="1"/>
  <c r="H88"/>
  <c r="BT87"/>
  <c r="BS87"/>
  <c r="BR87"/>
  <c r="BQ87"/>
  <c r="BP87"/>
  <c r="BO87"/>
  <c r="BN87"/>
  <c r="BM87"/>
  <c r="BL87"/>
  <c r="BK87"/>
  <c r="BJ87"/>
  <c r="BI87"/>
  <c r="BH87"/>
  <c r="BG87"/>
  <c r="BF87"/>
  <c r="BE87"/>
  <c r="BD87"/>
  <c r="BC87"/>
  <c r="BA87" s="1"/>
  <c r="AZ87" s="1"/>
  <c r="BB87"/>
  <c r="AX87"/>
  <c r="AW87"/>
  <c r="AV87"/>
  <c r="AC87"/>
  <c r="H87"/>
  <c r="G87" s="1"/>
  <c r="BT86"/>
  <c r="BS86"/>
  <c r="BR86"/>
  <c r="BQ86"/>
  <c r="BP86"/>
  <c r="BO86"/>
  <c r="BN86"/>
  <c r="BL86" s="1"/>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s="1"/>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s="1"/>
  <c r="BT81"/>
  <c r="BS81"/>
  <c r="BR81"/>
  <c r="BQ81"/>
  <c r="BP81"/>
  <c r="BO81"/>
  <c r="BN81"/>
  <c r="BL81" s="1"/>
  <c r="BM81"/>
  <c r="BK81"/>
  <c r="BJ81"/>
  <c r="BI81"/>
  <c r="BH81"/>
  <c r="BG81"/>
  <c r="BF81"/>
  <c r="BE81"/>
  <c r="BD81"/>
  <c r="BC81"/>
  <c r="BB81"/>
  <c r="BA81" s="1"/>
  <c r="AZ81" s="1"/>
  <c r="AX81"/>
  <c r="AW81"/>
  <c r="AV81"/>
  <c r="AC81"/>
  <c r="H81"/>
  <c r="G81" s="1"/>
  <c r="BT80"/>
  <c r="BS80"/>
  <c r="BR80"/>
  <c r="BQ80"/>
  <c r="BP80"/>
  <c r="BO80"/>
  <c r="BN80"/>
  <c r="BM80"/>
  <c r="BL80" s="1"/>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s="1"/>
  <c r="BT78"/>
  <c r="BS78"/>
  <c r="BR78"/>
  <c r="BQ78"/>
  <c r="BP78"/>
  <c r="BO78"/>
  <c r="BN78"/>
  <c r="BL78" s="1"/>
  <c r="BM78"/>
  <c r="BK78"/>
  <c r="BJ78"/>
  <c r="BI78"/>
  <c r="BH78"/>
  <c r="BG78"/>
  <c r="BF78"/>
  <c r="BE78"/>
  <c r="BD78"/>
  <c r="BC78"/>
  <c r="BB78"/>
  <c r="BA78" s="1"/>
  <c r="AX78"/>
  <c r="AW78"/>
  <c r="AV78"/>
  <c r="AC78"/>
  <c r="H78"/>
  <c r="G78"/>
  <c r="BT77"/>
  <c r="BS77"/>
  <c r="BR77"/>
  <c r="BQ77"/>
  <c r="BP77"/>
  <c r="BO77"/>
  <c r="BN77"/>
  <c r="BM77"/>
  <c r="BL77" s="1"/>
  <c r="BK77"/>
  <c r="BJ77"/>
  <c r="BI77"/>
  <c r="BH77"/>
  <c r="BG77"/>
  <c r="BF77"/>
  <c r="BE77"/>
  <c r="BD77"/>
  <c r="BC77"/>
  <c r="BB77"/>
  <c r="BA77"/>
  <c r="AZ77" s="1"/>
  <c r="AX77"/>
  <c r="AW77"/>
  <c r="AV77"/>
  <c r="AC77"/>
  <c r="G77" s="1"/>
  <c r="H77"/>
  <c r="BT76"/>
  <c r="BS76"/>
  <c r="BR76"/>
  <c r="BQ76"/>
  <c r="BP76"/>
  <c r="BO76"/>
  <c r="BN76"/>
  <c r="BM76"/>
  <c r="BL76"/>
  <c r="BK76"/>
  <c r="BJ76"/>
  <c r="BI76"/>
  <c r="BH76"/>
  <c r="BG76"/>
  <c r="BF76"/>
  <c r="BE76"/>
  <c r="BD76"/>
  <c r="BC76"/>
  <c r="BA76" s="1"/>
  <c r="AZ76" s="1"/>
  <c r="BB76"/>
  <c r="AX76"/>
  <c r="AW76"/>
  <c r="AV76"/>
  <c r="AC76"/>
  <c r="H76"/>
  <c r="G76" s="1"/>
  <c r="BT75"/>
  <c r="BS75"/>
  <c r="BR75"/>
  <c r="BQ75"/>
  <c r="BP75"/>
  <c r="BO75"/>
  <c r="BN75"/>
  <c r="BL75" s="1"/>
  <c r="BM75"/>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BA74" s="1"/>
  <c r="AX74"/>
  <c r="AW74"/>
  <c r="AV74"/>
  <c r="AC74"/>
  <c r="G74" s="1"/>
  <c r="H74"/>
  <c r="BT73"/>
  <c r="BS73"/>
  <c r="BR73"/>
  <c r="BQ73"/>
  <c r="BP73"/>
  <c r="BO73"/>
  <c r="BN73"/>
  <c r="BM73"/>
  <c r="BL73"/>
  <c r="BK73"/>
  <c r="BJ73"/>
  <c r="BI73"/>
  <c r="BH73"/>
  <c r="BG73"/>
  <c r="BF73"/>
  <c r="BE73"/>
  <c r="BD73"/>
  <c r="BC73"/>
  <c r="BA73" s="1"/>
  <c r="AZ73" s="1"/>
  <c r="BB73"/>
  <c r="AX73"/>
  <c r="AW73"/>
  <c r="AV73"/>
  <c r="AC73"/>
  <c r="H73"/>
  <c r="G73" s="1"/>
  <c r="BT72"/>
  <c r="BS72"/>
  <c r="BR72"/>
  <c r="BQ72"/>
  <c r="BP72"/>
  <c r="BO72"/>
  <c r="BN72"/>
  <c r="BL72" s="1"/>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X71"/>
  <c r="AW71"/>
  <c r="AV71"/>
  <c r="AC71"/>
  <c r="G71" s="1"/>
  <c r="H71"/>
  <c r="BT70"/>
  <c r="BS70"/>
  <c r="BR70"/>
  <c r="BQ70"/>
  <c r="BP70"/>
  <c r="BO70"/>
  <c r="BN70"/>
  <c r="BM70"/>
  <c r="BL70"/>
  <c r="BK70"/>
  <c r="BJ70"/>
  <c r="BI70"/>
  <c r="BH70"/>
  <c r="BG70"/>
  <c r="BF70"/>
  <c r="BE70"/>
  <c r="BD70"/>
  <c r="BC70"/>
  <c r="BA70" s="1"/>
  <c r="BB70"/>
  <c r="AX70"/>
  <c r="AW70"/>
  <c r="AV70"/>
  <c r="AC70"/>
  <c r="H70"/>
  <c r="G70" s="1"/>
  <c r="BT69"/>
  <c r="BS69"/>
  <c r="BR69"/>
  <c r="BQ69"/>
  <c r="BP69"/>
  <c r="BO69"/>
  <c r="BN69"/>
  <c r="BM69"/>
  <c r="BL69" s="1"/>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G68" s="1"/>
  <c r="H68"/>
  <c r="BT67"/>
  <c r="BS67"/>
  <c r="BR67"/>
  <c r="BQ67"/>
  <c r="BP67"/>
  <c r="BO67"/>
  <c r="BN67"/>
  <c r="BM67"/>
  <c r="BL67"/>
  <c r="BK67"/>
  <c r="BJ67"/>
  <c r="BI67"/>
  <c r="BH67"/>
  <c r="BG67"/>
  <c r="BF67"/>
  <c r="BE67"/>
  <c r="BD67"/>
  <c r="BC67"/>
  <c r="BA67" s="1"/>
  <c r="AZ67" s="1"/>
  <c r="BB67"/>
  <c r="AX67"/>
  <c r="AW67"/>
  <c r="AV67"/>
  <c r="AC67"/>
  <c r="H67"/>
  <c r="G67" s="1"/>
  <c r="BT66"/>
  <c r="BS66"/>
  <c r="BR66"/>
  <c r="BQ66"/>
  <c r="BP66"/>
  <c r="BO66"/>
  <c r="BN66"/>
  <c r="BL66" s="1"/>
  <c r="BM66"/>
  <c r="BK66"/>
  <c r="BJ66"/>
  <c r="BI66"/>
  <c r="BH66"/>
  <c r="BG66"/>
  <c r="BF66"/>
  <c r="BE66"/>
  <c r="BD66"/>
  <c r="BC66"/>
  <c r="BB66"/>
  <c r="BA66" s="1"/>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s="1"/>
  <c r="BT63"/>
  <c r="BS63"/>
  <c r="BR63"/>
  <c r="BQ63"/>
  <c r="BP63"/>
  <c r="BO63"/>
  <c r="BN63"/>
  <c r="BM63"/>
  <c r="BL63" s="1"/>
  <c r="BK63"/>
  <c r="BJ63"/>
  <c r="BI63"/>
  <c r="BH63"/>
  <c r="BG63"/>
  <c r="BF63"/>
  <c r="BE63"/>
  <c r="BD63"/>
  <c r="BC63"/>
  <c r="BB63"/>
  <c r="BA63" s="1"/>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L61" s="1"/>
  <c r="BN61"/>
  <c r="BM6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BA59" s="1"/>
  <c r="AX59"/>
  <c r="AW59"/>
  <c r="AV59"/>
  <c r="AC59"/>
  <c r="H59"/>
  <c r="G59" s="1"/>
  <c r="BT58"/>
  <c r="BS58"/>
  <c r="BR58"/>
  <c r="BQ58"/>
  <c r="BP58"/>
  <c r="BO58"/>
  <c r="BL58" s="1"/>
  <c r="BN58"/>
  <c r="BM58"/>
  <c r="BK58"/>
  <c r="BJ58"/>
  <c r="BI58"/>
  <c r="BH58"/>
  <c r="BG58"/>
  <c r="BF58"/>
  <c r="BE58"/>
  <c r="BD58"/>
  <c r="BC58"/>
  <c r="BB58"/>
  <c r="BA58" s="1"/>
  <c r="AZ58" s="1"/>
  <c r="AX58"/>
  <c r="AW58"/>
  <c r="AV58"/>
  <c r="AC58"/>
  <c r="H58"/>
  <c r="G58" s="1"/>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BA56" s="1"/>
  <c r="AX56"/>
  <c r="AW56"/>
  <c r="AV56"/>
  <c r="AC56"/>
  <c r="H56"/>
  <c r="G56" s="1"/>
  <c r="BT55"/>
  <c r="BS55"/>
  <c r="BR55"/>
  <c r="BQ55"/>
  <c r="BP55"/>
  <c r="BO55"/>
  <c r="BL55" s="1"/>
  <c r="BN55"/>
  <c r="BM55"/>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L52" s="1"/>
  <c r="BN52"/>
  <c r="BM52"/>
  <c r="BK52"/>
  <c r="BJ52"/>
  <c r="BI52"/>
  <c r="BH52"/>
  <c r="BG52"/>
  <c r="BF52"/>
  <c r="BE52"/>
  <c r="BD52"/>
  <c r="BC52"/>
  <c r="BB52"/>
  <c r="BA52" s="1"/>
  <c r="AZ52" s="1"/>
  <c r="AX52"/>
  <c r="AW52"/>
  <c r="AV52"/>
  <c r="AC52"/>
  <c r="H52"/>
  <c r="G52" s="1"/>
  <c r="BT51"/>
  <c r="BS51"/>
  <c r="BR51"/>
  <c r="BQ51"/>
  <c r="BP51"/>
  <c r="BO51"/>
  <c r="BN51"/>
  <c r="BM51"/>
  <c r="BL51" s="1"/>
  <c r="BK51"/>
  <c r="BJ51"/>
  <c r="BI51"/>
  <c r="BH51"/>
  <c r="BG51"/>
  <c r="BF51"/>
  <c r="BE51"/>
  <c r="BD51"/>
  <c r="BC51"/>
  <c r="BB51"/>
  <c r="BA51" s="1"/>
  <c r="AX51"/>
  <c r="AW51"/>
  <c r="AV51"/>
  <c r="AC51"/>
  <c r="H51"/>
  <c r="G51"/>
  <c r="BT50"/>
  <c r="BS50"/>
  <c r="BR50"/>
  <c r="BQ50"/>
  <c r="BP50"/>
  <c r="BO50"/>
  <c r="BN50"/>
  <c r="BM50"/>
  <c r="BL50"/>
  <c r="BK50"/>
  <c r="BJ50"/>
  <c r="BI50"/>
  <c r="BH50"/>
  <c r="BG50"/>
  <c r="BF50"/>
  <c r="BE50"/>
  <c r="BD50"/>
  <c r="BA50" s="1"/>
  <c r="AZ50" s="1"/>
  <c r="BC50"/>
  <c r="BB50"/>
  <c r="AX50"/>
  <c r="AW50"/>
  <c r="AV50"/>
  <c r="AC50"/>
  <c r="H50"/>
  <c r="G50" s="1"/>
  <c r="BT49"/>
  <c r="BS49"/>
  <c r="BR49"/>
  <c r="BQ49"/>
  <c r="BP49"/>
  <c r="BO49"/>
  <c r="BL49" s="1"/>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BA47"/>
  <c r="AX47"/>
  <c r="AW47"/>
  <c r="AV47"/>
  <c r="AC47"/>
  <c r="H47"/>
  <c r="BT46"/>
  <c r="BS46"/>
  <c r="BR46"/>
  <c r="BQ46"/>
  <c r="BP46"/>
  <c r="BO46"/>
  <c r="BN46"/>
  <c r="BM46"/>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s="1"/>
  <c r="AX44"/>
  <c r="AW44"/>
  <c r="AV44"/>
  <c r="AC44"/>
  <c r="H44"/>
  <c r="G44" s="1"/>
  <c r="BT43"/>
  <c r="BS43"/>
  <c r="BR43"/>
  <c r="BQ43"/>
  <c r="BP43"/>
  <c r="BO43"/>
  <c r="BL43" s="1"/>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c r="BK41"/>
  <c r="BJ41"/>
  <c r="BI41"/>
  <c r="BH41"/>
  <c r="BG41"/>
  <c r="BF41"/>
  <c r="BE41"/>
  <c r="BD41"/>
  <c r="BA41" s="1"/>
  <c r="AZ41" s="1"/>
  <c r="BC41"/>
  <c r="BB41"/>
  <c r="AX41"/>
  <c r="AW41"/>
  <c r="AV41"/>
  <c r="AC41"/>
  <c r="H41"/>
  <c r="G41" s="1"/>
  <c r="BT40"/>
  <c r="BS40"/>
  <c r="BR40"/>
  <c r="BQ40"/>
  <c r="BP40"/>
  <c r="BO40"/>
  <c r="BL40" s="1"/>
  <c r="BN40"/>
  <c r="BM40"/>
  <c r="BK40"/>
  <c r="BJ40"/>
  <c r="BI40"/>
  <c r="BH40"/>
  <c r="BG40"/>
  <c r="BF40"/>
  <c r="BE40"/>
  <c r="BD40"/>
  <c r="BC40"/>
  <c r="BB40"/>
  <c r="BA40" s="1"/>
  <c r="AX40"/>
  <c r="AW40"/>
  <c r="AV40"/>
  <c r="AC40"/>
  <c r="H40"/>
  <c r="G40" s="1"/>
  <c r="BT39"/>
  <c r="BS39"/>
  <c r="BR39"/>
  <c r="BQ39"/>
  <c r="BP39"/>
  <c r="BO39"/>
  <c r="BN39"/>
  <c r="BM39"/>
  <c r="BK39"/>
  <c r="BJ39"/>
  <c r="BI39"/>
  <c r="BH39"/>
  <c r="BG39"/>
  <c r="BF39"/>
  <c r="BE39"/>
  <c r="BD39"/>
  <c r="BC39"/>
  <c r="BB39"/>
  <c r="BA39"/>
  <c r="AX39"/>
  <c r="AW39"/>
  <c r="AV39"/>
  <c r="AC39"/>
  <c r="H39"/>
  <c r="BT38"/>
  <c r="BS38"/>
  <c r="BR38"/>
  <c r="BQ38"/>
  <c r="BP38"/>
  <c r="BO38"/>
  <c r="BL38" s="1"/>
  <c r="BN38"/>
  <c r="BM38"/>
  <c r="BK38"/>
  <c r="BJ38"/>
  <c r="BI38"/>
  <c r="BH38"/>
  <c r="BG38"/>
  <c r="BF38"/>
  <c r="BE38"/>
  <c r="BD38"/>
  <c r="BC38"/>
  <c r="BB38"/>
  <c r="BA38" s="1"/>
  <c r="AZ38" s="1"/>
  <c r="AX38"/>
  <c r="AW38"/>
  <c r="AV38"/>
  <c r="AC38"/>
  <c r="H38"/>
  <c r="G38" s="1"/>
  <c r="BT37"/>
  <c r="BS37"/>
  <c r="BR37"/>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BA36" s="1"/>
  <c r="AZ36" s="1"/>
  <c r="AX36"/>
  <c r="AW36"/>
  <c r="AV36"/>
  <c r="AC36"/>
  <c r="H36"/>
  <c r="G36"/>
  <c r="BT35"/>
  <c r="BS35"/>
  <c r="BR35"/>
  <c r="BQ35"/>
  <c r="BP35"/>
  <c r="BO35"/>
  <c r="BN35"/>
  <c r="BM35"/>
  <c r="BL35"/>
  <c r="BK35"/>
  <c r="BJ35"/>
  <c r="BI35"/>
  <c r="BH35"/>
  <c r="BG35"/>
  <c r="BF35"/>
  <c r="BE35"/>
  <c r="BD35"/>
  <c r="BA35" s="1"/>
  <c r="BC35"/>
  <c r="BB35"/>
  <c r="AX35"/>
  <c r="AW35"/>
  <c r="AV35"/>
  <c r="AC35"/>
  <c r="H35"/>
  <c r="G35" s="1"/>
  <c r="BT34"/>
  <c r="BS34"/>
  <c r="BR34"/>
  <c r="BQ34"/>
  <c r="BP34"/>
  <c r="BO34"/>
  <c r="BN34"/>
  <c r="BM34"/>
  <c r="BL34" s="1"/>
  <c r="BK34"/>
  <c r="BJ34"/>
  <c r="BI34"/>
  <c r="BH34"/>
  <c r="BG34"/>
  <c r="BF34"/>
  <c r="BE34"/>
  <c r="BD34"/>
  <c r="BC34"/>
  <c r="BB34"/>
  <c r="BA34" s="1"/>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c r="BK32"/>
  <c r="BJ32"/>
  <c r="BI32"/>
  <c r="BH32"/>
  <c r="BG32"/>
  <c r="BF32"/>
  <c r="BE32"/>
  <c r="BD32"/>
  <c r="BA32" s="1"/>
  <c r="BC32"/>
  <c r="BB32"/>
  <c r="AX32"/>
  <c r="AW32"/>
  <c r="AV32"/>
  <c r="AC32"/>
  <c r="H32"/>
  <c r="G32" s="1"/>
  <c r="BT31"/>
  <c r="BS31"/>
  <c r="BR31"/>
  <c r="BQ31"/>
  <c r="BP31"/>
  <c r="BO31"/>
  <c r="BN31"/>
  <c r="BM31"/>
  <c r="BK31"/>
  <c r="BJ31"/>
  <c r="BI31"/>
  <c r="BH31"/>
  <c r="BG31"/>
  <c r="BF31"/>
  <c r="BE31"/>
  <c r="BD31"/>
  <c r="BC31"/>
  <c r="BB31"/>
  <c r="BA31" s="1"/>
  <c r="AX31"/>
  <c r="AW31"/>
  <c r="AV31"/>
  <c r="AC31"/>
  <c r="H31"/>
  <c r="G31"/>
  <c r="BT30"/>
  <c r="BS30"/>
  <c r="BR30"/>
  <c r="BQ30"/>
  <c r="BP30"/>
  <c r="BO30"/>
  <c r="BN30"/>
  <c r="BM30"/>
  <c r="BL30"/>
  <c r="BK30"/>
  <c r="BJ30"/>
  <c r="BI30"/>
  <c r="BH30"/>
  <c r="BG30"/>
  <c r="BF30"/>
  <c r="BE30"/>
  <c r="BD30"/>
  <c r="BA30" s="1"/>
  <c r="AZ30" s="1"/>
  <c r="BC30"/>
  <c r="BB30"/>
  <c r="AX30"/>
  <c r="AW30"/>
  <c r="AV30"/>
  <c r="AC30"/>
  <c r="H30"/>
  <c r="G30" s="1"/>
  <c r="BT29"/>
  <c r="BS29"/>
  <c r="BR29"/>
  <c r="BQ29"/>
  <c r="BP29"/>
  <c r="BO29"/>
  <c r="BL29" s="1"/>
  <c r="AZ29" s="1"/>
  <c r="BN29"/>
  <c r="BM29"/>
  <c r="BK29"/>
  <c r="BJ29"/>
  <c r="BI29"/>
  <c r="BH29"/>
  <c r="BG29"/>
  <c r="BF29"/>
  <c r="BE29"/>
  <c r="BD29"/>
  <c r="BC29"/>
  <c r="BB29"/>
  <c r="BA29" s="1"/>
  <c r="AX29"/>
  <c r="AW29"/>
  <c r="AV29"/>
  <c r="AC29"/>
  <c r="H29"/>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BA27"/>
  <c r="AX27"/>
  <c r="AW27"/>
  <c r="AV27"/>
  <c r="AC27"/>
  <c r="H27"/>
  <c r="BT26"/>
  <c r="BS26"/>
  <c r="BR26"/>
  <c r="BQ26"/>
  <c r="BP26"/>
  <c r="BO26"/>
  <c r="BN26"/>
  <c r="BL26" s="1"/>
  <c r="BM26"/>
  <c r="BK26"/>
  <c r="BJ26"/>
  <c r="BI26"/>
  <c r="BH26"/>
  <c r="BG26"/>
  <c r="BF26"/>
  <c r="BE26"/>
  <c r="BD26"/>
  <c r="BC26"/>
  <c r="BB26"/>
  <c r="BA26" s="1"/>
  <c r="AX26"/>
  <c r="AW26"/>
  <c r="AV26"/>
  <c r="AC26"/>
  <c r="H26"/>
  <c r="G26"/>
  <c r="BT25"/>
  <c r="BS25"/>
  <c r="BR25"/>
  <c r="BQ25"/>
  <c r="BP25"/>
  <c r="BO25"/>
  <c r="BN25"/>
  <c r="BM25"/>
  <c r="BL25" s="1"/>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s="1"/>
  <c r="BT23"/>
  <c r="BS23"/>
  <c r="BR23"/>
  <c r="BQ23"/>
  <c r="BP23"/>
  <c r="BO23"/>
  <c r="BL23" s="1"/>
  <c r="BN23"/>
  <c r="BM23"/>
  <c r="BK23"/>
  <c r="BJ23"/>
  <c r="BI23"/>
  <c r="BH23"/>
  <c r="BG23"/>
  <c r="BF23"/>
  <c r="BE23"/>
  <c r="BD23"/>
  <c r="BC23"/>
  <c r="BB23"/>
  <c r="BA23" s="1"/>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s="1"/>
  <c r="BK21"/>
  <c r="BJ21"/>
  <c r="BI21"/>
  <c r="BH21"/>
  <c r="BG21"/>
  <c r="BF21"/>
  <c r="BE21"/>
  <c r="BD21"/>
  <c r="BC21"/>
  <c r="BB21"/>
  <c r="BA21" s="1"/>
  <c r="AX21"/>
  <c r="AW21"/>
  <c r="AV21"/>
  <c r="AC21"/>
  <c r="H21"/>
  <c r="G21" s="1"/>
  <c r="BT204"/>
  <c r="BS204"/>
  <c r="BR204"/>
  <c r="BQ204"/>
  <c r="BP204"/>
  <c r="BO204"/>
  <c r="BL204" s="1"/>
  <c r="BN204"/>
  <c r="BM204"/>
  <c r="BK204"/>
  <c r="BJ204"/>
  <c r="BI204"/>
  <c r="BH204"/>
  <c r="BG204"/>
  <c r="BF204"/>
  <c r="BE204"/>
  <c r="BD204"/>
  <c r="BC204"/>
  <c r="BB204"/>
  <c r="BA204" s="1"/>
  <c r="AZ204" s="1"/>
  <c r="AX204"/>
  <c r="AW204"/>
  <c r="AV204"/>
  <c r="AC204"/>
  <c r="H204"/>
  <c r="G204" s="1"/>
  <c r="BT203"/>
  <c r="BS203"/>
  <c r="BR203"/>
  <c r="BQ203"/>
  <c r="BP203"/>
  <c r="BO203"/>
  <c r="BN203"/>
  <c r="BM203"/>
  <c r="BL203" s="1"/>
  <c r="BK203"/>
  <c r="BJ203"/>
  <c r="BI203"/>
  <c r="BH203"/>
  <c r="BG203"/>
  <c r="BF203"/>
  <c r="BE203"/>
  <c r="BD203"/>
  <c r="BC203"/>
  <c r="BB203"/>
  <c r="BA203" s="1"/>
  <c r="AX203"/>
  <c r="AW203"/>
  <c r="AV203"/>
  <c r="AC203"/>
  <c r="H203"/>
  <c r="G203"/>
  <c r="BT202"/>
  <c r="BS202"/>
  <c r="BR202"/>
  <c r="BQ202"/>
  <c r="BP202"/>
  <c r="BO202"/>
  <c r="BN202"/>
  <c r="BM202"/>
  <c r="BL202"/>
  <c r="BK202"/>
  <c r="BJ202"/>
  <c r="BI202"/>
  <c r="BH202"/>
  <c r="BG202"/>
  <c r="BF202"/>
  <c r="BE202"/>
  <c r="BD202"/>
  <c r="BA202" s="1"/>
  <c r="AZ202" s="1"/>
  <c r="BC202"/>
  <c r="BB202"/>
  <c r="AX202"/>
  <c r="AW202"/>
  <c r="AV202"/>
  <c r="AC202"/>
  <c r="H202"/>
  <c r="G202" s="1"/>
  <c r="BT201"/>
  <c r="BS201"/>
  <c r="BR201"/>
  <c r="BQ201"/>
  <c r="BP201"/>
  <c r="BO201"/>
  <c r="BN201"/>
  <c r="BM201"/>
  <c r="BK201"/>
  <c r="BJ201"/>
  <c r="BI201"/>
  <c r="BH201"/>
  <c r="BG201"/>
  <c r="BF201"/>
  <c r="BE201"/>
  <c r="BD201"/>
  <c r="BC201"/>
  <c r="BB201"/>
  <c r="BA201" s="1"/>
  <c r="AX201"/>
  <c r="AW201"/>
  <c r="AV201"/>
  <c r="AC201"/>
  <c r="G201" s="1"/>
  <c r="H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s="1"/>
  <c r="BT198"/>
  <c r="BS198"/>
  <c r="BR198"/>
  <c r="BQ198"/>
  <c r="BP198"/>
  <c r="BO198"/>
  <c r="BN198"/>
  <c r="BL198" s="1"/>
  <c r="BM198"/>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A197" s="1"/>
  <c r="BB197"/>
  <c r="AX197"/>
  <c r="AW197"/>
  <c r="AV197"/>
  <c r="AC197"/>
  <c r="H197"/>
  <c r="G197" s="1"/>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L195" s="1"/>
  <c r="BM195"/>
  <c r="BK195"/>
  <c r="BJ195"/>
  <c r="BI195"/>
  <c r="BH195"/>
  <c r="BG195"/>
  <c r="BF195"/>
  <c r="BE195"/>
  <c r="BD195"/>
  <c r="BC195"/>
  <c r="BB195"/>
  <c r="BA195" s="1"/>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G193" s="1"/>
  <c r="H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s="1"/>
  <c r="BT190"/>
  <c r="BS190"/>
  <c r="BR190"/>
  <c r="BQ190"/>
  <c r="BP190"/>
  <c r="BO190"/>
  <c r="BN190"/>
  <c r="BL190" s="1"/>
  <c r="BM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A189" s="1"/>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L187" s="1"/>
  <c r="BM187"/>
  <c r="BK187"/>
  <c r="BJ187"/>
  <c r="BI187"/>
  <c r="BH187"/>
  <c r="BG187"/>
  <c r="BF187"/>
  <c r="BE187"/>
  <c r="BD187"/>
  <c r="BC187"/>
  <c r="BB187"/>
  <c r="BA187" s="1"/>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G185" s="1"/>
  <c r="H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s="1"/>
  <c r="BT182"/>
  <c r="BS182"/>
  <c r="BR182"/>
  <c r="BQ182"/>
  <c r="BP182"/>
  <c r="BO182"/>
  <c r="BN182"/>
  <c r="BL182" s="1"/>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A181" s="1"/>
  <c r="BB181"/>
  <c r="AX181"/>
  <c r="AW181"/>
  <c r="AV181"/>
  <c r="AC181"/>
  <c r="H181"/>
  <c r="G181" s="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G179" s="1"/>
  <c r="H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s="1"/>
  <c r="BT176"/>
  <c r="BS176"/>
  <c r="BR176"/>
  <c r="BQ176"/>
  <c r="BP176"/>
  <c r="BO176"/>
  <c r="BN176"/>
  <c r="BL176" s="1"/>
  <c r="BM176"/>
  <c r="BK176"/>
  <c r="BJ176"/>
  <c r="BI176"/>
  <c r="BH176"/>
  <c r="BG176"/>
  <c r="BF176"/>
  <c r="BE176"/>
  <c r="BD176"/>
  <c r="BC176"/>
  <c r="BB176"/>
  <c r="BA176" s="1"/>
  <c r="AZ176" s="1"/>
  <c r="AX176"/>
  <c r="AW176"/>
  <c r="AV176"/>
  <c r="AC176"/>
  <c r="H176"/>
  <c r="G176" s="1"/>
  <c r="BT175"/>
  <c r="BS175"/>
  <c r="BR175"/>
  <c r="BQ175"/>
  <c r="BP175"/>
  <c r="BO175"/>
  <c r="BN175"/>
  <c r="BM175"/>
  <c r="BL175" s="1"/>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BA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A166" s="1"/>
  <c r="BC166"/>
  <c r="BB166"/>
  <c r="AX166"/>
  <c r="AW166"/>
  <c r="AV166"/>
  <c r="AC166"/>
  <c r="H166"/>
  <c r="G166" s="1"/>
  <c r="BT165"/>
  <c r="BS165"/>
  <c r="BR165"/>
  <c r="BQ165"/>
  <c r="BP165"/>
  <c r="BO165"/>
  <c r="BN165"/>
  <c r="BL165" s="1"/>
  <c r="BM165"/>
  <c r="BK165"/>
  <c r="BJ165"/>
  <c r="BI165"/>
  <c r="BH165"/>
  <c r="BG165"/>
  <c r="BF165"/>
  <c r="BE165"/>
  <c r="BD165"/>
  <c r="BC165"/>
  <c r="BB165"/>
  <c r="AX165"/>
  <c r="AW165"/>
  <c r="AV165"/>
  <c r="AC165"/>
  <c r="G165" s="1"/>
  <c r="H165"/>
  <c r="BT164"/>
  <c r="BS164"/>
  <c r="BR164"/>
  <c r="BQ164"/>
  <c r="BP164"/>
  <c r="BO164"/>
  <c r="BL164" s="1"/>
  <c r="BN164"/>
  <c r="BM164"/>
  <c r="BK164"/>
  <c r="BJ164"/>
  <c r="BI164"/>
  <c r="BH164"/>
  <c r="BG164"/>
  <c r="BF164"/>
  <c r="BE164"/>
  <c r="BD164"/>
  <c r="BC164"/>
  <c r="BA164" s="1"/>
  <c r="BB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G158" s="1"/>
  <c r="H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s="1"/>
  <c r="BT155"/>
  <c r="BS155"/>
  <c r="BR155"/>
  <c r="BQ155"/>
  <c r="BP155"/>
  <c r="BO155"/>
  <c r="BN155"/>
  <c r="BM155"/>
  <c r="BL155" s="1"/>
  <c r="BK155"/>
  <c r="BJ155"/>
  <c r="BI155"/>
  <c r="BH155"/>
  <c r="BG155"/>
  <c r="BF155"/>
  <c r="BE155"/>
  <c r="BD155"/>
  <c r="BC155"/>
  <c r="BB155"/>
  <c r="BA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BA152" s="1"/>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BA149" s="1"/>
  <c r="AZ149" s="1"/>
  <c r="AX149"/>
  <c r="AW149"/>
  <c r="AV149"/>
  <c r="AC149"/>
  <c r="H149"/>
  <c r="G149" s="1"/>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L145" s="1"/>
  <c r="BM145"/>
  <c r="BK145"/>
  <c r="BJ145"/>
  <c r="BI145"/>
  <c r="BH145"/>
  <c r="BG145"/>
  <c r="BF145"/>
  <c r="BE145"/>
  <c r="BD145"/>
  <c r="BC145"/>
  <c r="BB145"/>
  <c r="BA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L138" s="1"/>
  <c r="BM138"/>
  <c r="BK138"/>
  <c r="BJ138"/>
  <c r="BI138"/>
  <c r="BH138"/>
  <c r="BG138"/>
  <c r="BF138"/>
  <c r="BE138"/>
  <c r="BD138"/>
  <c r="BC138"/>
  <c r="BB138"/>
  <c r="AX138"/>
  <c r="AW138"/>
  <c r="AV138"/>
  <c r="AC138"/>
  <c r="G138" s="1"/>
  <c r="H138"/>
  <c r="BT137"/>
  <c r="BS137"/>
  <c r="BR137"/>
  <c r="BQ137"/>
  <c r="BP137"/>
  <c r="BO137"/>
  <c r="BL137" s="1"/>
  <c r="BN137"/>
  <c r="BM137"/>
  <c r="BK137"/>
  <c r="BJ137"/>
  <c r="BI137"/>
  <c r="BH137"/>
  <c r="BG137"/>
  <c r="BF137"/>
  <c r="BE137"/>
  <c r="BD137"/>
  <c r="BC137"/>
  <c r="BA137" s="1"/>
  <c r="BB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L132" s="1"/>
  <c r="BM132"/>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c r="AX131"/>
  <c r="AW131"/>
  <c r="AV131"/>
  <c r="AC131"/>
  <c r="G131" s="1"/>
  <c r="H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AX129"/>
  <c r="AW129"/>
  <c r="AV129"/>
  <c r="AC129"/>
  <c r="G129" s="1"/>
  <c r="H129"/>
  <c r="BT128"/>
  <c r="BS128"/>
  <c r="BR128"/>
  <c r="BQ128"/>
  <c r="BP128"/>
  <c r="BO128"/>
  <c r="BN128"/>
  <c r="BM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G125" s="1"/>
  <c r="BT124"/>
  <c r="BS124"/>
  <c r="BR124"/>
  <c r="BQ124"/>
  <c r="BP124"/>
  <c r="BO124"/>
  <c r="BL124" s="1"/>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L121" s="1"/>
  <c r="BM121"/>
  <c r="BK121"/>
  <c r="BJ121"/>
  <c r="BI121"/>
  <c r="BH121"/>
  <c r="BG121"/>
  <c r="BF121"/>
  <c r="BE121"/>
  <c r="BD121"/>
  <c r="BC121"/>
  <c r="BB121"/>
  <c r="BA121" s="1"/>
  <c r="AX121"/>
  <c r="AW121"/>
  <c r="AV121"/>
  <c r="AC121"/>
  <c r="H121"/>
  <c r="G121"/>
  <c r="BT120"/>
  <c r="BS120"/>
  <c r="BR120"/>
  <c r="BQ120"/>
  <c r="BP120"/>
  <c r="BO120"/>
  <c r="BN120"/>
  <c r="BM120"/>
  <c r="BL120"/>
  <c r="BK120"/>
  <c r="BJ120"/>
  <c r="BI120"/>
  <c r="BH120"/>
  <c r="BG120"/>
  <c r="BF120"/>
  <c r="BE120"/>
  <c r="BD120"/>
  <c r="BA120" s="1"/>
  <c r="AZ120" s="1"/>
  <c r="BC120"/>
  <c r="BB120"/>
  <c r="AX120"/>
  <c r="AW120"/>
  <c r="AV120"/>
  <c r="AC120"/>
  <c r="H120"/>
  <c r="BT119"/>
  <c r="BS119"/>
  <c r="BR119"/>
  <c r="BQ119"/>
  <c r="BP119"/>
  <c r="BO119"/>
  <c r="BN119"/>
  <c r="BM119"/>
  <c r="BK119"/>
  <c r="BJ119"/>
  <c r="BI119"/>
  <c r="BH119"/>
  <c r="BG119"/>
  <c r="BF119"/>
  <c r="BE119"/>
  <c r="BD119"/>
  <c r="BC119"/>
  <c r="BB119"/>
  <c r="BA119"/>
  <c r="AX119"/>
  <c r="AW119"/>
  <c r="AV119"/>
  <c r="AC119"/>
  <c r="H119"/>
  <c r="G119" s="1"/>
  <c r="BT118"/>
  <c r="BS118"/>
  <c r="BR118"/>
  <c r="BQ118"/>
  <c r="BP118"/>
  <c r="BO118"/>
  <c r="BN118"/>
  <c r="BL118" s="1"/>
  <c r="BM118"/>
  <c r="BK118"/>
  <c r="BJ118"/>
  <c r="BI118"/>
  <c r="BH118"/>
  <c r="BG118"/>
  <c r="BF118"/>
  <c r="BE118"/>
  <c r="BD118"/>
  <c r="BC118"/>
  <c r="BB118"/>
  <c r="AX118"/>
  <c r="AW118"/>
  <c r="AV118"/>
  <c r="AC118"/>
  <c r="G118" s="1"/>
  <c r="H118"/>
  <c r="BT117"/>
  <c r="BS117"/>
  <c r="BR117"/>
  <c r="BQ117"/>
  <c r="BP117"/>
  <c r="BO117"/>
  <c r="BN117"/>
  <c r="BM117"/>
  <c r="BL117"/>
  <c r="BK117"/>
  <c r="BJ117"/>
  <c r="BI117"/>
  <c r="BH117"/>
  <c r="BG117"/>
  <c r="BF117"/>
  <c r="BE117"/>
  <c r="BD117"/>
  <c r="BC117"/>
  <c r="BA117" s="1"/>
  <c r="AZ117" s="1"/>
  <c r="BB117"/>
  <c r="AX117"/>
  <c r="AW117"/>
  <c r="AV117"/>
  <c r="AC117"/>
  <c r="H117"/>
  <c r="G117" s="1"/>
  <c r="BT116"/>
  <c r="BS116"/>
  <c r="BR116"/>
  <c r="BQ116"/>
  <c r="BP116"/>
  <c r="BO116"/>
  <c r="BN116"/>
  <c r="BL116" s="1"/>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A115" s="1"/>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L113" s="1"/>
  <c r="BM113"/>
  <c r="BK113"/>
  <c r="BJ113"/>
  <c r="BI113"/>
  <c r="BH113"/>
  <c r="BG113"/>
  <c r="BF113"/>
  <c r="BE113"/>
  <c r="BD113"/>
  <c r="BC113"/>
  <c r="BB113"/>
  <c r="BA113" s="1"/>
  <c r="AZ113" s="1"/>
  <c r="AX113"/>
  <c r="AW113"/>
  <c r="AV113"/>
  <c r="AC113"/>
  <c r="H113"/>
  <c r="G113" s="1"/>
  <c r="BT296"/>
  <c r="BS296"/>
  <c r="BR296"/>
  <c r="BQ296"/>
  <c r="BP296"/>
  <c r="BO296"/>
  <c r="BN296"/>
  <c r="BM296"/>
  <c r="BL296" s="1"/>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s="1"/>
  <c r="BT294"/>
  <c r="BS294"/>
  <c r="BR294"/>
  <c r="BQ294"/>
  <c r="BP294"/>
  <c r="BO294"/>
  <c r="BN294"/>
  <c r="BL294" s="1"/>
  <c r="BM294"/>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BA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L291" s="1"/>
  <c r="BN291"/>
  <c r="BM291"/>
  <c r="BK291"/>
  <c r="BJ291"/>
  <c r="BI291"/>
  <c r="BH291"/>
  <c r="BG291"/>
  <c r="BF291"/>
  <c r="BE291"/>
  <c r="BD291"/>
  <c r="BC291"/>
  <c r="BB291"/>
  <c r="BA291" s="1"/>
  <c r="AZ291" s="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G290"/>
  <c r="BT289"/>
  <c r="BS289"/>
  <c r="BR289"/>
  <c r="BQ289"/>
  <c r="BP289"/>
  <c r="BO289"/>
  <c r="BN289"/>
  <c r="BM289"/>
  <c r="BL289"/>
  <c r="BK289"/>
  <c r="BJ289"/>
  <c r="BI289"/>
  <c r="BH289"/>
  <c r="BG289"/>
  <c r="BF289"/>
  <c r="BE289"/>
  <c r="BD289"/>
  <c r="BA289" s="1"/>
  <c r="BC289"/>
  <c r="BB289"/>
  <c r="AX289"/>
  <c r="AW289"/>
  <c r="AV289"/>
  <c r="AC289"/>
  <c r="H289"/>
  <c r="G289" s="1"/>
  <c r="BT288"/>
  <c r="BS288"/>
  <c r="BR288"/>
  <c r="BQ288"/>
  <c r="BP288"/>
  <c r="BO288"/>
  <c r="BN288"/>
  <c r="BM288"/>
  <c r="BL288" s="1"/>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c r="BT286"/>
  <c r="BS286"/>
  <c r="BR286"/>
  <c r="BQ286"/>
  <c r="BP286"/>
  <c r="BO286"/>
  <c r="BN286"/>
  <c r="BM286"/>
  <c r="BL286"/>
  <c r="BK286"/>
  <c r="BJ286"/>
  <c r="BI286"/>
  <c r="BH286"/>
  <c r="BG286"/>
  <c r="BF286"/>
  <c r="BE286"/>
  <c r="BD286"/>
  <c r="BA286" s="1"/>
  <c r="BC286"/>
  <c r="BB286"/>
  <c r="AX286"/>
  <c r="AW286"/>
  <c r="AV286"/>
  <c r="AC286"/>
  <c r="H286"/>
  <c r="G286" s="1"/>
  <c r="BT285"/>
  <c r="BS285"/>
  <c r="BR285"/>
  <c r="BQ285"/>
  <c r="BP285"/>
  <c r="BO285"/>
  <c r="BN285"/>
  <c r="BM285"/>
  <c r="BL285" s="1"/>
  <c r="BK285"/>
  <c r="BJ285"/>
  <c r="BI285"/>
  <c r="BH285"/>
  <c r="BG285"/>
  <c r="BF285"/>
  <c r="BE285"/>
  <c r="BD285"/>
  <c r="BC285"/>
  <c r="BB285"/>
  <c r="BA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L283" s="1"/>
  <c r="BN283"/>
  <c r="BM283"/>
  <c r="BK283"/>
  <c r="BJ283"/>
  <c r="BI283"/>
  <c r="BH283"/>
  <c r="BG283"/>
  <c r="BF283"/>
  <c r="BE283"/>
  <c r="BD283"/>
  <c r="BC283"/>
  <c r="BB283"/>
  <c r="BA283" s="1"/>
  <c r="AZ283" s="1"/>
  <c r="AX283"/>
  <c r="AW283"/>
  <c r="AV283"/>
  <c r="AC283"/>
  <c r="H283"/>
  <c r="G283" s="1"/>
  <c r="BT282"/>
  <c r="BS282"/>
  <c r="BR282"/>
  <c r="BQ282"/>
  <c r="BP282"/>
  <c r="BO282"/>
  <c r="BN282"/>
  <c r="BM282"/>
  <c r="BL282" s="1"/>
  <c r="BK282"/>
  <c r="BJ282"/>
  <c r="BI282"/>
  <c r="BH282"/>
  <c r="BG282"/>
  <c r="BF282"/>
  <c r="BE282"/>
  <c r="BD282"/>
  <c r="BC282"/>
  <c r="BB282"/>
  <c r="BA282" s="1"/>
  <c r="AX282"/>
  <c r="AW282"/>
  <c r="AV282"/>
  <c r="AC282"/>
  <c r="H282"/>
  <c r="G282"/>
  <c r="BT281"/>
  <c r="BS281"/>
  <c r="BR281"/>
  <c r="BQ281"/>
  <c r="BP281"/>
  <c r="BO281"/>
  <c r="BN281"/>
  <c r="BM281"/>
  <c r="BL281"/>
  <c r="BK281"/>
  <c r="BJ281"/>
  <c r="BI281"/>
  <c r="BH281"/>
  <c r="BG281"/>
  <c r="BF281"/>
  <c r="BE281"/>
  <c r="BD281"/>
  <c r="BA281" s="1"/>
  <c r="BC281"/>
  <c r="BB281"/>
  <c r="AX281"/>
  <c r="AW281"/>
  <c r="AV281"/>
  <c r="AC281"/>
  <c r="H281"/>
  <c r="G281" s="1"/>
  <c r="BT280"/>
  <c r="BS280"/>
  <c r="BR280"/>
  <c r="BQ280"/>
  <c r="BP280"/>
  <c r="BO280"/>
  <c r="BN280"/>
  <c r="BM280"/>
  <c r="BL280" s="1"/>
  <c r="BK280"/>
  <c r="BJ280"/>
  <c r="BI280"/>
  <c r="BH280"/>
  <c r="BG280"/>
  <c r="BF280"/>
  <c r="BE280"/>
  <c r="BD280"/>
  <c r="BC280"/>
  <c r="BB280"/>
  <c r="BA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c r="BT278"/>
  <c r="BS278"/>
  <c r="BR278"/>
  <c r="BQ278"/>
  <c r="BP278"/>
  <c r="BO278"/>
  <c r="BN278"/>
  <c r="BM278"/>
  <c r="BL278"/>
  <c r="BK278"/>
  <c r="BJ278"/>
  <c r="BI278"/>
  <c r="BH278"/>
  <c r="BG278"/>
  <c r="BF278"/>
  <c r="BE278"/>
  <c r="BD278"/>
  <c r="BA278" s="1"/>
  <c r="BC278"/>
  <c r="BB278"/>
  <c r="AX278"/>
  <c r="AW278"/>
  <c r="AV278"/>
  <c r="AC278"/>
  <c r="H278"/>
  <c r="G278" s="1"/>
  <c r="BT277"/>
  <c r="BS277"/>
  <c r="BR277"/>
  <c r="BQ277"/>
  <c r="BP277"/>
  <c r="BO277"/>
  <c r="BN277"/>
  <c r="BM277"/>
  <c r="BL277" s="1"/>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L275" s="1"/>
  <c r="BN275"/>
  <c r="BM275"/>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BA274" s="1"/>
  <c r="AX274"/>
  <c r="AW274"/>
  <c r="AV274"/>
  <c r="AC274"/>
  <c r="H274"/>
  <c r="G274"/>
  <c r="BT273"/>
  <c r="BS273"/>
  <c r="BR273"/>
  <c r="BQ273"/>
  <c r="BP273"/>
  <c r="BO273"/>
  <c r="BN273"/>
  <c r="BM273"/>
  <c r="BL273"/>
  <c r="BK273"/>
  <c r="BJ273"/>
  <c r="BI273"/>
  <c r="BH273"/>
  <c r="BG273"/>
  <c r="BF273"/>
  <c r="BE273"/>
  <c r="BD273"/>
  <c r="BA273" s="1"/>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c r="BT270"/>
  <c r="BS270"/>
  <c r="BR270"/>
  <c r="BQ270"/>
  <c r="BP270"/>
  <c r="BO270"/>
  <c r="BN270"/>
  <c r="BM270"/>
  <c r="BL270"/>
  <c r="BK270"/>
  <c r="BJ270"/>
  <c r="BI270"/>
  <c r="BH270"/>
  <c r="BG270"/>
  <c r="BF270"/>
  <c r="BE270"/>
  <c r="BD270"/>
  <c r="BA270" s="1"/>
  <c r="BC270"/>
  <c r="BB270"/>
  <c r="AX270"/>
  <c r="AW270"/>
  <c r="AV270"/>
  <c r="AC270"/>
  <c r="H270"/>
  <c r="G270" s="1"/>
  <c r="BT269"/>
  <c r="BS269"/>
  <c r="BR269"/>
  <c r="BQ269"/>
  <c r="BP269"/>
  <c r="BO269"/>
  <c r="BN269"/>
  <c r="BM269"/>
  <c r="BL269" s="1"/>
  <c r="BK269"/>
  <c r="BJ269"/>
  <c r="BI269"/>
  <c r="BH269"/>
  <c r="BG269"/>
  <c r="BF269"/>
  <c r="BE269"/>
  <c r="BD269"/>
  <c r="BC269"/>
  <c r="BB269"/>
  <c r="BA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L267" s="1"/>
  <c r="BN267"/>
  <c r="BM267"/>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BT264"/>
  <c r="BS264"/>
  <c r="BR264"/>
  <c r="BQ264"/>
  <c r="BP264"/>
  <c r="BO264"/>
  <c r="BL264" s="1"/>
  <c r="BN264"/>
  <c r="BM264"/>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G263"/>
  <c r="BT262"/>
  <c r="BS262"/>
  <c r="BR262"/>
  <c r="BQ262"/>
  <c r="BP262"/>
  <c r="BO262"/>
  <c r="BN262"/>
  <c r="BM262"/>
  <c r="BL262"/>
  <c r="BK262"/>
  <c r="BJ262"/>
  <c r="BI262"/>
  <c r="BH262"/>
  <c r="BG262"/>
  <c r="BF262"/>
  <c r="BE262"/>
  <c r="BD262"/>
  <c r="BA262" s="1"/>
  <c r="BC262"/>
  <c r="BB262"/>
  <c r="AZ262"/>
  <c r="AX262"/>
  <c r="AW262"/>
  <c r="AV262"/>
  <c r="AC262"/>
  <c r="H262"/>
  <c r="BT261"/>
  <c r="BS261"/>
  <c r="BR261"/>
  <c r="BQ261"/>
  <c r="BP261"/>
  <c r="BO261"/>
  <c r="BL261" s="1"/>
  <c r="BN261"/>
  <c r="BM261"/>
  <c r="BK261"/>
  <c r="BJ261"/>
  <c r="BI261"/>
  <c r="BH261"/>
  <c r="BG261"/>
  <c r="BF261"/>
  <c r="BE261"/>
  <c r="BD261"/>
  <c r="BC261"/>
  <c r="BB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BT259"/>
  <c r="BS259"/>
  <c r="BR259"/>
  <c r="BQ259"/>
  <c r="BP259"/>
  <c r="BO259"/>
  <c r="BL259" s="1"/>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BA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s="1"/>
  <c r="BT256"/>
  <c r="BS256"/>
  <c r="BR256"/>
  <c r="BQ256"/>
  <c r="BP256"/>
  <c r="BO256"/>
  <c r="BL256" s="1"/>
  <c r="BN256"/>
  <c r="BM256"/>
  <c r="BK256"/>
  <c r="BJ256"/>
  <c r="BI256"/>
  <c r="BH256"/>
  <c r="BG256"/>
  <c r="BF256"/>
  <c r="BE256"/>
  <c r="BD256"/>
  <c r="BC256"/>
  <c r="BB256"/>
  <c r="BA256" s="1"/>
  <c r="AZ256" s="1"/>
  <c r="AX256"/>
  <c r="AW256"/>
  <c r="AV256"/>
  <c r="AC256"/>
  <c r="H256"/>
  <c r="G256" s="1"/>
  <c r="BT255"/>
  <c r="BS255"/>
  <c r="BR255"/>
  <c r="BQ255"/>
  <c r="BP255"/>
  <c r="BO255"/>
  <c r="BN255"/>
  <c r="BM255"/>
  <c r="BK255"/>
  <c r="BJ255"/>
  <c r="BI255"/>
  <c r="BH255"/>
  <c r="BG255"/>
  <c r="BF255"/>
  <c r="BE255"/>
  <c r="BD255"/>
  <c r="BC255"/>
  <c r="BB255"/>
  <c r="BA255" s="1"/>
  <c r="AX255"/>
  <c r="AW255"/>
  <c r="AV255"/>
  <c r="AC255"/>
  <c r="H255"/>
  <c r="G255"/>
  <c r="BT254"/>
  <c r="BS254"/>
  <c r="BR254"/>
  <c r="BQ254"/>
  <c r="BP254"/>
  <c r="BO254"/>
  <c r="BN254"/>
  <c r="BM254"/>
  <c r="BL254"/>
  <c r="BK254"/>
  <c r="BJ254"/>
  <c r="BI254"/>
  <c r="BH254"/>
  <c r="BG254"/>
  <c r="BF254"/>
  <c r="BE254"/>
  <c r="BD254"/>
  <c r="BA254" s="1"/>
  <c r="AZ254" s="1"/>
  <c r="BC254"/>
  <c r="BB254"/>
  <c r="AX254"/>
  <c r="AW254"/>
  <c r="AV254"/>
  <c r="AC254"/>
  <c r="H254"/>
  <c r="G254" s="1"/>
  <c r="BT253"/>
  <c r="BS253"/>
  <c r="BR253"/>
  <c r="BQ253"/>
  <c r="BP253"/>
  <c r="BO253"/>
  <c r="BL253" s="1"/>
  <c r="BN253"/>
  <c r="BM253"/>
  <c r="BK253"/>
  <c r="BJ253"/>
  <c r="BI253"/>
  <c r="BH253"/>
  <c r="BG253"/>
  <c r="BF253"/>
  <c r="BE253"/>
  <c r="BD253"/>
  <c r="BC253"/>
  <c r="BB253"/>
  <c r="BA253" s="1"/>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L251" s="1"/>
  <c r="BN251"/>
  <c r="BM251"/>
  <c r="BK251"/>
  <c r="BJ251"/>
  <c r="BI251"/>
  <c r="BH251"/>
  <c r="BG251"/>
  <c r="BF251"/>
  <c r="BE251"/>
  <c r="BD251"/>
  <c r="BC251"/>
  <c r="BB251"/>
  <c r="BA251" s="1"/>
  <c r="AZ251" s="1"/>
  <c r="AX251"/>
  <c r="AW251"/>
  <c r="AV251"/>
  <c r="AC251"/>
  <c r="H251"/>
  <c r="G251" s="1"/>
  <c r="BT250"/>
  <c r="BS250"/>
  <c r="BR250"/>
  <c r="BQ250"/>
  <c r="BP250"/>
  <c r="BO250"/>
  <c r="BN250"/>
  <c r="BM250"/>
  <c r="BL250" s="1"/>
  <c r="BK250"/>
  <c r="BJ250"/>
  <c r="BI250"/>
  <c r="BH250"/>
  <c r="BG250"/>
  <c r="BF250"/>
  <c r="BE250"/>
  <c r="BD250"/>
  <c r="BC250"/>
  <c r="BB250"/>
  <c r="BA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BT248"/>
  <c r="BS248"/>
  <c r="BR248"/>
  <c r="BQ248"/>
  <c r="BP248"/>
  <c r="BO248"/>
  <c r="BL248" s="1"/>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BA247" s="1"/>
  <c r="AX247"/>
  <c r="AW247"/>
  <c r="AV247"/>
  <c r="AC247"/>
  <c r="H247"/>
  <c r="G247"/>
  <c r="BT246"/>
  <c r="BS246"/>
  <c r="BR246"/>
  <c r="BQ246"/>
  <c r="BP246"/>
  <c r="BO246"/>
  <c r="BN246"/>
  <c r="BM246"/>
  <c r="BL246"/>
  <c r="BK246"/>
  <c r="BJ246"/>
  <c r="BI246"/>
  <c r="BH246"/>
  <c r="BG246"/>
  <c r="BF246"/>
  <c r="BE246"/>
  <c r="BD246"/>
  <c r="BA246" s="1"/>
  <c r="BC246"/>
  <c r="BB246"/>
  <c r="AZ246"/>
  <c r="AX246"/>
  <c r="AW246"/>
  <c r="AV246"/>
  <c r="AC246"/>
  <c r="H246"/>
  <c r="BT245"/>
  <c r="BS245"/>
  <c r="BR245"/>
  <c r="BQ245"/>
  <c r="BP245"/>
  <c r="BO245"/>
  <c r="BL245" s="1"/>
  <c r="BN245"/>
  <c r="BM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BT243"/>
  <c r="BS243"/>
  <c r="BR243"/>
  <c r="BQ243"/>
  <c r="BP243"/>
  <c r="BO243"/>
  <c r="BL243" s="1"/>
  <c r="BN243"/>
  <c r="BM243"/>
  <c r="BK243"/>
  <c r="BJ243"/>
  <c r="BI243"/>
  <c r="BH243"/>
  <c r="BG243"/>
  <c r="BF243"/>
  <c r="BE243"/>
  <c r="BD243"/>
  <c r="BC243"/>
  <c r="BB243"/>
  <c r="AX243"/>
  <c r="AW243"/>
  <c r="AV243"/>
  <c r="AC243"/>
  <c r="H243"/>
  <c r="G243" s="1"/>
  <c r="BT242"/>
  <c r="BS242"/>
  <c r="BR242"/>
  <c r="BQ242"/>
  <c r="BP242"/>
  <c r="BO242"/>
  <c r="BN242"/>
  <c r="BM242"/>
  <c r="BL242" s="1"/>
  <c r="BK242"/>
  <c r="BJ242"/>
  <c r="BI242"/>
  <c r="BH242"/>
  <c r="BG242"/>
  <c r="BF242"/>
  <c r="BE242"/>
  <c r="BD242"/>
  <c r="BC242"/>
  <c r="BB242"/>
  <c r="BA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s="1"/>
  <c r="BT240"/>
  <c r="BS240"/>
  <c r="BR240"/>
  <c r="BQ240"/>
  <c r="BP240"/>
  <c r="BO240"/>
  <c r="BL240" s="1"/>
  <c r="BN240"/>
  <c r="BM240"/>
  <c r="BK240"/>
  <c r="BJ240"/>
  <c r="BI240"/>
  <c r="BH240"/>
  <c r="BG240"/>
  <c r="BF240"/>
  <c r="BE240"/>
  <c r="BD240"/>
  <c r="BC240"/>
  <c r="BB240"/>
  <c r="BA240" s="1"/>
  <c r="AZ240" s="1"/>
  <c r="AX240"/>
  <c r="AW240"/>
  <c r="AV240"/>
  <c r="AC240"/>
  <c r="H240"/>
  <c r="G240" s="1"/>
  <c r="BT239"/>
  <c r="BS239"/>
  <c r="BR239"/>
  <c r="BQ239"/>
  <c r="BP239"/>
  <c r="BO239"/>
  <c r="BN239"/>
  <c r="BM239"/>
  <c r="BK239"/>
  <c r="BJ239"/>
  <c r="BI239"/>
  <c r="BH239"/>
  <c r="BG239"/>
  <c r="BF239"/>
  <c r="BE239"/>
  <c r="BD239"/>
  <c r="BC239"/>
  <c r="BB239"/>
  <c r="BA239" s="1"/>
  <c r="AX239"/>
  <c r="AW239"/>
  <c r="AV239"/>
  <c r="AC239"/>
  <c r="H239"/>
  <c r="G239"/>
  <c r="BT238"/>
  <c r="BS238"/>
  <c r="BR238"/>
  <c r="BQ238"/>
  <c r="BP238"/>
  <c r="BO238"/>
  <c r="BN238"/>
  <c r="BM238"/>
  <c r="BL238"/>
  <c r="BK238"/>
  <c r="BJ238"/>
  <c r="BI238"/>
  <c r="BH238"/>
  <c r="BG238"/>
  <c r="BF238"/>
  <c r="BE238"/>
  <c r="BD238"/>
  <c r="BA238" s="1"/>
  <c r="AZ238" s="1"/>
  <c r="BC238"/>
  <c r="BB238"/>
  <c r="AX238"/>
  <c r="AW238"/>
  <c r="AV238"/>
  <c r="AC238"/>
  <c r="H238"/>
  <c r="G238" s="1"/>
  <c r="BT237"/>
  <c r="BS237"/>
  <c r="BR237"/>
  <c r="BQ237"/>
  <c r="BP237"/>
  <c r="BO237"/>
  <c r="BL237" s="1"/>
  <c r="BN237"/>
  <c r="BM237"/>
  <c r="BK237"/>
  <c r="BJ237"/>
  <c r="BI237"/>
  <c r="BH237"/>
  <c r="BG237"/>
  <c r="BF237"/>
  <c r="BE237"/>
  <c r="BD237"/>
  <c r="BC237"/>
  <c r="BB237"/>
  <c r="BA237" s="1"/>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L235" s="1"/>
  <c r="BN235"/>
  <c r="BM235"/>
  <c r="BK235"/>
  <c r="BJ235"/>
  <c r="BI235"/>
  <c r="BH235"/>
  <c r="BG235"/>
  <c r="BF235"/>
  <c r="BE235"/>
  <c r="BD235"/>
  <c r="BC235"/>
  <c r="BB235"/>
  <c r="BA235" s="1"/>
  <c r="AZ235" s="1"/>
  <c r="AX235"/>
  <c r="AW235"/>
  <c r="AV235"/>
  <c r="AC235"/>
  <c r="H235"/>
  <c r="G235" s="1"/>
  <c r="BT234"/>
  <c r="BS234"/>
  <c r="BR234"/>
  <c r="BQ234"/>
  <c r="BP234"/>
  <c r="BO234"/>
  <c r="BN234"/>
  <c r="BM234"/>
  <c r="BK234"/>
  <c r="BJ234"/>
  <c r="BI234"/>
  <c r="BH234"/>
  <c r="BG234"/>
  <c r="BF234"/>
  <c r="BE234"/>
  <c r="BD234"/>
  <c r="BC234"/>
  <c r="BB234"/>
  <c r="BA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BT232"/>
  <c r="BS232"/>
  <c r="BR232"/>
  <c r="BQ232"/>
  <c r="BP232"/>
  <c r="BO232"/>
  <c r="BL232" s="1"/>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BA231" s="1"/>
  <c r="AX231"/>
  <c r="AW231"/>
  <c r="AV231"/>
  <c r="AC231"/>
  <c r="H231"/>
  <c r="G231"/>
  <c r="BT230"/>
  <c r="BS230"/>
  <c r="BR230"/>
  <c r="BQ230"/>
  <c r="BP230"/>
  <c r="BO230"/>
  <c r="BN230"/>
  <c r="BM230"/>
  <c r="BL230"/>
  <c r="BK230"/>
  <c r="BJ230"/>
  <c r="BI230"/>
  <c r="BH230"/>
  <c r="BG230"/>
  <c r="BF230"/>
  <c r="BE230"/>
  <c r="BD230"/>
  <c r="BA230" s="1"/>
  <c r="BC230"/>
  <c r="BB230"/>
  <c r="AZ230"/>
  <c r="AX230"/>
  <c r="AW230"/>
  <c r="AV230"/>
  <c r="AC230"/>
  <c r="H230"/>
  <c r="BT229"/>
  <c r="BS229"/>
  <c r="BR229"/>
  <c r="BQ229"/>
  <c r="BP229"/>
  <c r="BO229"/>
  <c r="BN229"/>
  <c r="BM229"/>
  <c r="BL229"/>
  <c r="BK229"/>
  <c r="BJ229"/>
  <c r="BI229"/>
  <c r="BH229"/>
  <c r="BG229"/>
  <c r="BF229"/>
  <c r="BE229"/>
  <c r="BD229"/>
  <c r="BC229"/>
  <c r="BB229"/>
  <c r="BA229" s="1"/>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L227" s="1"/>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s="1"/>
  <c r="BT223"/>
  <c r="BS223"/>
  <c r="BR223"/>
  <c r="BQ223"/>
  <c r="BP223"/>
  <c r="BO223"/>
  <c r="BN223"/>
  <c r="BM223"/>
  <c r="BK223"/>
  <c r="BJ223"/>
  <c r="BI223"/>
  <c r="BH223"/>
  <c r="BG223"/>
  <c r="BF223"/>
  <c r="BE223"/>
  <c r="BD223"/>
  <c r="BC223"/>
  <c r="BB223"/>
  <c r="BA223" s="1"/>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L221" s="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L216" s="1"/>
  <c r="BM216"/>
  <c r="BK216"/>
  <c r="BJ216"/>
  <c r="BI216"/>
  <c r="BH216"/>
  <c r="BG216"/>
  <c r="BF216"/>
  <c r="BE216"/>
  <c r="BD216"/>
  <c r="BC216"/>
  <c r="BB216"/>
  <c r="AX216"/>
  <c r="AW216"/>
  <c r="AV216"/>
  <c r="AC216"/>
  <c r="G216" s="1"/>
  <c r="H216"/>
  <c r="BT215"/>
  <c r="BS215"/>
  <c r="BR215"/>
  <c r="BQ215"/>
  <c r="BP215"/>
  <c r="BO215"/>
  <c r="BN215"/>
  <c r="BM215"/>
  <c r="BK215"/>
  <c r="BJ215"/>
  <c r="BI215"/>
  <c r="BH215"/>
  <c r="BG215"/>
  <c r="BF215"/>
  <c r="BE215"/>
  <c r="BD215"/>
  <c r="BC215"/>
  <c r="BB215"/>
  <c r="BA215" s="1"/>
  <c r="AX215"/>
  <c r="AW215"/>
  <c r="AV215"/>
  <c r="AC215"/>
  <c r="H215"/>
  <c r="G215"/>
  <c r="BT214"/>
  <c r="BS214"/>
  <c r="BR214"/>
  <c r="BQ214"/>
  <c r="BP214"/>
  <c r="BO214"/>
  <c r="BN214"/>
  <c r="BM214"/>
  <c r="BL214"/>
  <c r="BK214"/>
  <c r="BJ214"/>
  <c r="BI214"/>
  <c r="BH214"/>
  <c r="BG214"/>
  <c r="BF214"/>
  <c r="BE214"/>
  <c r="BD214"/>
  <c r="BA214" s="1"/>
  <c r="AZ214" s="1"/>
  <c r="BC214"/>
  <c r="BB214"/>
  <c r="AX214"/>
  <c r="AW214"/>
  <c r="AV214"/>
  <c r="AC214"/>
  <c r="H214"/>
  <c r="BT213"/>
  <c r="BS213"/>
  <c r="BR213"/>
  <c r="BQ213"/>
  <c r="BP213"/>
  <c r="BO213"/>
  <c r="BN213"/>
  <c r="BL213" s="1"/>
  <c r="BM213"/>
  <c r="BK213"/>
  <c r="BJ213"/>
  <c r="BI213"/>
  <c r="BH213"/>
  <c r="BG213"/>
  <c r="BF213"/>
  <c r="BE213"/>
  <c r="BD213"/>
  <c r="BC213"/>
  <c r="BB213"/>
  <c r="BA213" s="1"/>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BT211"/>
  <c r="BS211"/>
  <c r="BR211"/>
  <c r="BQ211"/>
  <c r="BP211"/>
  <c r="BO211"/>
  <c r="BN211"/>
  <c r="BM211"/>
  <c r="BL21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BT208"/>
  <c r="BS208"/>
  <c r="BR208"/>
  <c r="BQ208"/>
  <c r="BP208"/>
  <c r="BO208"/>
  <c r="BN208"/>
  <c r="BM208"/>
  <c r="BL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BA207"/>
  <c r="AX207"/>
  <c r="AW207"/>
  <c r="AV207"/>
  <c r="AC207"/>
  <c r="G207" s="1"/>
  <c r="H207"/>
  <c r="BT206"/>
  <c r="BS206"/>
  <c r="BR206"/>
  <c r="BQ206"/>
  <c r="BP206"/>
  <c r="BO206"/>
  <c r="BN206"/>
  <c r="BM206"/>
  <c r="BL206" s="1"/>
  <c r="BK206"/>
  <c r="BJ206"/>
  <c r="BI206"/>
  <c r="BH206"/>
  <c r="BG206"/>
  <c r="BF206"/>
  <c r="BE206"/>
  <c r="BD206"/>
  <c r="BC206"/>
  <c r="BA206" s="1"/>
  <c r="BB206"/>
  <c r="AX206"/>
  <c r="AW206"/>
  <c r="AV206"/>
  <c r="AC206"/>
  <c r="H206"/>
  <c r="G206" s="1"/>
  <c r="BT205"/>
  <c r="BS205"/>
  <c r="BR205"/>
  <c r="BQ205"/>
  <c r="BP205"/>
  <c r="BO205"/>
  <c r="BN205"/>
  <c r="BL205" s="1"/>
  <c r="BM205"/>
  <c r="BK205"/>
  <c r="BJ205"/>
  <c r="BI205"/>
  <c r="BH205"/>
  <c r="BG205"/>
  <c r="BF205"/>
  <c r="BE205"/>
  <c r="BD205"/>
  <c r="BC205"/>
  <c r="BB205"/>
  <c r="BA205" s="1"/>
  <c r="AX205"/>
  <c r="AW205"/>
  <c r="AV205"/>
  <c r="AC205"/>
  <c r="H205"/>
  <c r="G205" s="1"/>
  <c r="BT388"/>
  <c r="BS388"/>
  <c r="BR388"/>
  <c r="BQ388"/>
  <c r="BP388"/>
  <c r="BO388"/>
  <c r="BN388"/>
  <c r="BL388" s="1"/>
  <c r="BM388"/>
  <c r="BK388"/>
  <c r="BJ388"/>
  <c r="BI388"/>
  <c r="BH388"/>
  <c r="BG388"/>
  <c r="BF388"/>
  <c r="BE388"/>
  <c r="BD388"/>
  <c r="BC388"/>
  <c r="BB388"/>
  <c r="BA388" s="1"/>
  <c r="AX388"/>
  <c r="AW388"/>
  <c r="AV388"/>
  <c r="AC388"/>
  <c r="H388"/>
  <c r="G388" s="1"/>
  <c r="BT387"/>
  <c r="BS387"/>
  <c r="BR387"/>
  <c r="BQ387"/>
  <c r="BP387"/>
  <c r="BO387"/>
  <c r="BL387" s="1"/>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A375" s="1"/>
  <c r="BB375"/>
  <c r="AX375"/>
  <c r="AW375"/>
  <c r="AV375"/>
  <c r="AC375"/>
  <c r="G375" s="1"/>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L369" s="1"/>
  <c r="BM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L366" s="1"/>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L364" s="1"/>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G352" s="1"/>
  <c r="H352"/>
  <c r="BT351"/>
  <c r="BS351"/>
  <c r="BR351"/>
  <c r="BQ351"/>
  <c r="BP351"/>
  <c r="BO351"/>
  <c r="BN351"/>
  <c r="BM351"/>
  <c r="BL351" s="1"/>
  <c r="BK351"/>
  <c r="BJ351"/>
  <c r="BI351"/>
  <c r="BH351"/>
  <c r="BG351"/>
  <c r="BF351"/>
  <c r="BE351"/>
  <c r="BD351"/>
  <c r="BC351"/>
  <c r="BA351" s="1"/>
  <c r="BB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G349" s="1"/>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G347" s="1"/>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G345" s="1"/>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s="1"/>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BA319" s="1"/>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G317" s="1"/>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A313" s="1"/>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L310" s="1"/>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G309" s="1"/>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G307" s="1"/>
  <c r="H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G305" s="1"/>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A480" s="1"/>
  <c r="AZ480" s="1"/>
  <c r="BB480"/>
  <c r="AX480"/>
  <c r="AW480"/>
  <c r="AV480"/>
  <c r="AC480"/>
  <c r="H480"/>
  <c r="G480" s="1"/>
  <c r="BT479"/>
  <c r="BS479"/>
  <c r="BR479"/>
  <c r="BQ479"/>
  <c r="BP479"/>
  <c r="BO479"/>
  <c r="BN479"/>
  <c r="BL479" s="1"/>
  <c r="BM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G478" s="1"/>
  <c r="H478"/>
  <c r="BT477"/>
  <c r="BS477"/>
  <c r="BR477"/>
  <c r="BQ477"/>
  <c r="BP477"/>
  <c r="BO477"/>
  <c r="BN477"/>
  <c r="BM477"/>
  <c r="BL477" s="1"/>
  <c r="BK477"/>
  <c r="BJ477"/>
  <c r="BI477"/>
  <c r="BH477"/>
  <c r="BG477"/>
  <c r="BF477"/>
  <c r="BE477"/>
  <c r="BD477"/>
  <c r="BC477"/>
  <c r="BA477" s="1"/>
  <c r="BB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L474" s="1"/>
  <c r="BM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G473" s="1"/>
  <c r="H473"/>
  <c r="BT472"/>
  <c r="BS472"/>
  <c r="BR472"/>
  <c r="BQ472"/>
  <c r="BP472"/>
  <c r="BO472"/>
  <c r="BN472"/>
  <c r="BM472"/>
  <c r="BL472" s="1"/>
  <c r="BK472"/>
  <c r="BJ472"/>
  <c r="BI472"/>
  <c r="BH472"/>
  <c r="BG472"/>
  <c r="BF472"/>
  <c r="BE472"/>
  <c r="BD472"/>
  <c r="BC472"/>
  <c r="BA472" s="1"/>
  <c r="BB472"/>
  <c r="AX472"/>
  <c r="AW472"/>
  <c r="AV472"/>
  <c r="AC472"/>
  <c r="H472"/>
  <c r="G472" s="1"/>
  <c r="BT471"/>
  <c r="BS471"/>
  <c r="BR471"/>
  <c r="BQ471"/>
  <c r="BP471"/>
  <c r="BO471"/>
  <c r="BN471"/>
  <c r="BL471" s="1"/>
  <c r="BM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G470" s="1"/>
  <c r="H470"/>
  <c r="BT469"/>
  <c r="BS469"/>
  <c r="BR469"/>
  <c r="BQ469"/>
  <c r="BP469"/>
  <c r="BO469"/>
  <c r="BN469"/>
  <c r="BM469"/>
  <c r="BL469" s="1"/>
  <c r="BK469"/>
  <c r="BJ469"/>
  <c r="BI469"/>
  <c r="BH469"/>
  <c r="BG469"/>
  <c r="BF469"/>
  <c r="BE469"/>
  <c r="BD469"/>
  <c r="BC469"/>
  <c r="BA469" s="1"/>
  <c r="BB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L466" s="1"/>
  <c r="BM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G465" s="1"/>
  <c r="H465"/>
  <c r="BT464"/>
  <c r="BS464"/>
  <c r="BR464"/>
  <c r="BQ464"/>
  <c r="BP464"/>
  <c r="BO464"/>
  <c r="BN464"/>
  <c r="BM464"/>
  <c r="BL464" s="1"/>
  <c r="BK464"/>
  <c r="BJ464"/>
  <c r="BI464"/>
  <c r="BH464"/>
  <c r="BG464"/>
  <c r="BF464"/>
  <c r="BE464"/>
  <c r="BD464"/>
  <c r="BC464"/>
  <c r="BA464" s="1"/>
  <c r="AZ464" s="1"/>
  <c r="BB464"/>
  <c r="AX464"/>
  <c r="AW464"/>
  <c r="AV464"/>
  <c r="AC464"/>
  <c r="H464"/>
  <c r="G464" s="1"/>
  <c r="BT463"/>
  <c r="BS463"/>
  <c r="BR463"/>
  <c r="BQ463"/>
  <c r="BP463"/>
  <c r="BO463"/>
  <c r="BN463"/>
  <c r="BL463" s="1"/>
  <c r="BM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G462" s="1"/>
  <c r="H462"/>
  <c r="BT461"/>
  <c r="BS461"/>
  <c r="BR461"/>
  <c r="BQ461"/>
  <c r="BP461"/>
  <c r="BO461"/>
  <c r="BN461"/>
  <c r="BM461"/>
  <c r="BL461" s="1"/>
  <c r="BK461"/>
  <c r="BJ461"/>
  <c r="BI461"/>
  <c r="BH461"/>
  <c r="BG461"/>
  <c r="BF461"/>
  <c r="BE461"/>
  <c r="BD461"/>
  <c r="BC461"/>
  <c r="BA461" s="1"/>
  <c r="BB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L458" s="1"/>
  <c r="BM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G457" s="1"/>
  <c r="H457"/>
  <c r="BT456"/>
  <c r="BS456"/>
  <c r="BR456"/>
  <c r="BQ456"/>
  <c r="BP456"/>
  <c r="BO456"/>
  <c r="BN456"/>
  <c r="BM456"/>
  <c r="BL456" s="1"/>
  <c r="BK456"/>
  <c r="BJ456"/>
  <c r="BI456"/>
  <c r="BH456"/>
  <c r="BG456"/>
  <c r="BF456"/>
  <c r="BE456"/>
  <c r="BD456"/>
  <c r="BC456"/>
  <c r="BA456" s="1"/>
  <c r="BB456"/>
  <c r="AX456"/>
  <c r="AW456"/>
  <c r="AV456"/>
  <c r="AC456"/>
  <c r="H456"/>
  <c r="G456"/>
  <c r="BT455"/>
  <c r="BS455"/>
  <c r="BR455"/>
  <c r="BQ455"/>
  <c r="BP455"/>
  <c r="BO455"/>
  <c r="BN455"/>
  <c r="BM455"/>
  <c r="BL455" s="1"/>
  <c r="BK455"/>
  <c r="BJ455"/>
  <c r="BI455"/>
  <c r="BH455"/>
  <c r="BG455"/>
  <c r="BF455"/>
  <c r="BE455"/>
  <c r="BD455"/>
  <c r="BC455"/>
  <c r="BB455"/>
  <c r="BA455"/>
  <c r="AX455"/>
  <c r="AW455"/>
  <c r="AV455"/>
  <c r="AC455"/>
  <c r="G455" s="1"/>
  <c r="H455"/>
  <c r="BT454"/>
  <c r="BS454"/>
  <c r="BR454"/>
  <c r="BQ454"/>
  <c r="BP454"/>
  <c r="BO454"/>
  <c r="BN454"/>
  <c r="BM454"/>
  <c r="BL454" s="1"/>
  <c r="BK454"/>
  <c r="BJ454"/>
  <c r="BI454"/>
  <c r="BH454"/>
  <c r="BG454"/>
  <c r="BF454"/>
  <c r="BE454"/>
  <c r="BD454"/>
  <c r="BC454"/>
  <c r="BA454" s="1"/>
  <c r="BB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L451" s="1"/>
  <c r="BM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G450" s="1"/>
  <c r="H450"/>
  <c r="BT449"/>
  <c r="BS449"/>
  <c r="BR449"/>
  <c r="BQ449"/>
  <c r="BP449"/>
  <c r="BO449"/>
  <c r="BN449"/>
  <c r="BM449"/>
  <c r="BL449" s="1"/>
  <c r="BK449"/>
  <c r="BJ449"/>
  <c r="BI449"/>
  <c r="BH449"/>
  <c r="BG449"/>
  <c r="BF449"/>
  <c r="BE449"/>
  <c r="BD449"/>
  <c r="BC449"/>
  <c r="BA449" s="1"/>
  <c r="BB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G447" s="1"/>
  <c r="H447"/>
  <c r="BT446"/>
  <c r="BS446"/>
  <c r="BR446"/>
  <c r="BQ446"/>
  <c r="BP446"/>
  <c r="BO446"/>
  <c r="BN446"/>
  <c r="BM446"/>
  <c r="BL446" s="1"/>
  <c r="BK446"/>
  <c r="BJ446"/>
  <c r="BI446"/>
  <c r="BH446"/>
  <c r="BG446"/>
  <c r="BF446"/>
  <c r="BE446"/>
  <c r="BD446"/>
  <c r="BC446"/>
  <c r="BA446" s="1"/>
  <c r="BB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L443" s="1"/>
  <c r="BM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G442" s="1"/>
  <c r="H442"/>
  <c r="BT441"/>
  <c r="BS441"/>
  <c r="BR441"/>
  <c r="BQ441"/>
  <c r="BP441"/>
  <c r="BO441"/>
  <c r="BN441"/>
  <c r="BM441"/>
  <c r="BL441" s="1"/>
  <c r="BK441"/>
  <c r="BJ441"/>
  <c r="BI441"/>
  <c r="BH441"/>
  <c r="BG441"/>
  <c r="BF441"/>
  <c r="BE441"/>
  <c r="BD441"/>
  <c r="BC441"/>
  <c r="BA441" s="1"/>
  <c r="BB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L438" s="1"/>
  <c r="BM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G437" s="1"/>
  <c r="H437"/>
  <c r="BT436"/>
  <c r="BS436"/>
  <c r="BR436"/>
  <c r="BQ436"/>
  <c r="BP436"/>
  <c r="BO436"/>
  <c r="BN436"/>
  <c r="BM436"/>
  <c r="BL436" s="1"/>
  <c r="BK436"/>
  <c r="BJ436"/>
  <c r="BI436"/>
  <c r="BH436"/>
  <c r="BG436"/>
  <c r="BF436"/>
  <c r="BE436"/>
  <c r="BD436"/>
  <c r="BC436"/>
  <c r="BA436" s="1"/>
  <c r="BB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L433" s="1"/>
  <c r="BM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G432" s="1"/>
  <c r="H432"/>
  <c r="BT431"/>
  <c r="BS431"/>
  <c r="BR431"/>
  <c r="BQ431"/>
  <c r="BP431"/>
  <c r="BO431"/>
  <c r="BN431"/>
  <c r="BM431"/>
  <c r="BL431" s="1"/>
  <c r="BK431"/>
  <c r="BJ431"/>
  <c r="BI431"/>
  <c r="BH431"/>
  <c r="BG431"/>
  <c r="BF431"/>
  <c r="BE431"/>
  <c r="BD431"/>
  <c r="BC431"/>
  <c r="BA431" s="1"/>
  <c r="BB431"/>
  <c r="AX431"/>
  <c r="AW431"/>
  <c r="AV431"/>
  <c r="AC431"/>
  <c r="H431"/>
  <c r="G431"/>
  <c r="BT430"/>
  <c r="BS430"/>
  <c r="BR430"/>
  <c r="BQ430"/>
  <c r="BP430"/>
  <c r="BO430"/>
  <c r="BN430"/>
  <c r="BM430"/>
  <c r="BL430" s="1"/>
  <c r="BK430"/>
  <c r="BJ430"/>
  <c r="BI430"/>
  <c r="BH430"/>
  <c r="BG430"/>
  <c r="BF430"/>
  <c r="BE430"/>
  <c r="BD430"/>
  <c r="BC430"/>
  <c r="BB430"/>
  <c r="BA430"/>
  <c r="AX430"/>
  <c r="AW430"/>
  <c r="AV430"/>
  <c r="AC430"/>
  <c r="G430" s="1"/>
  <c r="H430"/>
  <c r="BT429"/>
  <c r="BS429"/>
  <c r="BR429"/>
  <c r="BQ429"/>
  <c r="BP429"/>
  <c r="BO429"/>
  <c r="BN429"/>
  <c r="BM429"/>
  <c r="BL429" s="1"/>
  <c r="BK429"/>
  <c r="BJ429"/>
  <c r="BI429"/>
  <c r="BH429"/>
  <c r="BG429"/>
  <c r="BF429"/>
  <c r="BE429"/>
  <c r="BD429"/>
  <c r="BC429"/>
  <c r="BA429" s="1"/>
  <c r="BB429"/>
  <c r="AX429"/>
  <c r="AW429"/>
  <c r="AV429"/>
  <c r="AC429"/>
  <c r="H429"/>
  <c r="G429" s="1"/>
  <c r="BT428"/>
  <c r="BS428"/>
  <c r="BR428"/>
  <c r="BQ428"/>
  <c r="BP428"/>
  <c r="BO428"/>
  <c r="BN428"/>
  <c r="BL428" s="1"/>
  <c r="BM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G427" s="1"/>
  <c r="H427"/>
  <c r="BT426"/>
  <c r="BS426"/>
  <c r="BR426"/>
  <c r="BQ426"/>
  <c r="BP426"/>
  <c r="BO426"/>
  <c r="BN426"/>
  <c r="BM426"/>
  <c r="BL426" s="1"/>
  <c r="BK426"/>
  <c r="BJ426"/>
  <c r="BI426"/>
  <c r="BH426"/>
  <c r="BG426"/>
  <c r="BF426"/>
  <c r="BE426"/>
  <c r="BD426"/>
  <c r="BC426"/>
  <c r="BA426" s="1"/>
  <c r="BB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G424" s="1"/>
  <c r="H424"/>
  <c r="BT423"/>
  <c r="BS423"/>
  <c r="BR423"/>
  <c r="BQ423"/>
  <c r="BP423"/>
  <c r="BO423"/>
  <c r="BN423"/>
  <c r="BM423"/>
  <c r="BL423" s="1"/>
  <c r="BK423"/>
  <c r="BJ423"/>
  <c r="BI423"/>
  <c r="BH423"/>
  <c r="BG423"/>
  <c r="BF423"/>
  <c r="BE423"/>
  <c r="BD423"/>
  <c r="BC423"/>
  <c r="BA423" s="1"/>
  <c r="BB423"/>
  <c r="AX423"/>
  <c r="AW423"/>
  <c r="AV423"/>
  <c r="AC423"/>
  <c r="H423"/>
  <c r="G423"/>
  <c r="BT422"/>
  <c r="BS422"/>
  <c r="BR422"/>
  <c r="BQ422"/>
  <c r="BP422"/>
  <c r="BO422"/>
  <c r="BN422"/>
  <c r="BM422"/>
  <c r="BL422" s="1"/>
  <c r="BK422"/>
  <c r="BJ422"/>
  <c r="BI422"/>
  <c r="BH422"/>
  <c r="BG422"/>
  <c r="BF422"/>
  <c r="BE422"/>
  <c r="BD422"/>
  <c r="BC422"/>
  <c r="BB422"/>
  <c r="BA422"/>
  <c r="AX422"/>
  <c r="AW422"/>
  <c r="AV422"/>
  <c r="AC422"/>
  <c r="G422" s="1"/>
  <c r="H422"/>
  <c r="BT421"/>
  <c r="BS421"/>
  <c r="BR421"/>
  <c r="BQ421"/>
  <c r="BP421"/>
  <c r="BO421"/>
  <c r="BN421"/>
  <c r="BM421"/>
  <c r="BL421" s="1"/>
  <c r="BK421"/>
  <c r="BJ421"/>
  <c r="BI421"/>
  <c r="BH421"/>
  <c r="BG421"/>
  <c r="BF421"/>
  <c r="BE421"/>
  <c r="BD421"/>
  <c r="BC421"/>
  <c r="BA421" s="1"/>
  <c r="BB421"/>
  <c r="AX421"/>
  <c r="AW421"/>
  <c r="AV421"/>
  <c r="AC421"/>
  <c r="H421"/>
  <c r="G421" s="1"/>
  <c r="BT420"/>
  <c r="BS420"/>
  <c r="BR420"/>
  <c r="BQ420"/>
  <c r="BP420"/>
  <c r="BO420"/>
  <c r="BN420"/>
  <c r="BL420" s="1"/>
  <c r="BM420"/>
  <c r="BK420"/>
  <c r="BJ420"/>
  <c r="BI420"/>
  <c r="BH420"/>
  <c r="BG420"/>
  <c r="BF420"/>
  <c r="BE420"/>
  <c r="BD420"/>
  <c r="BC420"/>
  <c r="BB420"/>
  <c r="BA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L417" s="1"/>
  <c r="BM417"/>
  <c r="BK417"/>
  <c r="BJ417"/>
  <c r="BI417"/>
  <c r="BH417"/>
  <c r="BG417"/>
  <c r="BF417"/>
  <c r="BE417"/>
  <c r="BD417"/>
  <c r="BC417"/>
  <c r="BB417"/>
  <c r="BA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L414" s="1"/>
  <c r="BM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G413" s="1"/>
  <c r="H413"/>
  <c r="BT412"/>
  <c r="BS412"/>
  <c r="BR412"/>
  <c r="BQ412"/>
  <c r="BP412"/>
  <c r="BO412"/>
  <c r="BN412"/>
  <c r="BM412"/>
  <c r="BL412" s="1"/>
  <c r="BK412"/>
  <c r="BJ412"/>
  <c r="BI412"/>
  <c r="BH412"/>
  <c r="BG412"/>
  <c r="BF412"/>
  <c r="BE412"/>
  <c r="BD412"/>
  <c r="BC412"/>
  <c r="BA412" s="1"/>
  <c r="BB412"/>
  <c r="AX412"/>
  <c r="AW412"/>
  <c r="AV412"/>
  <c r="AC412"/>
  <c r="H412"/>
  <c r="G412" s="1"/>
  <c r="BT411"/>
  <c r="BS411"/>
  <c r="BR411"/>
  <c r="BQ411"/>
  <c r="BP411"/>
  <c r="BO411"/>
  <c r="BN411"/>
  <c r="BL411" s="1"/>
  <c r="BM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G410" s="1"/>
  <c r="H410"/>
  <c r="BT409"/>
  <c r="BS409"/>
  <c r="BR409"/>
  <c r="BQ409"/>
  <c r="BP409"/>
  <c r="BO409"/>
  <c r="BN409"/>
  <c r="BM409"/>
  <c r="BL409" s="1"/>
  <c r="BK409"/>
  <c r="BJ409"/>
  <c r="BI409"/>
  <c r="BH409"/>
  <c r="BG409"/>
  <c r="BF409"/>
  <c r="BE409"/>
  <c r="BD409"/>
  <c r="BC409"/>
  <c r="BA409" s="1"/>
  <c r="AZ409" s="1"/>
  <c r="BB409"/>
  <c r="AX409"/>
  <c r="AW409"/>
  <c r="AV409"/>
  <c r="AC409"/>
  <c r="H409"/>
  <c r="G409" s="1"/>
  <c r="BT408"/>
  <c r="BS408"/>
  <c r="BR408"/>
  <c r="BQ408"/>
  <c r="BP408"/>
  <c r="BO408"/>
  <c r="BN408"/>
  <c r="BL408" s="1"/>
  <c r="BM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G407" s="1"/>
  <c r="H407"/>
  <c r="BT406"/>
  <c r="BS406"/>
  <c r="BR406"/>
  <c r="BQ406"/>
  <c r="BP406"/>
  <c r="BO406"/>
  <c r="BN406"/>
  <c r="BM406"/>
  <c r="BL406" s="1"/>
  <c r="BK406"/>
  <c r="BJ406"/>
  <c r="BI406"/>
  <c r="BH406"/>
  <c r="BG406"/>
  <c r="BF406"/>
  <c r="BE406"/>
  <c r="BD406"/>
  <c r="BC406"/>
  <c r="BA406" s="1"/>
  <c r="BB406"/>
  <c r="AX406"/>
  <c r="AW406"/>
  <c r="AV406"/>
  <c r="AC406"/>
  <c r="H406"/>
  <c r="G406" s="1"/>
  <c r="BT405"/>
  <c r="BS405"/>
  <c r="BR405"/>
  <c r="BQ405"/>
  <c r="BP405"/>
  <c r="BO405"/>
  <c r="BN405"/>
  <c r="BL405" s="1"/>
  <c r="BM405"/>
  <c r="BK405"/>
  <c r="BJ405"/>
  <c r="BI405"/>
  <c r="BH405"/>
  <c r="BG405"/>
  <c r="BF405"/>
  <c r="BE405"/>
  <c r="BD405"/>
  <c r="BC405"/>
  <c r="BB405"/>
  <c r="BA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L402" s="1"/>
  <c r="BM402"/>
  <c r="BK402"/>
  <c r="BJ402"/>
  <c r="BI402"/>
  <c r="BH402"/>
  <c r="BG402"/>
  <c r="BF402"/>
  <c r="BE402"/>
  <c r="BD402"/>
  <c r="BC402"/>
  <c r="BB402"/>
  <c r="BA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G401" s="1"/>
  <c r="H401"/>
  <c r="BT400"/>
  <c r="BS400"/>
  <c r="BR400"/>
  <c r="BQ400"/>
  <c r="BP400"/>
  <c r="BO400"/>
  <c r="BN400"/>
  <c r="BM400"/>
  <c r="BL400" s="1"/>
  <c r="BK400"/>
  <c r="BJ400"/>
  <c r="BI400"/>
  <c r="BH400"/>
  <c r="BG400"/>
  <c r="BF400"/>
  <c r="BE400"/>
  <c r="BD400"/>
  <c r="BC400"/>
  <c r="BA400" s="1"/>
  <c r="BB400"/>
  <c r="AX400"/>
  <c r="AW400"/>
  <c r="AV400"/>
  <c r="AC400"/>
  <c r="H400"/>
  <c r="G400" s="1"/>
  <c r="BT399"/>
  <c r="BS399"/>
  <c r="BR399"/>
  <c r="BQ399"/>
  <c r="BP399"/>
  <c r="BO399"/>
  <c r="BN399"/>
  <c r="BL399" s="1"/>
  <c r="BM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L397" s="1"/>
  <c r="BM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G395" s="1"/>
  <c r="H395"/>
  <c r="BT394"/>
  <c r="BS394"/>
  <c r="BR394"/>
  <c r="BQ394"/>
  <c r="BP394"/>
  <c r="BO394"/>
  <c r="BN394"/>
  <c r="BM394"/>
  <c r="BL394" s="1"/>
  <c r="BK394"/>
  <c r="BJ394"/>
  <c r="BI394"/>
  <c r="BH394"/>
  <c r="BG394"/>
  <c r="BF394"/>
  <c r="BE394"/>
  <c r="BD394"/>
  <c r="BC394"/>
  <c r="BA394" s="1"/>
  <c r="BB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G392" s="1"/>
  <c r="H392"/>
  <c r="BT391"/>
  <c r="BS391"/>
  <c r="BR391"/>
  <c r="BQ391"/>
  <c r="BP391"/>
  <c r="BO391"/>
  <c r="BN391"/>
  <c r="BM391"/>
  <c r="BL391" s="1"/>
  <c r="BK391"/>
  <c r="BJ391"/>
  <c r="BI391"/>
  <c r="BH391"/>
  <c r="BG391"/>
  <c r="BF391"/>
  <c r="BE391"/>
  <c r="BD391"/>
  <c r="BC391"/>
  <c r="BA391" s="1"/>
  <c r="BB391"/>
  <c r="AX391"/>
  <c r="AW391"/>
  <c r="AV391"/>
  <c r="AC391"/>
  <c r="H391"/>
  <c r="G391"/>
  <c r="BT390"/>
  <c r="BS390"/>
  <c r="BR390"/>
  <c r="BQ390"/>
  <c r="BP390"/>
  <c r="BO390"/>
  <c r="BN390"/>
  <c r="BM390"/>
  <c r="BL390" s="1"/>
  <c r="BK390"/>
  <c r="BJ390"/>
  <c r="BI390"/>
  <c r="BH390"/>
  <c r="BG390"/>
  <c r="BF390"/>
  <c r="BE390"/>
  <c r="BD390"/>
  <c r="BC390"/>
  <c r="BB390"/>
  <c r="BA390"/>
  <c r="AX390"/>
  <c r="AW390"/>
  <c r="AV390"/>
  <c r="AC390"/>
  <c r="G390" s="1"/>
  <c r="H390"/>
  <c r="BT389"/>
  <c r="BS389"/>
  <c r="BR389"/>
  <c r="BQ389"/>
  <c r="BP389"/>
  <c r="BO389"/>
  <c r="BN389"/>
  <c r="BM389"/>
  <c r="BL389" s="1"/>
  <c r="BK389"/>
  <c r="BJ389"/>
  <c r="BI389"/>
  <c r="BH389"/>
  <c r="BG389"/>
  <c r="BF389"/>
  <c r="BE389"/>
  <c r="BD389"/>
  <c r="BC389"/>
  <c r="BA389" s="1"/>
  <c r="AZ389" s="1"/>
  <c r="BB389"/>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s="1"/>
  <c r="E42"/>
  <c r="F42" s="1"/>
  <c r="I44" i="35"/>
  <c r="J44" s="1"/>
  <c r="G44"/>
  <c r="H44" s="1"/>
  <c r="E44"/>
  <c r="F44" s="1"/>
  <c r="I54" i="33"/>
  <c r="J54"/>
  <c r="G54"/>
  <c r="E54"/>
  <c r="F54" s="1"/>
  <c r="H14" i="3"/>
  <c r="AC14"/>
  <c r="G14" s="1"/>
  <c r="H15"/>
  <c r="AC15"/>
  <c r="H16"/>
  <c r="AC16"/>
  <c r="H17"/>
  <c r="AC17"/>
  <c r="H18"/>
  <c r="AC18"/>
  <c r="BB18"/>
  <c r="BC18"/>
  <c r="BD18"/>
  <c r="BE18"/>
  <c r="BF18"/>
  <c r="BG18"/>
  <c r="BH18"/>
  <c r="BI18"/>
  <c r="BJ18"/>
  <c r="BK18"/>
  <c r="BM18"/>
  <c r="BN18"/>
  <c r="BO18"/>
  <c r="BP18"/>
  <c r="BR18"/>
  <c r="BS18"/>
  <c r="BT18"/>
  <c r="H19"/>
  <c r="G19" s="1"/>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G511" s="1"/>
  <c r="BB511"/>
  <c r="BC511"/>
  <c r="BD511"/>
  <c r="BE511"/>
  <c r="BF511"/>
  <c r="BG511"/>
  <c r="BH511"/>
  <c r="BI511"/>
  <c r="BJ511"/>
  <c r="BK511"/>
  <c r="BM511"/>
  <c r="BN511"/>
  <c r="BO511"/>
  <c r="BP511"/>
  <c r="BQ511"/>
  <c r="BR511"/>
  <c r="BS511"/>
  <c r="BT511"/>
  <c r="H512"/>
  <c r="AC512"/>
  <c r="G512" s="1"/>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G520" s="1"/>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G528" s="1"/>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AC535"/>
  <c r="G535" s="1"/>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G540" s="1"/>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G559" s="1"/>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S41" s="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E115" s="1"/>
  <c r="F115" s="1"/>
  <c r="G115" s="1"/>
  <c r="H115" s="1"/>
  <c r="I115" s="1"/>
  <c r="J115" s="1"/>
  <c r="K115" s="1"/>
  <c r="L115" s="1"/>
  <c r="M115" s="1"/>
  <c r="J38"/>
  <c r="AC38"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c r="AA16" s="1"/>
  <c r="B81"/>
  <c r="B79"/>
  <c r="F14" s="1"/>
  <c r="AA14" s="1"/>
  <c r="M76"/>
  <c r="L76"/>
  <c r="K76"/>
  <c r="J76"/>
  <c r="I76"/>
  <c r="H76"/>
  <c r="G76"/>
  <c r="F76"/>
  <c r="E76"/>
  <c r="D76"/>
  <c r="C76"/>
  <c r="P45"/>
  <c r="P44"/>
  <c r="V43"/>
  <c r="T43"/>
  <c r="R43"/>
  <c r="P43"/>
  <c r="Q42"/>
  <c r="Z42" s="1"/>
  <c r="Q41"/>
  <c r="Z41"/>
  <c r="Q40"/>
  <c r="Z40" s="1"/>
  <c r="Q39"/>
  <c r="Z39"/>
  <c r="Q38"/>
  <c r="Z38" s="1"/>
  <c r="Q37"/>
  <c r="Z37"/>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c r="Q43"/>
  <c r="Z43" s="1"/>
  <c r="Q44"/>
  <c r="Z44" s="1"/>
  <c r="Q45"/>
  <c r="Z45" s="1"/>
  <c r="Q46"/>
  <c r="Z46" s="1"/>
  <c r="Q47"/>
  <c r="Z47" s="1"/>
  <c r="Q40"/>
  <c r="Z40"/>
  <c r="Q38"/>
  <c r="Z38" s="1"/>
  <c r="Q39"/>
  <c r="Z39" s="1"/>
  <c r="M118"/>
  <c r="L118"/>
  <c r="K118"/>
  <c r="J118"/>
  <c r="I118"/>
  <c r="H118"/>
  <c r="G118"/>
  <c r="F118"/>
  <c r="E118"/>
  <c r="D118"/>
  <c r="C118"/>
  <c r="B133"/>
  <c r="B131"/>
  <c r="B129"/>
  <c r="D128"/>
  <c r="D124"/>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c r="AC39" s="1"/>
  <c r="B108"/>
  <c r="C23"/>
  <c r="C19"/>
  <c r="C17"/>
  <c r="C15"/>
  <c r="B112"/>
  <c r="D107"/>
  <c r="E107"/>
  <c r="D105"/>
  <c r="E105" s="1"/>
  <c r="F105" s="1"/>
  <c r="G105" s="1"/>
  <c r="H36"/>
  <c r="D103"/>
  <c r="J35"/>
  <c r="AC35" s="1"/>
  <c r="F97"/>
  <c r="E97"/>
  <c r="D97"/>
  <c r="C97"/>
  <c r="D96"/>
  <c r="E96"/>
  <c r="D94"/>
  <c r="M90"/>
  <c r="L90"/>
  <c r="K90"/>
  <c r="J90"/>
  <c r="I90"/>
  <c r="H90"/>
  <c r="G90"/>
  <c r="F90"/>
  <c r="E90"/>
  <c r="D90"/>
  <c r="C90"/>
  <c r="D89"/>
  <c r="B86"/>
  <c r="B84"/>
  <c r="H27"/>
  <c r="U27" s="1"/>
  <c r="B82"/>
  <c r="J26" s="1"/>
  <c r="D79"/>
  <c r="E79" s="1"/>
  <c r="F79" s="1"/>
  <c r="D75"/>
  <c r="E75"/>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s="1"/>
  <c r="Q38"/>
  <c r="Z38"/>
  <c r="Q37"/>
  <c r="Z37" s="1"/>
  <c r="Q36"/>
  <c r="Z36"/>
  <c r="Q35"/>
  <c r="Z35" s="1"/>
  <c r="Q34"/>
  <c r="Z34" s="1"/>
  <c r="Q33"/>
  <c r="Z33" s="1"/>
  <c r="Q32"/>
  <c r="Z32" s="1"/>
  <c r="Q31"/>
  <c r="Z31" s="1"/>
  <c r="J31"/>
  <c r="Q30"/>
  <c r="Z30"/>
  <c r="J30"/>
  <c r="W30" s="1"/>
  <c r="H30"/>
  <c r="AB30" s="1"/>
  <c r="F30"/>
  <c r="Q29"/>
  <c r="Z29"/>
  <c r="H29"/>
  <c r="U29" s="1"/>
  <c r="Q28"/>
  <c r="Z28" s="1"/>
  <c r="Q27"/>
  <c r="Z27" s="1"/>
  <c r="Q26"/>
  <c r="Z26" s="1"/>
  <c r="Q25"/>
  <c r="Z25" s="1"/>
  <c r="F25"/>
  <c r="AA25" s="1"/>
  <c r="Q23"/>
  <c r="Z23" s="1"/>
  <c r="Q19"/>
  <c r="Z19" s="1"/>
  <c r="Q17"/>
  <c r="Z17"/>
  <c r="Q15"/>
  <c r="Z15" s="1"/>
  <c r="Q14"/>
  <c r="Z14"/>
  <c r="Q13"/>
  <c r="Z13" s="1"/>
  <c r="Q12"/>
  <c r="Z12"/>
  <c r="Q11"/>
  <c r="Z11" s="1"/>
  <c r="Q10"/>
  <c r="Z10"/>
  <c r="F10"/>
  <c r="AA10" s="1"/>
  <c r="Q9"/>
  <c r="Z9"/>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c r="W24" s="1"/>
  <c r="B71"/>
  <c r="J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c r="H26"/>
  <c r="AB26" s="1"/>
  <c r="Q25"/>
  <c r="Z25" s="1"/>
  <c r="Q24"/>
  <c r="Z24" s="1"/>
  <c r="H24"/>
  <c r="AB24" s="1"/>
  <c r="Q23"/>
  <c r="Z23" s="1"/>
  <c r="H23"/>
  <c r="AB23" s="1"/>
  <c r="F23"/>
  <c r="AA23" s="1"/>
  <c r="Q22"/>
  <c r="Z22"/>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s="1"/>
  <c r="B73"/>
  <c r="B57"/>
  <c r="B61"/>
  <c r="B59"/>
  <c r="H12" s="1"/>
  <c r="B131" i="34"/>
  <c r="B129"/>
  <c r="B127"/>
  <c r="B99"/>
  <c r="B97"/>
  <c r="B95"/>
  <c r="B93"/>
  <c r="B75"/>
  <c r="B73"/>
  <c r="B71"/>
  <c r="B130" i="33"/>
  <c r="B128"/>
  <c r="H45" s="1"/>
  <c r="B126"/>
  <c r="B98"/>
  <c r="F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Q35"/>
  <c r="Z35" s="1"/>
  <c r="Q34"/>
  <c r="Z34" s="1"/>
  <c r="J34"/>
  <c r="AC34" s="1"/>
  <c r="H34"/>
  <c r="AB34" s="1"/>
  <c r="F34"/>
  <c r="AA34" s="1"/>
  <c r="Q33"/>
  <c r="Z33"/>
  <c r="Q32"/>
  <c r="Z32" s="1"/>
  <c r="H32"/>
  <c r="AB32" s="1"/>
  <c r="F32"/>
  <c r="AA32" s="1"/>
  <c r="Q31"/>
  <c r="Z31" s="1"/>
  <c r="AC31"/>
  <c r="AB31"/>
  <c r="AA31"/>
  <c r="Q30"/>
  <c r="Z30" s="1"/>
  <c r="Q29"/>
  <c r="Z29" s="1"/>
  <c r="Q28"/>
  <c r="Z28" s="1"/>
  <c r="J28"/>
  <c r="H28"/>
  <c r="F28"/>
  <c r="AA28" s="1"/>
  <c r="Q27"/>
  <c r="Z27" s="1"/>
  <c r="Q26"/>
  <c r="Z26" s="1"/>
  <c r="Q25"/>
  <c r="Z25" s="1"/>
  <c r="Q24"/>
  <c r="Z24" s="1"/>
  <c r="Q23"/>
  <c r="Z23" s="1"/>
  <c r="J23"/>
  <c r="AC23" s="1"/>
  <c r="Q22"/>
  <c r="Z22" s="1"/>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s="1"/>
  <c r="J40"/>
  <c r="AC40" s="1"/>
  <c r="H40"/>
  <c r="AA40"/>
  <c r="Q39"/>
  <c r="Z39" s="1"/>
  <c r="J39"/>
  <c r="AC39" s="1"/>
  <c r="Q38"/>
  <c r="Z38" s="1"/>
  <c r="J38"/>
  <c r="AC38" s="1"/>
  <c r="H38"/>
  <c r="AB38" s="1"/>
  <c r="F38"/>
  <c r="AA38" s="1"/>
  <c r="Q37"/>
  <c r="Z37" s="1"/>
  <c r="Q36"/>
  <c r="Z36"/>
  <c r="Q35"/>
  <c r="Z35" s="1"/>
  <c r="H35"/>
  <c r="AB35" s="1"/>
  <c r="Q34"/>
  <c r="Z34" s="1"/>
  <c r="Q33"/>
  <c r="Z33" s="1"/>
  <c r="J33"/>
  <c r="AC33" s="1"/>
  <c r="H33"/>
  <c r="AB33" s="1"/>
  <c r="F33"/>
  <c r="AA33" s="1"/>
  <c r="Q32"/>
  <c r="Z32" s="1"/>
  <c r="Q31"/>
  <c r="Z31"/>
  <c r="Q30"/>
  <c r="Z30" s="1"/>
  <c r="Q29"/>
  <c r="Z29"/>
  <c r="Q28"/>
  <c r="Z28" s="1"/>
  <c r="Q27"/>
  <c r="Z27"/>
  <c r="Q26"/>
  <c r="Z26" s="1"/>
  <c r="Q25"/>
  <c r="Z25"/>
  <c r="Q23"/>
  <c r="Z23" s="1"/>
  <c r="Q19"/>
  <c r="Z19" s="1"/>
  <c r="Q17"/>
  <c r="Z17" s="1"/>
  <c r="Q15"/>
  <c r="Z15" s="1"/>
  <c r="F15"/>
  <c r="AA15" s="1"/>
  <c r="Q14"/>
  <c r="Z14" s="1"/>
  <c r="Q13"/>
  <c r="Z13" s="1"/>
  <c r="Q12"/>
  <c r="Z12" s="1"/>
  <c r="J12"/>
  <c r="W12" s="1"/>
  <c r="H12"/>
  <c r="U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G5" s="1"/>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AB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S10" i="39"/>
  <c r="U30" i="37"/>
  <c r="E103"/>
  <c r="F103"/>
  <c r="F39"/>
  <c r="S39" s="1"/>
  <c r="W39"/>
  <c r="F29" i="36"/>
  <c r="AA29" s="1"/>
  <c r="F16"/>
  <c r="AA16" s="1"/>
  <c r="U22"/>
  <c r="W22"/>
  <c r="U26"/>
  <c r="AC31"/>
  <c r="J33"/>
  <c r="W33" s="1"/>
  <c r="AC27" i="35"/>
  <c r="U31"/>
  <c r="S34"/>
  <c r="S31"/>
  <c r="W31"/>
  <c r="U34"/>
  <c r="F36" i="34"/>
  <c r="S36" s="1"/>
  <c r="W9"/>
  <c r="S34"/>
  <c r="W39"/>
  <c r="H39" i="33"/>
  <c r="AB39" s="1"/>
  <c r="F26"/>
  <c r="AA26" s="1"/>
  <c r="U33"/>
  <c r="W38"/>
  <c r="S40"/>
  <c r="S33"/>
  <c r="W33"/>
  <c r="U38"/>
  <c r="H39" i="37"/>
  <c r="AB39" s="1"/>
  <c r="AB27" i="35"/>
  <c r="S10" i="40"/>
  <c r="W10"/>
  <c r="S11"/>
  <c r="U11"/>
  <c r="S36"/>
  <c r="U36"/>
  <c r="S40" i="39"/>
  <c r="S36"/>
  <c r="F11" i="21"/>
  <c r="S11" s="1"/>
  <c r="C29" i="39"/>
  <c r="C23"/>
  <c r="U36"/>
  <c r="H32" i="33"/>
  <c r="AB32" s="1"/>
  <c r="H11" i="21"/>
  <c r="U11" s="1"/>
  <c r="J11"/>
  <c r="W11" s="1"/>
  <c r="F100" i="40"/>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W14" s="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W46" i="33"/>
  <c r="U30"/>
  <c r="AB40" i="37"/>
  <c r="J36"/>
  <c r="AC36" s="1"/>
  <c r="AB28" i="36"/>
  <c r="U46" i="21"/>
  <c r="AC30"/>
  <c r="W30"/>
  <c r="S28"/>
  <c r="AA28"/>
  <c r="AC14"/>
  <c r="W31" i="34"/>
  <c r="S46" i="33"/>
  <c r="U36" i="37"/>
  <c r="AB31" i="33"/>
  <c r="AA27"/>
  <c r="S45" i="21"/>
  <c r="U28"/>
  <c r="G529" i="3"/>
  <c r="G521"/>
  <c r="G517"/>
  <c r="G513"/>
  <c r="G508"/>
  <c r="G499"/>
  <c r="G493"/>
  <c r="G485"/>
  <c r="G17"/>
  <c r="G565"/>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s="1"/>
  <c r="BA555"/>
  <c r="AZ555"/>
  <c r="BA551"/>
  <c r="AZ551" s="1"/>
  <c r="BA545"/>
  <c r="BA543"/>
  <c r="BA541"/>
  <c r="AZ541" s="1"/>
  <c r="BA531"/>
  <c r="BA521"/>
  <c r="BA509"/>
  <c r="BA505"/>
  <c r="BA501"/>
  <c r="BA493"/>
  <c r="AZ493"/>
  <c r="BA487"/>
  <c r="BA19"/>
  <c r="BA572"/>
  <c r="AZ572" s="1"/>
  <c r="BA566"/>
  <c r="BA562"/>
  <c r="BA560"/>
  <c r="BA558"/>
  <c r="BA556"/>
  <c r="BA554"/>
  <c r="BA550"/>
  <c r="BA546"/>
  <c r="BA544"/>
  <c r="BA540"/>
  <c r="BA536"/>
  <c r="BA532"/>
  <c r="BA528"/>
  <c r="BA524"/>
  <c r="BA520"/>
  <c r="BA516"/>
  <c r="BA512"/>
  <c r="BA508"/>
  <c r="BA502"/>
  <c r="BA498"/>
  <c r="BA492"/>
  <c r="AZ492"/>
  <c r="BA488"/>
  <c r="BA484"/>
  <c r="BA20"/>
  <c r="G566"/>
  <c r="G562"/>
  <c r="G560"/>
  <c r="G558"/>
  <c r="G556"/>
  <c r="G554"/>
  <c r="G550"/>
  <c r="G546"/>
  <c r="BL543"/>
  <c r="AZ543"/>
  <c r="BA542"/>
  <c r="AZ542" s="1"/>
  <c r="AC542"/>
  <c r="G542" s="1"/>
  <c r="BQ542"/>
  <c r="BL542"/>
  <c r="BQ568"/>
  <c r="BQ566"/>
  <c r="BQ564"/>
  <c r="BL564" s="1"/>
  <c r="BQ562"/>
  <c r="BL562"/>
  <c r="AZ562"/>
  <c r="BQ560"/>
  <c r="BL560" s="1"/>
  <c r="AZ560" s="1"/>
  <c r="BQ558"/>
  <c r="BL558"/>
  <c r="BQ556"/>
  <c r="BL556" s="1"/>
  <c r="BQ554"/>
  <c r="BQ552"/>
  <c r="BL552" s="1"/>
  <c r="BQ550"/>
  <c r="BL550"/>
  <c r="AZ550" s="1"/>
  <c r="BQ548"/>
  <c r="BQ546"/>
  <c r="BL546"/>
  <c r="BQ544"/>
  <c r="BL544" s="1"/>
  <c r="G544"/>
  <c r="G538"/>
  <c r="G534"/>
  <c r="G530"/>
  <c r="G526"/>
  <c r="G522"/>
  <c r="BQ540"/>
  <c r="BL540" s="1"/>
  <c r="AZ540" s="1"/>
  <c r="BQ538"/>
  <c r="BL538"/>
  <c r="BQ536"/>
  <c r="BQ534"/>
  <c r="BL534"/>
  <c r="BQ532"/>
  <c r="BL532" s="1"/>
  <c r="BQ530"/>
  <c r="BQ528"/>
  <c r="BQ526"/>
  <c r="BL526" s="1"/>
  <c r="BQ524"/>
  <c r="BL524"/>
  <c r="BQ522"/>
  <c r="BQ520"/>
  <c r="BL520" s="1"/>
  <c r="AZ520" s="1"/>
  <c r="BQ518"/>
  <c r="BQ516"/>
  <c r="BL516" s="1"/>
  <c r="BQ514"/>
  <c r="BL514"/>
  <c r="BQ512"/>
  <c r="BQ510"/>
  <c r="BL510" s="1"/>
  <c r="BQ508"/>
  <c r="BL508"/>
  <c r="AC506"/>
  <c r="G506" s="1"/>
  <c r="BQ506"/>
  <c r="G502"/>
  <c r="G498"/>
  <c r="BQ504"/>
  <c r="BQ502"/>
  <c r="BL502"/>
  <c r="BQ500"/>
  <c r="BL500" s="1"/>
  <c r="BQ498"/>
  <c r="BQ496"/>
  <c r="AC494"/>
  <c r="BQ494"/>
  <c r="BL493"/>
  <c r="G492"/>
  <c r="G488"/>
  <c r="G484"/>
  <c r="G20"/>
  <c r="BQ492"/>
  <c r="BL492" s="1"/>
  <c r="BQ490"/>
  <c r="BQ488"/>
  <c r="BL488"/>
  <c r="BQ486"/>
  <c r="BQ484"/>
  <c r="BL484"/>
  <c r="AZ484" s="1"/>
  <c r="BQ482"/>
  <c r="BL482" s="1"/>
  <c r="BQ20"/>
  <c r="BL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B43" i="33"/>
  <c r="D3" i="21"/>
  <c r="AC33" i="36"/>
  <c r="AC12" i="35"/>
  <c r="W23"/>
  <c r="AC23" i="37"/>
  <c r="S27"/>
  <c r="U39"/>
  <c r="AC8"/>
  <c r="S25"/>
  <c r="AC36" i="34"/>
  <c r="AB8"/>
  <c r="AC37" i="33"/>
  <c r="AA13"/>
  <c r="AC45"/>
  <c r="AC33" i="21"/>
  <c r="F43" i="33"/>
  <c r="AA43" s="1"/>
  <c r="AB44"/>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U31"/>
  <c r="E90" i="40"/>
  <c r="F21"/>
  <c r="S21" s="1"/>
  <c r="W36"/>
  <c r="U40" i="39"/>
  <c r="F90" i="40"/>
  <c r="G90" s="1"/>
  <c r="J21"/>
  <c r="AC21" s="1"/>
  <c r="S27" i="31"/>
  <c r="AZ558" i="3"/>
  <c r="G483"/>
  <c r="G515"/>
  <c r="G507"/>
  <c r="G501"/>
  <c r="BA15"/>
  <c r="BL17"/>
  <c r="BL15"/>
  <c r="BA14"/>
  <c r="AZ14" s="1"/>
  <c r="BT5"/>
  <c r="J57" i="39"/>
  <c r="H13" i="40"/>
  <c r="U13" s="1"/>
  <c r="H12" i="48"/>
  <c r="I4" i="4"/>
  <c r="K141" i="21"/>
  <c r="K143"/>
  <c r="K144"/>
  <c r="I59" i="40"/>
  <c r="C59" s="1"/>
  <c r="I60"/>
  <c r="C60" s="1"/>
  <c r="G297" i="3"/>
  <c r="BL298"/>
  <c r="AZ298" s="1"/>
  <c r="G299"/>
  <c r="BL300"/>
  <c r="BA302"/>
  <c r="AZ302"/>
  <c r="BA303"/>
  <c r="AZ303" s="1"/>
  <c r="BL303"/>
  <c r="G304"/>
  <c r="BA305"/>
  <c r="AZ305"/>
  <c r="G321"/>
  <c r="BL322"/>
  <c r="G323"/>
  <c r="BL324"/>
  <c r="BA326"/>
  <c r="AZ326"/>
  <c r="BA327"/>
  <c r="BL327"/>
  <c r="G328"/>
  <c r="BA329"/>
  <c r="AZ329"/>
  <c r="G337"/>
  <c r="BL338"/>
  <c r="G339"/>
  <c r="BL340"/>
  <c r="BA342"/>
  <c r="AZ342"/>
  <c r="BA343"/>
  <c r="BL343"/>
  <c r="G344"/>
  <c r="BA345"/>
  <c r="AZ345" s="1"/>
  <c r="G353"/>
  <c r="BL354"/>
  <c r="G355"/>
  <c r="BL356"/>
  <c r="G357"/>
  <c r="BL358"/>
  <c r="G359"/>
  <c r="BA360"/>
  <c r="AZ360"/>
  <c r="BA361"/>
  <c r="BL361"/>
  <c r="G362"/>
  <c r="BA363"/>
  <c r="G371"/>
  <c r="BL372"/>
  <c r="G373"/>
  <c r="BL374"/>
  <c r="BA376"/>
  <c r="AZ376" s="1"/>
  <c r="BA377"/>
  <c r="BL377"/>
  <c r="AZ377" s="1"/>
  <c r="G378"/>
  <c r="BA379"/>
  <c r="BA114"/>
  <c r="AZ114"/>
  <c r="BL115"/>
  <c r="AZ115" s="1"/>
  <c r="G116"/>
  <c r="BA118"/>
  <c r="AZ118"/>
  <c r="BL119"/>
  <c r="AZ119"/>
  <c r="G120"/>
  <c r="BA122"/>
  <c r="AZ122" s="1"/>
  <c r="BL123"/>
  <c r="AZ123"/>
  <c r="G124"/>
  <c r="BA126"/>
  <c r="AZ126"/>
  <c r="BL127"/>
  <c r="AZ127" s="1"/>
  <c r="G128"/>
  <c r="BA130"/>
  <c r="AZ130"/>
  <c r="BL131"/>
  <c r="AZ131"/>
  <c r="G132"/>
  <c r="BA134"/>
  <c r="AZ134"/>
  <c r="BL135"/>
  <c r="AZ135" s="1"/>
  <c r="G136"/>
  <c r="BA138"/>
  <c r="AZ138" s="1"/>
  <c r="BL139"/>
  <c r="AZ139"/>
  <c r="G140"/>
  <c r="BA142"/>
  <c r="AZ142" s="1"/>
  <c r="BL143"/>
  <c r="G144"/>
  <c r="BA146"/>
  <c r="AZ146" s="1"/>
  <c r="BL147"/>
  <c r="AZ147"/>
  <c r="G148"/>
  <c r="BA150"/>
  <c r="AZ150"/>
  <c r="BL151"/>
  <c r="AZ151"/>
  <c r="BA153"/>
  <c r="AZ153"/>
  <c r="BL154"/>
  <c r="G155"/>
  <c r="BA157"/>
  <c r="AZ157"/>
  <c r="BL158"/>
  <c r="G159"/>
  <c r="BA161"/>
  <c r="AZ161"/>
  <c r="BL162"/>
  <c r="AZ162" s="1"/>
  <c r="G163"/>
  <c r="BA165"/>
  <c r="AZ165"/>
  <c r="BL166"/>
  <c r="AZ166" s="1"/>
  <c r="G167"/>
  <c r="BA169"/>
  <c r="AZ169"/>
  <c r="BL170"/>
  <c r="AZ170" s="1"/>
  <c r="G171"/>
  <c r="BA173"/>
  <c r="AZ173"/>
  <c r="BL174"/>
  <c r="G175"/>
  <c r="BA178"/>
  <c r="AZ178"/>
  <c r="BL179"/>
  <c r="AZ179" s="1"/>
  <c r="G180"/>
  <c r="AZ23"/>
  <c r="AZ35"/>
  <c r="AZ43"/>
  <c r="AZ47"/>
  <c r="AZ51"/>
  <c r="AZ55"/>
  <c r="AZ59"/>
  <c r="G537"/>
  <c r="BL181"/>
  <c r="AZ181" s="1"/>
  <c r="G182"/>
  <c r="BA184"/>
  <c r="AZ184" s="1"/>
  <c r="BL185"/>
  <c r="G186"/>
  <c r="BA188"/>
  <c r="AZ188" s="1"/>
  <c r="BL189"/>
  <c r="AZ189"/>
  <c r="G190"/>
  <c r="BA192"/>
  <c r="AZ192" s="1"/>
  <c r="BL193"/>
  <c r="AZ193"/>
  <c r="G194"/>
  <c r="BA196"/>
  <c r="AZ196"/>
  <c r="BL197"/>
  <c r="AZ197"/>
  <c r="G198"/>
  <c r="BA200"/>
  <c r="AZ200"/>
  <c r="BL201"/>
  <c r="AZ201" s="1"/>
  <c r="AZ66"/>
  <c r="AZ70"/>
  <c r="AZ74"/>
  <c r="AZ78"/>
  <c r="AZ82"/>
  <c r="AZ185"/>
  <c r="AZ84"/>
  <c r="AZ86"/>
  <c r="AZ90"/>
  <c r="AZ94"/>
  <c r="AZ98"/>
  <c r="AZ102"/>
  <c r="AZ106"/>
  <c r="AZ110"/>
  <c r="G491"/>
  <c r="BA298"/>
  <c r="BA299"/>
  <c r="AZ299"/>
  <c r="BL299"/>
  <c r="G300"/>
  <c r="G303"/>
  <c r="BL304"/>
  <c r="BA306"/>
  <c r="AZ306"/>
  <c r="BA307"/>
  <c r="BL307"/>
  <c r="G308"/>
  <c r="G319"/>
  <c r="BL320"/>
  <c r="BA322"/>
  <c r="BA323"/>
  <c r="AZ323"/>
  <c r="BL323"/>
  <c r="G324"/>
  <c r="G327"/>
  <c r="BL328"/>
  <c r="BA330"/>
  <c r="AZ330" s="1"/>
  <c r="BA331"/>
  <c r="BL331"/>
  <c r="AZ331" s="1"/>
  <c r="G332"/>
  <c r="G335"/>
  <c r="BL336"/>
  <c r="BA338"/>
  <c r="AZ338" s="1"/>
  <c r="BA339"/>
  <c r="BL339"/>
  <c r="G340"/>
  <c r="G343"/>
  <c r="BL344"/>
  <c r="BA346"/>
  <c r="AZ346"/>
  <c r="BA347"/>
  <c r="AZ347" s="1"/>
  <c r="BL347"/>
  <c r="G348"/>
  <c r="G351"/>
  <c r="BL352"/>
  <c r="BA354"/>
  <c r="BA355"/>
  <c r="AZ355"/>
  <c r="BL355"/>
  <c r="G356"/>
  <c r="AZ143"/>
  <c r="BA358"/>
  <c r="AZ358" s="1"/>
  <c r="BA359"/>
  <c r="BL359"/>
  <c r="AZ359"/>
  <c r="G360"/>
  <c r="G361"/>
  <c r="BL362"/>
  <c r="BA364"/>
  <c r="AZ364"/>
  <c r="BA365"/>
  <c r="BL365"/>
  <c r="AZ365" s="1"/>
  <c r="G366"/>
  <c r="G369"/>
  <c r="BL370"/>
  <c r="BA372"/>
  <c r="AZ372" s="1"/>
  <c r="BA373"/>
  <c r="BL373"/>
  <c r="AZ373" s="1"/>
  <c r="G374"/>
  <c r="G377"/>
  <c r="BL378"/>
  <c r="BA380"/>
  <c r="AZ380" s="1"/>
  <c r="BA381"/>
  <c r="AZ381"/>
  <c r="BL381"/>
  <c r="G382"/>
  <c r="G385"/>
  <c r="AZ154"/>
  <c r="AZ158"/>
  <c r="AZ174"/>
  <c r="AZ183"/>
  <c r="AZ187"/>
  <c r="AZ191"/>
  <c r="AZ195"/>
  <c r="AZ199"/>
  <c r="AZ203"/>
  <c r="G523"/>
  <c r="BL297"/>
  <c r="AZ297"/>
  <c r="G298"/>
  <c r="BA300"/>
  <c r="BL301"/>
  <c r="AZ301"/>
  <c r="G302"/>
  <c r="BA304"/>
  <c r="BL305"/>
  <c r="G306"/>
  <c r="BA308"/>
  <c r="AZ308" s="1"/>
  <c r="BL309"/>
  <c r="G310"/>
  <c r="BA310"/>
  <c r="AZ310" s="1"/>
  <c r="BL311"/>
  <c r="G312"/>
  <c r="BA312"/>
  <c r="AZ312" s="1"/>
  <c r="BL313"/>
  <c r="G314"/>
  <c r="BA314"/>
  <c r="AZ314" s="1"/>
  <c r="BL315"/>
  <c r="AZ315" s="1"/>
  <c r="G316"/>
  <c r="BA316"/>
  <c r="AZ316" s="1"/>
  <c r="BL317"/>
  <c r="G318"/>
  <c r="BA320"/>
  <c r="AZ320" s="1"/>
  <c r="BL321"/>
  <c r="G322"/>
  <c r="BA324"/>
  <c r="BL325"/>
  <c r="AZ325" s="1"/>
  <c r="G326"/>
  <c r="BA328"/>
  <c r="BL329"/>
  <c r="G330"/>
  <c r="BA332"/>
  <c r="AZ332" s="1"/>
  <c r="BL333"/>
  <c r="G334"/>
  <c r="BA336"/>
  <c r="AZ336" s="1"/>
  <c r="BL337"/>
  <c r="G338"/>
  <c r="BA340"/>
  <c r="AZ340" s="1"/>
  <c r="BL341"/>
  <c r="G342"/>
  <c r="BA344"/>
  <c r="AZ344" s="1"/>
  <c r="BL345"/>
  <c r="G346"/>
  <c r="BA348"/>
  <c r="AZ348" s="1"/>
  <c r="BL349"/>
  <c r="AZ349" s="1"/>
  <c r="G350"/>
  <c r="BA352"/>
  <c r="AZ352" s="1"/>
  <c r="BL353"/>
  <c r="G354"/>
  <c r="BA356"/>
  <c r="AZ356" s="1"/>
  <c r="BL357"/>
  <c r="G358"/>
  <c r="BA362"/>
  <c r="AZ362" s="1"/>
  <c r="BL363"/>
  <c r="G364"/>
  <c r="BA366"/>
  <c r="AZ366" s="1"/>
  <c r="BL367"/>
  <c r="AZ367" s="1"/>
  <c r="AZ205"/>
  <c r="AZ209"/>
  <c r="AZ213"/>
  <c r="AZ217"/>
  <c r="AZ229"/>
  <c r="AZ233"/>
  <c r="AZ237"/>
  <c r="AZ241"/>
  <c r="AZ309"/>
  <c r="AZ317"/>
  <c r="AZ321"/>
  <c r="AZ333"/>
  <c r="AZ337"/>
  <c r="AZ341"/>
  <c r="AZ353"/>
  <c r="AZ357"/>
  <c r="AZ363"/>
  <c r="G368"/>
  <c r="BA370"/>
  <c r="AZ370" s="1"/>
  <c r="BL371"/>
  <c r="AZ371" s="1"/>
  <c r="G372"/>
  <c r="BA374"/>
  <c r="AZ374"/>
  <c r="BL375"/>
  <c r="G376"/>
  <c r="BA378"/>
  <c r="AZ378"/>
  <c r="BL379"/>
  <c r="AZ379"/>
  <c r="G380"/>
  <c r="BA382"/>
  <c r="AZ382" s="1"/>
  <c r="BL383"/>
  <c r="G384"/>
  <c r="AZ249"/>
  <c r="AZ253"/>
  <c r="AZ257"/>
  <c r="AZ265"/>
  <c r="AZ375"/>
  <c r="AZ383"/>
  <c r="AZ270"/>
  <c r="AZ274"/>
  <c r="AZ278"/>
  <c r="AZ282"/>
  <c r="AZ286"/>
  <c r="AZ290"/>
  <c r="AZ295"/>
  <c r="AZ311"/>
  <c r="AZ313"/>
  <c r="AZ319"/>
  <c r="AZ335"/>
  <c r="AZ339"/>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U43" i="21"/>
  <c r="AA13" i="40"/>
  <c r="E78"/>
  <c r="F78" s="1"/>
  <c r="G78" s="1"/>
  <c r="H78" s="1"/>
  <c r="I78" s="1"/>
  <c r="J78" s="1"/>
  <c r="K78" s="1"/>
  <c r="L78" s="1"/>
  <c r="M78" s="1"/>
  <c r="BH5" i="3"/>
  <c r="R16" i="4"/>
  <c r="P16"/>
  <c r="D3" i="35"/>
  <c r="G4" i="4"/>
  <c r="S37" i="34"/>
  <c r="J16" i="35"/>
  <c r="W16" s="1"/>
  <c r="AC26" i="36"/>
  <c r="W25" i="35"/>
  <c r="AZ300" i="3"/>
  <c r="AZ354"/>
  <c r="AZ322"/>
  <c r="H13" i="39"/>
  <c r="AB13" s="1"/>
  <c r="F13"/>
  <c r="AA13" s="1"/>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AA33"/>
  <c r="S33"/>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AC43" s="1"/>
  <c r="F99" i="37"/>
  <c r="AC27"/>
  <c r="U25" i="35"/>
  <c r="S45" i="34"/>
  <c r="U31"/>
  <c r="AC40" i="37"/>
  <c r="W40"/>
  <c r="W27" i="33"/>
  <c r="AC45" i="21"/>
  <c r="S28" i="33"/>
  <c r="S14" i="21"/>
  <c r="AA44" i="34"/>
  <c r="AB29" i="35"/>
  <c r="U29"/>
  <c r="AC19" i="33"/>
  <c r="W19"/>
  <c r="U43" i="34"/>
  <c r="AB43"/>
  <c r="AC34" i="37"/>
  <c r="S35"/>
  <c r="AA35"/>
  <c r="AB10" i="35"/>
  <c r="BL571" i="3"/>
  <c r="BA571"/>
  <c r="AZ571" s="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AZ567" s="1"/>
  <c r="BA567"/>
  <c r="BL566"/>
  <c r="AZ566" s="1"/>
  <c r="BL565"/>
  <c r="AZ565"/>
  <c r="BA564"/>
  <c r="AZ564" s="1"/>
  <c r="BA563"/>
  <c r="AZ563"/>
  <c r="BL554"/>
  <c r="AZ554" s="1"/>
  <c r="BA553"/>
  <c r="AZ553"/>
  <c r="BA552"/>
  <c r="AZ552" s="1"/>
  <c r="BL549"/>
  <c r="BA549"/>
  <c r="BL548"/>
  <c r="BA548"/>
  <c r="BL547"/>
  <c r="BA547"/>
  <c r="BL539"/>
  <c r="BA539"/>
  <c r="AZ539" s="1"/>
  <c r="BA538"/>
  <c r="AZ538"/>
  <c r="BL537"/>
  <c r="BA537"/>
  <c r="BL536"/>
  <c r="AZ536"/>
  <c r="BA535"/>
  <c r="AZ535" s="1"/>
  <c r="BA534"/>
  <c r="AZ534"/>
  <c r="BA533"/>
  <c r="AZ533" s="1"/>
  <c r="BL531"/>
  <c r="AZ531"/>
  <c r="BL530"/>
  <c r="BA530"/>
  <c r="BL529"/>
  <c r="BA529"/>
  <c r="BL528"/>
  <c r="AZ528" s="1"/>
  <c r="BA527"/>
  <c r="AZ527"/>
  <c r="BA526"/>
  <c r="AZ526" s="1"/>
  <c r="BA525"/>
  <c r="AZ525"/>
  <c r="BL523"/>
  <c r="AZ523" s="1"/>
  <c r="BA523"/>
  <c r="BL522"/>
  <c r="BA522"/>
  <c r="AZ522" s="1"/>
  <c r="BL521"/>
  <c r="AZ521"/>
  <c r="BA519"/>
  <c r="AZ519" s="1"/>
  <c r="BL518"/>
  <c r="BA518"/>
  <c r="AZ518" s="1"/>
  <c r="BL517"/>
  <c r="BA517"/>
  <c r="AZ517"/>
  <c r="BL515"/>
  <c r="BA515"/>
  <c r="BA514"/>
  <c r="AZ514"/>
  <c r="BL513"/>
  <c r="AZ513" s="1"/>
  <c r="BA513"/>
  <c r="BL512"/>
  <c r="AZ512" s="1"/>
  <c r="BA511"/>
  <c r="AZ511"/>
  <c r="BA510"/>
  <c r="AZ510" s="1"/>
  <c r="BL509"/>
  <c r="AZ509"/>
  <c r="BL507"/>
  <c r="BA507"/>
  <c r="AZ507" s="1"/>
  <c r="BL506"/>
  <c r="BA506"/>
  <c r="AZ506" s="1"/>
  <c r="BL505"/>
  <c r="AZ505"/>
  <c r="BL504"/>
  <c r="BA504"/>
  <c r="BA503"/>
  <c r="AZ503"/>
  <c r="BA500"/>
  <c r="AZ500" s="1"/>
  <c r="BL499"/>
  <c r="BA499"/>
  <c r="AZ499"/>
  <c r="BL498"/>
  <c r="AZ498" s="1"/>
  <c r="BL497"/>
  <c r="BA497"/>
  <c r="BL496"/>
  <c r="AZ496" s="1"/>
  <c r="BA496"/>
  <c r="BA495"/>
  <c r="AZ495" s="1"/>
  <c r="BL494"/>
  <c r="BA494"/>
  <c r="AZ494"/>
  <c r="G494"/>
  <c r="BA491"/>
  <c r="AZ491"/>
  <c r="BL490"/>
  <c r="BA490"/>
  <c r="AZ490" s="1"/>
  <c r="BL489"/>
  <c r="BA489"/>
  <c r="AZ489" s="1"/>
  <c r="BL487"/>
  <c r="AZ487"/>
  <c r="BL486"/>
  <c r="BA486"/>
  <c r="BA485"/>
  <c r="AZ485"/>
  <c r="BA483"/>
  <c r="AZ483" s="1"/>
  <c r="BA482"/>
  <c r="AZ482"/>
  <c r="BL481"/>
  <c r="AZ481" s="1"/>
  <c r="BJ5"/>
  <c r="BA481"/>
  <c r="BB5"/>
  <c r="BL19"/>
  <c r="AZ19" s="1"/>
  <c r="BA18"/>
  <c r="F114" i="34"/>
  <c r="G114" s="1"/>
  <c r="H114" s="1"/>
  <c r="I114" s="1"/>
  <c r="J114" s="1"/>
  <c r="K114" s="1"/>
  <c r="L114" s="1"/>
  <c r="M114" s="1"/>
  <c r="H38"/>
  <c r="U38" s="1"/>
  <c r="H30" i="40"/>
  <c r="AB30" s="1"/>
  <c r="G100"/>
  <c r="J30" s="1"/>
  <c r="AC30" s="1"/>
  <c r="F38"/>
  <c r="AA38" s="1"/>
  <c r="AA36" i="34"/>
  <c r="AC12" i="21"/>
  <c r="W12"/>
  <c r="U8"/>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12"/>
  <c r="AZ228"/>
  <c r="AZ231"/>
  <c r="AZ236"/>
  <c r="AZ244"/>
  <c r="AZ247"/>
  <c r="AZ252"/>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AC14" i="40"/>
  <c r="W35"/>
  <c r="S33"/>
  <c r="S47" i="39"/>
  <c r="U37" i="34"/>
  <c r="AB37"/>
  <c r="AC41" i="40"/>
  <c r="W41"/>
  <c r="U41"/>
  <c r="J23"/>
  <c r="AC23" s="1"/>
  <c r="G92"/>
  <c r="F23"/>
  <c r="S23" s="1"/>
  <c r="AC15"/>
  <c r="W15"/>
  <c r="W14" i="39"/>
  <c r="U23" i="35"/>
  <c r="AB23"/>
  <c r="H20"/>
  <c r="U20" s="1"/>
  <c r="F20"/>
  <c r="S20" s="1"/>
  <c r="H15" i="34"/>
  <c r="AB15" s="1"/>
  <c r="F78"/>
  <c r="G78" s="1"/>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46" i="34"/>
  <c r="AC30"/>
  <c r="AA14"/>
  <c r="W12"/>
  <c r="U29" i="33"/>
  <c r="AC13"/>
  <c r="U17" i="34"/>
  <c r="AA11"/>
  <c r="W32" i="33"/>
  <c r="H15"/>
  <c r="U15" s="1"/>
  <c r="AA11"/>
  <c r="S13" i="39"/>
  <c r="U16" i="40"/>
  <c r="W34"/>
  <c r="AB34"/>
  <c r="AB42"/>
  <c r="U42"/>
  <c r="AC16"/>
  <c r="W32"/>
  <c r="H25"/>
  <c r="AB25" s="1"/>
  <c r="F94"/>
  <c r="G94" s="1"/>
  <c r="J37" i="34"/>
  <c r="AC37" s="1"/>
  <c r="J36" i="33"/>
  <c r="W36" s="1"/>
  <c r="S41" i="40"/>
  <c r="H23" i="39"/>
  <c r="AB23" s="1"/>
  <c r="J23"/>
  <c r="AC23" s="1"/>
  <c r="F97"/>
  <c r="G97"/>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43" i="39"/>
  <c r="AA19"/>
  <c r="G96" i="37"/>
  <c r="H96"/>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U13" i="39"/>
  <c r="AC16" i="35"/>
  <c r="AC13" i="40"/>
  <c r="J11" i="34"/>
  <c r="W11" s="1"/>
  <c r="F25" i="40"/>
  <c r="AA25" s="1"/>
  <c r="J11" i="33"/>
  <c r="W11" s="1"/>
  <c r="H33" i="37"/>
  <c r="AB33" s="1"/>
  <c r="W15" i="34"/>
  <c r="AC15"/>
  <c r="AB20" i="35"/>
  <c r="W23" i="40"/>
  <c r="D73" i="9"/>
  <c r="N73" s="1"/>
  <c r="AP11" i="1"/>
  <c r="J51" i="15"/>
  <c r="B11" i="1"/>
  <c r="E11" s="1"/>
  <c r="K11"/>
  <c r="M11" s="1"/>
  <c r="B9"/>
  <c r="E9" s="1"/>
  <c r="K9"/>
  <c r="M9" s="1"/>
  <c r="B7"/>
  <c r="E7" s="1"/>
  <c r="K7"/>
  <c r="M7" s="1"/>
  <c r="O7" s="1"/>
  <c r="P7" s="1"/>
  <c r="C20" i="43"/>
  <c r="E2" i="65"/>
  <c r="C58" i="21" l="1"/>
  <c r="D58" s="1"/>
  <c r="E58" s="1"/>
  <c r="F58" s="1"/>
  <c r="G58" s="1"/>
  <c r="H58" s="1"/>
  <c r="I58" s="1"/>
  <c r="J58" s="1"/>
  <c r="K58" s="1"/>
  <c r="L58" s="1"/>
  <c r="M58" s="1"/>
  <c r="N58" s="1"/>
  <c r="O58" s="1"/>
  <c r="I7"/>
  <c r="E7"/>
  <c r="G7"/>
  <c r="C18" i="9"/>
  <c r="AA43" i="21"/>
  <c r="U40"/>
  <c r="AC40"/>
  <c r="S19"/>
  <c r="U19"/>
  <c r="U17"/>
  <c r="S10"/>
  <c r="AB10"/>
  <c r="W9"/>
  <c r="U9"/>
  <c r="W8"/>
  <c r="S8"/>
  <c r="W42"/>
  <c r="U42"/>
  <c r="W41"/>
  <c r="AA41"/>
  <c r="AB41"/>
  <c r="AA40"/>
  <c r="U39"/>
  <c r="AA38"/>
  <c r="U38"/>
  <c r="AB36"/>
  <c r="AA36"/>
  <c r="AC36"/>
  <c r="S35"/>
  <c r="AC35"/>
  <c r="AB34"/>
  <c r="S34"/>
  <c r="AB33"/>
  <c r="AA32"/>
  <c r="F36" i="44"/>
  <c r="D23" i="15"/>
  <c r="S17" i="34"/>
  <c r="AC47" i="39"/>
  <c r="F29"/>
  <c r="AA29" s="1"/>
  <c r="AZ328" i="3"/>
  <c r="AZ304"/>
  <c r="AZ307"/>
  <c r="AZ343"/>
  <c r="S10" i="35"/>
  <c r="S23" i="37"/>
  <c r="AA23"/>
  <c r="AZ544" i="3"/>
  <c r="AZ556"/>
  <c r="AA31" i="33"/>
  <c r="S31"/>
  <c r="AB32" i="40"/>
  <c r="AZ502" i="3"/>
  <c r="S28" i="34"/>
  <c r="AA28"/>
  <c r="U27" i="33"/>
  <c r="AB27"/>
  <c r="U45"/>
  <c r="AB45"/>
  <c r="AC24" i="35"/>
  <c r="W24"/>
  <c r="AC36" i="33"/>
  <c r="AB23" i="40"/>
  <c r="U47" i="39"/>
  <c r="AB14" i="40"/>
  <c r="AZ324" i="3"/>
  <c r="AZ327"/>
  <c r="AC9" i="33"/>
  <c r="W9"/>
  <c r="AC23" i="36"/>
  <c r="W23"/>
  <c r="J17" i="40"/>
  <c r="F86"/>
  <c r="G86" s="1"/>
  <c r="AC28" i="33"/>
  <c r="AB30" i="21"/>
  <c r="S46"/>
  <c r="BI5" i="3"/>
  <c r="F9" i="33"/>
  <c r="AA9" s="1"/>
  <c r="H12" i="36"/>
  <c r="U12" s="1"/>
  <c r="F26" i="37"/>
  <c r="AA26" s="1"/>
  <c r="G547" i="3"/>
  <c r="AZ20"/>
  <c r="AB14" i="21"/>
  <c r="AB13"/>
  <c r="AB13" i="35"/>
  <c r="AC34" i="36"/>
  <c r="H9" i="33"/>
  <c r="J25" i="37"/>
  <c r="H26"/>
  <c r="AB26" s="1"/>
  <c r="E124" i="39"/>
  <c r="F124" s="1"/>
  <c r="G124" s="1"/>
  <c r="H124" s="1"/>
  <c r="I124" s="1"/>
  <c r="J124" s="1"/>
  <c r="K124" s="1"/>
  <c r="L124" s="1"/>
  <c r="M124" s="1"/>
  <c r="J42"/>
  <c r="AC42" s="1"/>
  <c r="F42"/>
  <c r="H42"/>
  <c r="AB42" s="1"/>
  <c r="AZ402" i="3"/>
  <c r="AZ405"/>
  <c r="AZ406"/>
  <c r="AZ417"/>
  <c r="AZ420"/>
  <c r="AZ421"/>
  <c r="AZ206"/>
  <c r="AZ222"/>
  <c r="S39" i="33"/>
  <c r="AB44" i="21"/>
  <c r="AC13" i="36"/>
  <c r="AB31" i="21"/>
  <c r="J36" i="35"/>
  <c r="G15" i="3"/>
  <c r="AZ393"/>
  <c r="AZ400"/>
  <c r="AZ460"/>
  <c r="AZ368"/>
  <c r="AZ384"/>
  <c r="AZ386"/>
  <c r="H5"/>
  <c r="AZ412"/>
  <c r="AZ429"/>
  <c r="AZ440"/>
  <c r="AZ448"/>
  <c r="AZ453"/>
  <c r="AZ468"/>
  <c r="AZ472"/>
  <c r="AZ218"/>
  <c r="A30" i="64"/>
  <c r="A30" i="51"/>
  <c r="G209" i="3"/>
  <c r="G212"/>
  <c r="BA216"/>
  <c r="AZ216" s="1"/>
  <c r="BA221"/>
  <c r="AZ221" s="1"/>
  <c r="BA226"/>
  <c r="BA227"/>
  <c r="AZ227" s="1"/>
  <c r="G230"/>
  <c r="G233"/>
  <c r="BL234"/>
  <c r="BL239"/>
  <c r="AZ239" s="1"/>
  <c r="BA243"/>
  <c r="AZ243" s="1"/>
  <c r="BA245"/>
  <c r="AZ245" s="1"/>
  <c r="BA248"/>
  <c r="AZ248" s="1"/>
  <c r="AZ250"/>
  <c r="G260"/>
  <c r="G262"/>
  <c r="G265"/>
  <c r="BL272"/>
  <c r="AZ294"/>
  <c r="AZ296"/>
  <c r="AZ116"/>
  <c r="BA208"/>
  <c r="AZ208" s="1"/>
  <c r="BA211"/>
  <c r="AZ211" s="1"/>
  <c r="BL215"/>
  <c r="AZ215" s="1"/>
  <c r="BL218"/>
  <c r="BL223"/>
  <c r="AZ223" s="1"/>
  <c r="AZ242"/>
  <c r="AZ269"/>
  <c r="AZ285"/>
  <c r="AZ293"/>
  <c r="C92" i="9"/>
  <c r="A14" i="55"/>
  <c r="B65" i="63" s="1"/>
  <c r="BA387" i="3"/>
  <c r="AZ387" s="1"/>
  <c r="BL207"/>
  <c r="AZ207" s="1"/>
  <c r="BL210"/>
  <c r="AZ210" s="1"/>
  <c r="G214"/>
  <c r="G220"/>
  <c r="BL220"/>
  <c r="AZ220" s="1"/>
  <c r="G225"/>
  <c r="BL225"/>
  <c r="AZ225" s="1"/>
  <c r="BL226"/>
  <c r="G227"/>
  <c r="BA232"/>
  <c r="AZ232" s="1"/>
  <c r="AZ234"/>
  <c r="G244"/>
  <c r="G246"/>
  <c r="G249"/>
  <c r="BL255"/>
  <c r="AZ255" s="1"/>
  <c r="BA259"/>
  <c r="AZ259" s="1"/>
  <c r="BA261"/>
  <c r="AZ261" s="1"/>
  <c r="BA264"/>
  <c r="AZ264" s="1"/>
  <c r="AZ266"/>
  <c r="AZ272"/>
  <c r="AZ280"/>
  <c r="AZ288"/>
  <c r="G228"/>
  <c r="AZ258"/>
  <c r="AZ132"/>
  <c r="AZ160"/>
  <c r="AZ163"/>
  <c r="AZ172"/>
  <c r="AZ198"/>
  <c r="BA129"/>
  <c r="AZ129" s="1"/>
  <c r="BL125"/>
  <c r="AZ125" s="1"/>
  <c r="BL128"/>
  <c r="AZ128" s="1"/>
  <c r="AZ145"/>
  <c r="AZ155"/>
  <c r="AZ168"/>
  <c r="AZ182"/>
  <c r="AZ194"/>
  <c r="AZ26"/>
  <c r="AZ33"/>
  <c r="BA46"/>
  <c r="BA49"/>
  <c r="AZ49" s="1"/>
  <c r="AZ75"/>
  <c r="BL31"/>
  <c r="AZ31" s="1"/>
  <c r="AZ34"/>
  <c r="BL37"/>
  <c r="AZ60"/>
  <c r="G22"/>
  <c r="G27"/>
  <c r="BL27"/>
  <c r="AZ27" s="1"/>
  <c r="BL28"/>
  <c r="AZ28" s="1"/>
  <c r="G29"/>
  <c r="G39"/>
  <c r="BL39"/>
  <c r="AZ39" s="1"/>
  <c r="BL42"/>
  <c r="BL45"/>
  <c r="BL46"/>
  <c r="G47"/>
  <c r="AZ53"/>
  <c r="AZ72"/>
  <c r="AZ85"/>
  <c r="AZ88"/>
  <c r="AZ97"/>
  <c r="AZ101"/>
  <c r="AZ103"/>
  <c r="I21" i="57"/>
  <c r="D1"/>
  <c r="E10" s="1"/>
  <c r="AZ21" i="3"/>
  <c r="AZ22"/>
  <c r="AZ37"/>
  <c r="AZ42"/>
  <c r="AZ45"/>
  <c r="AB44" i="39"/>
  <c r="U34"/>
  <c r="S33"/>
  <c r="W33"/>
  <c r="AB29"/>
  <c r="U27"/>
  <c r="W27"/>
  <c r="AB25"/>
  <c r="S23"/>
  <c r="AB17"/>
  <c r="S17"/>
  <c r="W43"/>
  <c r="W15"/>
  <c r="AB16"/>
  <c r="A2" i="55"/>
  <c r="B55" i="63" s="1"/>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C16" s="1"/>
  <c r="C5" s="1"/>
  <c r="E17"/>
  <c r="D71"/>
  <c r="D84"/>
  <c r="E80" s="1"/>
  <c r="B78" s="1"/>
  <c r="D69"/>
  <c r="E69" s="1"/>
  <c r="B67" s="1"/>
  <c r="E47"/>
  <c r="B45" s="1"/>
  <c r="E58"/>
  <c r="C52" i="15"/>
  <c r="A4" i="64"/>
  <c r="A4" i="51"/>
  <c r="C51" i="10"/>
  <c r="H58" i="46"/>
  <c r="H61"/>
  <c r="H62"/>
  <c r="H76"/>
  <c r="I100"/>
  <c r="B56"/>
  <c r="C24" s="1"/>
  <c r="N100"/>
  <c r="H100"/>
  <c r="F108"/>
  <c r="H80"/>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2"/>
  <c r="F38"/>
  <c r="J17" i="44"/>
  <c r="M29"/>
  <c r="M26" i="15"/>
  <c r="L48"/>
  <c r="F42"/>
  <c r="M25" i="44"/>
  <c r="F6" i="15"/>
  <c r="M30" i="44"/>
  <c r="F9"/>
  <c r="M28" i="15"/>
  <c r="F26"/>
  <c r="J15"/>
  <c r="F18" i="44"/>
  <c r="M8"/>
  <c r="F38"/>
  <c r="M6" i="15"/>
  <c r="F43"/>
  <c r="F7"/>
  <c r="F8"/>
  <c r="F13"/>
  <c r="F15" i="44"/>
  <c r="F43"/>
  <c r="F10"/>
  <c r="M10"/>
  <c r="F11"/>
  <c r="F45"/>
  <c r="L47" i="15"/>
  <c r="F36"/>
  <c r="M24"/>
  <c r="L49" i="44"/>
  <c r="M8" i="15"/>
  <c r="M24" i="44"/>
  <c r="M23" i="15"/>
  <c r="M26" i="44"/>
  <c r="M31"/>
  <c r="M11"/>
  <c r="F9" i="15"/>
  <c r="F37"/>
  <c r="F28" i="44"/>
  <c r="F8"/>
  <c r="F16" i="15"/>
  <c r="L48" i="44"/>
  <c r="J36" i="15"/>
  <c r="F40"/>
  <c r="M27"/>
  <c r="F40" i="44"/>
  <c r="M29" i="15"/>
  <c r="M9"/>
  <c r="M28" i="44"/>
  <c r="F39"/>
  <c r="AB11" i="46" l="1"/>
  <c r="AB13" s="1"/>
  <c r="AC23" i="21"/>
  <c r="AA15"/>
  <c r="AZ226" i="3"/>
  <c r="AA42" i="39"/>
  <c r="S42"/>
  <c r="W25" i="37"/>
  <c r="AC25"/>
  <c r="H75" i="46"/>
  <c r="C7"/>
  <c r="AB9" i="33"/>
  <c r="U9"/>
  <c r="W20" i="36"/>
  <c r="AZ46" i="3"/>
  <c r="AC36" i="35"/>
  <c r="W36"/>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5"/>
  <c r="C104"/>
  <c r="C105"/>
  <c r="F107"/>
  <c r="K104"/>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H7"/>
  <c r="AB7" s="1"/>
  <c r="T49" s="1"/>
  <c r="G49" s="1"/>
  <c r="G53" s="1"/>
  <c r="H53" s="1"/>
  <c r="E48" i="35"/>
  <c r="F48" s="1"/>
  <c r="G48" s="1"/>
  <c r="H48" s="1"/>
  <c r="I48" s="1"/>
  <c r="J48" s="1"/>
  <c r="K48" s="1"/>
  <c r="L48" s="1"/>
  <c r="M48" s="1"/>
  <c r="N48" s="1"/>
  <c r="O48" s="1"/>
  <c r="H7"/>
  <c r="AB7" s="1"/>
  <c r="T38" s="1"/>
  <c r="G38" s="1"/>
  <c r="G42" s="1"/>
  <c r="H42" s="1"/>
  <c r="E46" i="36"/>
  <c r="F46" s="1"/>
  <c r="G46" s="1"/>
  <c r="H46" s="1"/>
  <c r="I46" s="1"/>
  <c r="J46" s="1"/>
  <c r="K46" s="1"/>
  <c r="L46" s="1"/>
  <c r="M46" s="1"/>
  <c r="N46" s="1"/>
  <c r="O46" s="1"/>
  <c r="F7"/>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6"/>
  <c r="F33" i="44"/>
  <c r="F58" i="15"/>
  <c r="F31"/>
  <c r="M19" i="44"/>
  <c r="M17" i="15"/>
  <c r="F46" i="44"/>
  <c r="C18"/>
  <c r="C16" i="15"/>
  <c r="AE7" i="1"/>
  <c r="F106" i="46" l="1"/>
  <c r="K107"/>
  <c r="J109"/>
  <c r="J107"/>
  <c r="H7" i="36"/>
  <c r="AB7" s="1"/>
  <c r="T36" s="1"/>
  <c r="G36" s="1"/>
  <c r="G40" s="1"/>
  <c r="H40" s="1"/>
  <c r="J7" i="35"/>
  <c r="AC7" s="1"/>
  <c r="V38" s="1"/>
  <c r="I38" s="1"/>
  <c r="F7" i="34"/>
  <c r="F7" i="35"/>
  <c r="J7" i="34"/>
  <c r="F103" i="46"/>
  <c r="C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Q61"/>
  <c r="Q62"/>
  <c r="Q53"/>
  <c r="C48"/>
  <c r="C20" i="11"/>
  <c r="C21" s="1"/>
  <c r="C22" s="1"/>
  <c r="C23" s="1"/>
  <c r="B2" s="1"/>
  <c r="AC12" i="40"/>
  <c r="W12"/>
  <c r="E46" i="37"/>
  <c r="F46" s="1"/>
  <c r="C48" i="33"/>
  <c r="C49"/>
  <c r="B3" s="1"/>
  <c r="B2" s="1"/>
  <c r="F41" i="15"/>
  <c r="L52" i="44"/>
  <c r="F7" i="67"/>
  <c r="F68" i="15" l="1"/>
  <c r="I53" i="34"/>
  <c r="J53" s="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3" i="11" s="1"/>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C17" i="15"/>
  <c r="E7" i="67"/>
  <c r="C19" i="44"/>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C10" i="12" s="1"/>
  <c r="I53" i="21"/>
  <c r="J53" s="1"/>
  <c r="I70" i="39"/>
  <c r="H72"/>
  <c r="I65" i="40"/>
  <c r="H67"/>
  <c r="C14" i="15"/>
  <c r="C16" i="44"/>
  <c r="C18" i="15" l="1"/>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F35" i="15"/>
  <c r="M23" i="44"/>
  <c r="M21" i="15"/>
  <c r="C21" i="44"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10" i="12"/>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35" i="12" l="1"/>
  <c r="C33" s="1"/>
  <c r="C28"/>
  <c r="C26" s="1"/>
  <c r="C31" s="1"/>
  <c r="C30" s="1"/>
  <c r="L43" i="9"/>
  <c r="B3" i="40"/>
  <c r="B4"/>
  <c r="B5"/>
  <c r="B3" i="39"/>
  <c r="B4"/>
  <c r="B5"/>
  <c r="C21" i="9"/>
  <c r="C20"/>
  <c r="C36" i="12" l="1"/>
  <c r="B2" s="1"/>
  <c r="B5" s="1"/>
  <c r="C45" i="9"/>
  <c r="H14" i="66" s="1"/>
  <c r="B7" s="1"/>
  <c r="D19" i="9"/>
  <c r="B4" i="12" l="1"/>
  <c r="L44" i="9"/>
  <c r="D22"/>
  <c r="G19"/>
  <c r="B3" i="12"/>
  <c r="D7" i="66"/>
  <c r="C7"/>
  <c r="D21" i="9"/>
  <c r="D20"/>
  <c r="G21" l="1"/>
  <c r="G20"/>
  <c r="C32"/>
  <c r="N43"/>
  <c r="G22"/>
  <c r="D45"/>
  <c r="E45"/>
  <c r="O40"/>
  <c r="F45"/>
  <c r="O38" l="1"/>
  <c r="C33"/>
  <c r="C35"/>
  <c r="F42" s="1"/>
  <c r="C42"/>
  <c r="C34"/>
  <c r="O43"/>
  <c r="K31"/>
  <c r="K32" s="1"/>
  <c r="R7" i="54"/>
  <c r="B52" i="63" s="1"/>
  <c r="M38" i="9" l="1"/>
  <c r="K27" s="1"/>
  <c r="E42"/>
  <c r="P5" i="54" s="1"/>
  <c r="B46" i="63" s="1"/>
  <c r="K25" i="9"/>
  <c r="K26"/>
  <c r="D14" i="66"/>
  <c r="N68" i="9"/>
  <c r="R5" i="54"/>
  <c r="B48" i="63" s="1"/>
  <c r="D63" i="9"/>
  <c r="C44"/>
  <c r="N38"/>
  <c r="K28" s="1"/>
  <c r="D42"/>
  <c r="Q5" i="54" s="1"/>
  <c r="B47" i="63" s="1"/>
  <c r="C111" i="9" l="1"/>
  <c r="C104" s="1"/>
  <c r="C103"/>
  <c r="C90"/>
  <c r="D70"/>
  <c r="C82"/>
  <c r="C81" s="1"/>
  <c r="C85" s="1"/>
  <c r="C86" s="1"/>
  <c r="D72" s="1"/>
  <c r="C96"/>
  <c r="C91" s="1"/>
  <c r="D71"/>
  <c r="D66" s="1"/>
  <c r="N72" s="1"/>
  <c r="D77"/>
  <c r="N75" s="1"/>
  <c r="G14" i="66"/>
  <c r="B6" s="1"/>
  <c r="O39" i="9"/>
  <c r="E44"/>
  <c r="N69"/>
  <c r="D44"/>
  <c r="F44"/>
  <c r="F14" i="66"/>
  <c r="B5"/>
  <c r="E14"/>
  <c r="C97" i="9" l="1"/>
  <c r="C6" i="66"/>
  <c r="D6"/>
  <c r="C5"/>
  <c r="D5"/>
  <c r="M86" i="9"/>
  <c r="N86" s="1"/>
  <c r="M88"/>
  <c r="N88" s="1"/>
  <c r="M85"/>
  <c r="N85" s="1"/>
  <c r="M84"/>
  <c r="N84" s="1"/>
  <c r="M87"/>
  <c r="N87" s="1"/>
  <c r="M83"/>
  <c r="N83" s="1"/>
  <c r="K29"/>
  <c r="K30" s="1"/>
  <c r="R6" i="54"/>
  <c r="B50" i="63" s="1"/>
  <c r="C113" i="9"/>
  <c r="N76"/>
  <c r="C98" l="1"/>
  <c r="E98" s="1"/>
  <c r="E99" s="1"/>
  <c r="N89"/>
  <c r="O89" s="1"/>
  <c r="C114"/>
  <c r="E114" s="1"/>
  <c r="E115" s="1"/>
  <c r="C99" l="1"/>
  <c r="C115"/>
  <c r="D76" s="1"/>
  <c r="D74" s="1"/>
  <c r="N74" s="1"/>
  <c r="O77" s="1"/>
  <c r="O78" s="1"/>
  <c r="Q77" l="1"/>
  <c r="O79"/>
  <c r="C46" l="1"/>
  <c r="O80"/>
  <c r="O81"/>
  <c r="K33" l="1"/>
  <c r="F46"/>
  <c r="I14" i="66"/>
  <c r="B8" s="1"/>
  <c r="D46" i="9"/>
  <c r="O41"/>
  <c r="R8" i="54" s="1"/>
  <c r="B54" i="63" s="1"/>
  <c r="E46" i="9"/>
  <c r="C8" i="66" l="1"/>
  <c r="D8"/>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<sst xmlns="http://schemas.openxmlformats.org/spreadsheetml/2006/main" count="7411" uniqueCount="3185">
  <si>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</si>
  <si>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</si>
  <si>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</si>
  <si>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</si>
  <si>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</si>
  <si>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</si>
  <si>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</si>
  <si>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</si>
  <si>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</si>
  <si>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</si>
  <si>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</si>
  <si>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</si>
  <si>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</si>
  <si>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</si>
  <si>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</si>
  <si>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</si>
  <si>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</si>
  <si>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</si>
  <si>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</si>
  <si>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</si>
  <si>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</si>
  <si>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</si>
  <si>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</si>
  <si>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</si>
  <si>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</si>
  <si>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</si>
  <si>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</si>
  <si>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</si>
  <si>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</si>
  <si>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</si>
  <si>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</si>
  <si>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</si>
  <si>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</si>
  <si>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</si>
  <si>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</si>
  <si>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</si>
  <si>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</si>
  <si>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</si>
  <si>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</si>
  <si>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</si>
  <si>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</si>
  <si>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</si>
  <si>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</si>
  <si>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</si>
  <si>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</si>
  <si>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</si>
  <si>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</si>
  <si>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</si>
  <si>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</si>
  <si>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</si>
  <si>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</si>
  <si>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</si>
  <si>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</si>
  <si>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</si>
  <si>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</si>
  <si>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</si>
  <si>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</si>
  <si>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</si>
  <si>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</si>
  <si>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</si>
  <si>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</si>
  <si>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</si>
  <si>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</si>
  <si>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</si>
  <si>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</si>
  <si>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</si>
  <si>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</si>
  <si>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</si>
  <si>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</si>
  <si>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</si>
  <si>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</si>
  <si>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</si>
  <si>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</si>
  <si>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</si>
  <si>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</si>
  <si>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</si>
  <si>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</si>
  <si>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</si>
  <si>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</si>
  <si>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</si>
  <si>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</si>
  <si>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</si>
  <si>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</si>
  <si>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</si>
  <si>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</si>
  <si>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</si>
  <si>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</si>
  <si>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</si>
  <si>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</si>
  <si>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</si>
  <si>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</si>
  <si>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</si>
  <si>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</si>
  <si>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</si>
  <si>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</si>
  <si>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</si>
  <si>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</si>
  <si>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</si>
  <si>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</si>
  <si>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</si>
  <si>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</si>
  <si>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</si>
  <si>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</si>
  <si>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</si>
  <si>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</si>
  <si>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</si>
  <si>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</si>
  <si>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</si>
  <si>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</si>
  <si>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</si>
  <si>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</si>
  <si>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</si>
  <si>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</si>
  <si>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</si>
  <si>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</si>
  <si>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</si>
  <si>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</si>
  <si>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</si>
  <si>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</si>
  <si>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</si>
  <si>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</si>
  <si>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</si>
  <si>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</si>
  <si>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</si>
  <si>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</si>
  <si>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</si>
  <si>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</si>
  <si>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</si>
  <si>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</si>
  <si>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</si>
  <si>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</si>
  <si>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</si>
  <si>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</si>
  <si>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</si>
  <si>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</si>
  <si>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</si>
  <si>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</si>
  <si>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</si>
  <si>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</si>
  <si>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</si>
  <si>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</si>
  <si>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</si>
  <si>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</si>
  <si>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</si>
  <si>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</si>
  <si>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</si>
  <si>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</si>
  <si>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</si>
  <si>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</si>
  <si>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</si>
  <si>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</si>
  <si>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</si>
  <si>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</si>
  <si>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</si>
  <si>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</si>
  <si>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</si>
  <si>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</si>
  <si>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</si>
  <si>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</si>
  <si>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</si>
  <si>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</si>
  <si>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</si>
  <si>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</si>
  <si>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</si>
  <si>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</si>
  <si>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</si>
  <si>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</si>
  <si>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</si>
  <si>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</si>
  <si>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</si>
  <si>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</si>
  <si>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</si>
  <si>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</si>
  <si>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</si>
  <si>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</si>
  <si>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</si>
  <si>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</si>
  <si>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</si>
  <si>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</si>
  <si>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</si>
  <si>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</si>
  <si>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</si>
  <si>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</si>
  <si>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</si>
  <si>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</si>
  <si>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</si>
  <si>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</si>
  <si>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</si>
  <si>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</si>
  <si>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</si>
  <si>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</si>
  <si>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</si>
  <si>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</si>
  <si>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</si>
  <si>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</si>
  <si>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</si>
  <si>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</si>
  <si>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</si>
  <si>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</si>
  <si>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</si>
  <si>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</si>
  <si>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</si>
  <si>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</si>
  <si>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</si>
  <si>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</si>
  <si>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</si>
  <si>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</si>
  <si>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</si>
  <si>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</si>
  <si>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</si>
  <si>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</si>
  <si>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</si>
  <si>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</si>
  <si>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</si>
  <si>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</si>
  <si>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</si>
  <si>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</si>
  <si>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</si>
  <si>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</si>
  <si>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</si>
  <si>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</si>
  <si>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</si>
  <si>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</si>
  <si>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</si>
  <si>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</si>
  <si>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</si>
  <si>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</si>
  <si>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</si>
  <si>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</si>
  <si>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</si>
  <si>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</si>
  <si>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</si>
  <si>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</si>
  <si>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</si>
  <si>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</si>
  <si>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</si>
  <si>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</si>
  <si>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</si>
  <si>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</si>
  <si>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</si>
  <si>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</si>
  <si>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</si>
  <si>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</si>
  <si>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</si>
  <si>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</si>
  <si>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</si>
  <si>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</si>
  <si>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</si>
  <si>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</si>
  <si>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</si>
  <si>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</si>
  <si>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</si>
  <si>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</si>
  <si>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</si>
  <si>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</si>
  <si>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</si>
  <si>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</si>
  <si>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</si>
  <si>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</si>
  <si>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</si>
  <si>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</si>
  <si>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</si>
  <si>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</si>
  <si>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</si>
  <si>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</si>
  <si>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</si>
  <si>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</si>
  <si>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</si>
  <si>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</si>
  <si>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</si>
  <si>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</si>
  <si>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</si>
  <si>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</si>
  <si>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</si>
  <si>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</si>
  <si>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</si>
  <si>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</si>
  <si>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</si>
  <si>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</si>
  <si>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</si>
  <si>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</si>
  <si>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</si>
  <si>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</si>
  <si>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</si>
  <si>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</si>
  <si>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</si>
  <si>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</si>
  <si>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</si>
  <si>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</si>
  <si>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</si>
  <si>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</si>
  <si>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</si>
  <si>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</si>
  <si>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</si>
  <si>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</si>
  <si>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</si>
  <si>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</si>
  <si>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</si>
  <si>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</si>
  <si>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</si>
  <si>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</si>
  <si>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</si>
  <si>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</si>
  <si>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</si>
  <si>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</si>
  <si>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</si>
  <si>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</si>
  <si>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</si>
  <si>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</si>
  <si>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</si>
  <si>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</si>
  <si>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</si>
  <si>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</si>
  <si>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</si>
  <si>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</si>
  <si>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</si>
  <si>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</si>
  <si>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</si>
  <si>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</si>
  <si>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</si>
  <si>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</si>
  <si>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</si>
  <si>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</si>
  <si>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</si>
  <si>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</si>
  <si>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</si>
  <si>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</si>
  <si>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</si>
  <si>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</si>
  <si>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</si>
  <si>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</si>
  <si>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</si>
  <si>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</si>
  <si>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</si>
  <si>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</si>
  <si>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</si>
  <si>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</si>
  <si>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</si>
  <si>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</si>
  <si>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</si>
  <si>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</si>
  <si>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</si>
  <si>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</si>
  <si>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</si>
  <si>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</si>
  <si>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</si>
  <si>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</si>
  <si>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</si>
  <si>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</si>
  <si>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</si>
  <si>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</si>
  <si>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</si>
  <si>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</si>
  <si>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</si>
  <si>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</si>
  <si>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</si>
  <si>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</si>
  <si>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</si>
  <si>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</si>
  <si>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</si>
  <si>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</si>
  <si>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</si>
  <si>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</si>
  <si>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</si>
  <si>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</si>
  <si>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</si>
  <si>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</si>
  <si>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</si>
  <si>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</si>
  <si>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</si>
  <si>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</si>
  <si>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</si>
  <si>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</si>
  <si>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</si>
  <si>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</si>
  <si>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</si>
  <si>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</si>
  <si>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</si>
  <si>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</si>
  <si>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</si>
  <si>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</si>
  <si>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</si>
  <si>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</si>
  <si>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</si>
  <si>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</si>
  <si>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</si>
  <si>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</si>
  <si>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</si>
  <si>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</si>
  <si>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</si>
  <si>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</si>
  <si>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</si>
  <si>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</si>
  <si>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</si>
  <si>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</si>
  <si>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</si>
  <si>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</si>
  <si>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</si>
  <si>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</si>
  <si>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</si>
  <si>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</si>
  <si>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</si>
  <si>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</si>
  <si>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</si>
  <si>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</si>
  <si>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</si>
  <si>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</si>
  <si>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</si>
  <si>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</si>
  <si>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</si>
  <si>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</si>
  <si>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</si>
  <si>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</si>
  <si>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</si>
  <si>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</si>
  <si>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</si>
  <si>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</si>
  <si>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</si>
  <si>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</si>
  <si>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</si>
  <si>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</si>
  <si>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</si>
  <si>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</si>
  <si>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</si>
  <si>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</si>
  <si>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</si>
  <si>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</si>
  <si>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</si>
  <si>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</si>
  <si>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</si>
  <si>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</si>
  <si>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</si>
  <si>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</si>
  <si>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</si>
  <si>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</si>
  <si>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</si>
  <si>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</si>
  <si>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</si>
  <si>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</si>
  <si>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</si>
  <si>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</si>
  <si>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</si>
  <si>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</si>
  <si>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</si>
  <si>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</si>
  <si>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</si>
  <si>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</si>
  <si>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</si>
  <si>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</si>
  <si>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</si>
  <si>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</si>
  <si>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</si>
  <si>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</si>
  <si>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</si>
  <si>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</si>
  <si>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</si>
  <si>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</si>
  <si>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</si>
  <si>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</si>
  <si>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</si>
  <si>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</si>
  <si>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</si>
  <si>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</si>
  <si>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</si>
  <si>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</si>
  <si>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</si>
  <si>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</si>
  <si>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</si>
  <si>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</si>
  <si>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</si>
  <si>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</si>
  <si>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</si>
  <si>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</si>
  <si>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</si>
  <si>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</si>
  <si>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</si>
  <si>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</si>
  <si>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</si>
  <si>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</si>
  <si>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</si>
  <si>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</si>
  <si>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</si>
  <si>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</si>
  <si>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</si>
  <si>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</si>
  <si>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</si>
  <si>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</si>
  <si>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</si>
  <si>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</si>
  <si>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</si>
  <si>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</si>
  <si>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</si>
  <si>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</si>
  <si>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</si>
  <si>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</si>
  <si>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</si>
  <si>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</si>
  <si>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</si>
  <si>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</si>
  <si>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</si>
  <si>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</si>
  <si>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</si>
  <si>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</si>
  <si>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</si>
  <si>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</si>
  <si>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</si>
  <si>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</si>
  <si>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</si>
  <si>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</si>
  <si>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</si>
  <si>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</si>
  <si>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</si>
  <si>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</si>
  <si>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</si>
  <si>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</si>
  <si>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</si>
  <si>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</si>
  <si>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</si>
  <si>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</si>
  <si>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</si>
  <si>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</si>
  <si>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</si>
  <si>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</si>
  <si>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</si>
  <si>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</si>
  <si>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</si>
  <si>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</si>
  <si>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</si>
  <si>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</si>
  <si>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</si>
  <si>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</si>
  <si>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</si>
  <si>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</si>
  <si>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</si>
  <si>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</si>
  <si>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</si>
  <si>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</si>
  <si>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</si>
  <si>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</si>
  <si>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</si>
  <si>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</si>
  <si>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</si>
  <si>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</si>
  <si>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</si>
  <si>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</si>
  <si>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</si>
  <si>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</si>
  <si>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</si>
  <si>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</si>
  <si>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</si>
  <si>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</si>
  <si>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</si>
  <si>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</si>
  <si>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</si>
  <si>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</si>
  <si>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</si>
  <si>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</si>
  <si>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</si>
  <si>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</si>
  <si>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</si>
  <si>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</si>
  <si>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</si>
  <si>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</si>
  <si>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</si>
  <si>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</si>
  <si>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</si>
  <si>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</si>
  <si>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</si>
  <si>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</si>
  <si>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</si>
  <si>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</si>
  <si>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</si>
  <si>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</si>
  <si>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</si>
  <si>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</si>
  <si>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</si>
  <si>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</si>
  <si>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</si>
  <si>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</si>
  <si>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</si>
  <si>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</si>
  <si>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</si>
  <si>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</si>
  <si>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</si>
  <si>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</si>
  <si>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</si>
  <si>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</si>
  <si>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</si>
  <si>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</si>
  <si>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</si>
  <si>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</si>
  <si>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</si>
  <si>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</si>
  <si>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</si>
  <si>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</si>
  <si>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</si>
  <si>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</si>
  <si>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</si>
  <si>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</si>
  <si>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</si>
  <si>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</si>
  <si>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</si>
  <si>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</si>
  <si>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</si>
  <si>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</si>
  <si>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</si>
  <si>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</si>
  <si>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</si>
  <si>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</si>
  <si>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</si>
  <si>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</si>
  <si>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</si>
  <si>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</si>
  <si>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</si>
  <si>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</si>
  <si>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</si>
  <si>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</si>
  <si>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</si>
  <si>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</si>
  <si>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</si>
  <si>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</si>
  <si>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</si>
  <si>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</si>
  <si>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</si>
  <si>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</si>
  <si>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</si>
  <si>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</si>
  <si>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</si>
  <si>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</si>
  <si>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</si>
  <si>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</si>
  <si>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</si>
  <si>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</si>
  <si>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</si>
  <si>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</si>
  <si>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</si>
  <si>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</si>
  <si>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</si>
  <si>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</si>
  <si>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</si>
  <si>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</si>
  <si>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</si>
  <si>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</si>
  <si>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</si>
  <si>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</si>
  <si>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</si>
  <si>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</si>
  <si>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</si>
  <si>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</si>
  <si>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</si>
  <si>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</si>
  <si>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</si>
  <si>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</si>
  <si>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</si>
  <si>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</si>
  <si>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</si>
  <si>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</si>
  <si>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</si>
  <si>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</si>
  <si>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</si>
  <si>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</si>
  <si>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</si>
  <si>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</si>
  <si>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</si>
  <si>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</si>
  <si>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</si>
  <si>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</si>
  <si>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</si>
  <si>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</si>
  <si>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</si>
  <si>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</si>
  <si>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</si>
  <si>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</si>
  <si>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</si>
  <si>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</si>
  <si>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</si>
  <si>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</si>
  <si>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</si>
  <si>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</si>
  <si>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</si>
  <si>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</si>
  <si>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</si>
  <si>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</si>
  <si>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</si>
  <si>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</si>
  <si>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</si>
  <si>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</si>
  <si>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</si>
  <si>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</si>
  <si>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</si>
  <si>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</si>
  <si>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</si>
  <si>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</si>
  <si>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</si>
  <si>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</si>
  <si>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</si>
  <si>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</si>
  <si>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</si>
  <si>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</si>
  <si>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</si>
  <si>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</si>
  <si>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</si>
  <si>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</si>
  <si>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</si>
  <si>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</si>
  <si>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</si>
  <si>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</si>
  <si>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</si>
  <si>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</si>
  <si>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</si>
  <si>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</si>
  <si>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</si>
  <si>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</si>
  <si>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</si>
  <si>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</si>
  <si>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</si>
  <si>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</si>
  <si>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</si>
  <si>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</si>
  <si>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</si>
  <si>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</si>
  <si>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</si>
  <si>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</si>
  <si>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</si>
  <si>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</si>
  <si>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</si>
  <si>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</si>
  <si>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</si>
  <si>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</si>
  <si>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</si>
  <si>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</si>
  <si>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</si>
  <si>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</si>
  <si>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</si>
  <si>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</si>
  <si>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</si>
  <si>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</si>
  <si>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</si>
  <si>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</si>
  <si>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</si>
  <si>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</si>
  <si>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</si>
  <si>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</si>
  <si>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</si>
  <si>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</si>
  <si>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</si>
  <si>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</si>
  <si>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</si>
  <si>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</si>
  <si>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</si>
  <si>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</si>
  <si>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</si>
  <si>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</si>
  <si>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</si>
  <si>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</si>
  <si>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</si>
  <si>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</si>
  <si>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</si>
  <si>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</si>
  <si>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</si>
  <si>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</si>
  <si>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</si>
  <si>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</si>
  <si>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</si>
  <si>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</si>
  <si>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</si>
  <si>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</si>
  <si>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</si>
  <si>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</si>
  <si>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</si>
  <si>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</si>
  <si>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</si>
  <si>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</si>
  <si>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</si>
  <si>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</si>
  <si>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</si>
  <si>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</si>
  <si>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</si>
  <si>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</si>
  <si>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</si>
  <si>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</si>
  <si>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</si>
  <si>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</si>
  <si>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</si>
  <si>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</si>
  <si>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</si>
  <si>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</si>
  <si>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</si>
  <si>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</si>
  <si>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</si>
  <si>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</si>
  <si>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</si>
  <si>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</si>
  <si>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</si>
  <si>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</si>
  <si>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</si>
  <si>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</si>
  <si>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</si>
  <si>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</si>
  <si>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</si>
  <si>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</si>
  <si>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</si>
  <si>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</si>
  <si>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</si>
  <si>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</si>
  <si>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</si>
  <si>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</si>
  <si>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</si>
  <si>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</si>
  <si>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</si>
  <si>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</si>
  <si>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</si>
  <si>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</si>
  <si>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</si>
  <si>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</si>
  <si>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</si>
  <si>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</si>
  <si>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</si>
  <si>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</si>
  <si>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</si>
  <si>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</si>
  <si>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</si>
  <si>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</si>
  <si>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</si>
  <si>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</si>
  <si>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</si>
  <si>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</si>
  <si>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</si>
  <si>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</si>
  <si>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</si>
  <si>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</si>
  <si>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</si>
  <si>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</si>
  <si>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</si>
  <si>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</si>
  <si>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</si>
  <si>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</si>
  <si>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</si>
  <si>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</si>
  <si>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</si>
  <si>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</si>
  <si>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</si>
  <si>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</si>
  <si>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</si>
  <si>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</si>
  <si>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</si>
  <si>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</si>
  <si>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</si>
  <si>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</si>
  <si>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</si>
  <si>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</si>
  <si>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</si>
  <si>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</si>
  <si>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</si>
  <si>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</si>
  <si>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</si>
  <si>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</si>
  <si>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</si>
  <si>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</si>
  <si>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</si>
  <si>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</si>
  <si>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</si>
  <si>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</si>
  <si>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</si>
  <si>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</si>
  <si>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</si>
  <si>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</si>
  <si>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</si>
  <si>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</si>
  <si>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</si>
  <si>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</si>
  <si>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</si>
  <si>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</si>
  <si>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</si>
  <si>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</si>
  <si>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</si>
  <si>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</si>
  <si>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</si>
  <si>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</si>
  <si>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</si>
  <si>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</si>
  <si>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</si>
  <si>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</si>
  <si>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</si>
  <si>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</si>
  <si>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</si>
  <si>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</si>
  <si>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</si>
  <si>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</si>
  <si>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</si>
  <si>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</si>
  <si>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</si>
  <si>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</si>
  <si>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</si>
  <si>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</si>
  <si>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</si>
  <si>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</si>
  <si>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</si>
  <si>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</si>
  <si>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</si>
  <si>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</si>
  <si>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</si>
  <si>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</si>
  <si>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</si>
  <si>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</si>
  <si>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</si>
  <si>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</si>
  <si>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</si>
  <si>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</si>
  <si>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</si>
  <si>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</si>
  <si>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</si>
  <si>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</si>
  <si>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</si>
  <si>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</si>
  <si>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</si>
  <si>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</si>
  <si>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</si>
  <si>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</si>
  <si>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</si>
  <si>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</si>
  <si>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</si>
  <si>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</si>
  <si>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</si>
  <si>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</si>
  <si>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</si>
  <si>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</si>
  <si>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</si>
  <si>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</si>
  <si>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</si>
  <si>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</si>
  <si>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</si>
  <si>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</si>
  <si>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</si>
  <si>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</si>
  <si>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</si>
  <si>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</si>
  <si>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</si>
  <si>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</si>
  <si>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</si>
  <si>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</si>
  <si>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</si>
  <si>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</si>
  <si>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</si>
  <si>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</si>
  <si>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</si>
  <si>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</si>
  <si>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</si>
  <si>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</si>
  <si>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</si>
  <si>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</si>
  <si>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</si>
  <si>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</si>
  <si>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</si>
  <si>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</si>
  <si>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</si>
  <si>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</si>
  <si>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</si>
  <si>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</si>
  <si>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</si>
  <si>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</si>
  <si>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</si>
  <si>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</si>
  <si>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</si>
  <si>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</si>
  <si>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</si>
  <si>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</si>
  <si>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</si>
  <si>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</si>
  <si>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</si>
  <si>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</si>
  <si>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</si>
  <si>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</si>
  <si>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</si>
  <si>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</si>
  <si>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</si>
  <si>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</si>
  <si>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</si>
  <si>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</si>
  <si>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</si>
  <si>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</si>
  <si>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</si>
  <si>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</si>
  <si>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</si>
  <si>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</si>
  <si>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</si>
  <si>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</si>
  <si>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</si>
  <si>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</si>
  <si>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</si>
  <si>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</si>
  <si>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</si>
  <si>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</si>
  <si>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</si>
  <si>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</si>
  <si>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</si>
  <si>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</si>
  <si>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</si>
  <si>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</si>
  <si>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</si>
  <si>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</si>
  <si>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</si>
  <si>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</si>
  <si>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</si>
  <si>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</si>
  <si>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</si>
  <si>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</si>
  <si>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</si>
  <si>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</si>
  <si>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</si>
  <si>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</si>
  <si>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</si>
  <si>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</si>
  <si>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</si>
  <si>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</si>
  <si>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</si>
  <si>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</si>
  <si>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</si>
  <si>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</si>
  <si>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</si>
  <si>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</si>
  <si>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</si>
  <si>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</si>
  <si>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</si>
  <si>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</si>
  <si>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</si>
  <si>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</si>
  <si>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</si>
  <si>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</si>
  <si>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</si>
  <si>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</si>
  <si>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</si>
  <si>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</si>
  <si>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</si>
  <si>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</si>
  <si>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</si>
  <si>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</si>
  <si>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</si>
  <si>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</si>
  <si>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</si>
  <si>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</si>
  <si>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</si>
  <si>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</si>
  <si>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</si>
  <si>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</si>
  <si>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</si>
  <si>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</si>
  <si>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</si>
  <si>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</si>
  <si>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</si>
  <si>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</si>
  <si>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</si>
  <si>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</si>
  <si>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</si>
  <si>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</si>
  <si>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</si>
  <si>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</si>
  <si>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</si>
  <si>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</si>
  <si>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</si>
  <si>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</si>
  <si>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</si>
  <si>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</si>
  <si>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</si>
  <si>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</si>
  <si>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</si>
  <si>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</si>
  <si>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</si>
  <si>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</si>
  <si>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</si>
  <si>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</si>
  <si>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</si>
  <si>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</si>
  <si>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</si>
  <si>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</si>
  <si>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</si>
  <si>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</si>
  <si>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</si>
  <si>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</si>
  <si>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</si>
  <si>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</si>
  <si>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</si>
  <si>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</si>
  <si>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</si>
  <si>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</si>
  <si>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</si>
  <si>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</si>
  <si>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</si>
  <si>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</si>
  <si>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</si>
  <si>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</si>
  <si>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</si>
  <si>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</si>
  <si>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</si>
  <si>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</si>
  <si>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</si>
  <si>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</si>
  <si>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</si>
  <si>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</si>
  <si>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</si>
  <si>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</si>
  <si>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</si>
  <si>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</si>
  <si>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</si>
  <si>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</si>
  <si>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</si>
  <si>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</si>
  <si>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</si>
  <si>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</si>
  <si>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</si>
  <si>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</si>
  <si>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</si>
  <si>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</si>
  <si>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</si>
  <si>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</si>
  <si>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</si>
  <si>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</si>
  <si>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</si>
  <si>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</si>
  <si>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</si>
  <si>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</si>
  <si>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</si>
  <si>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</si>
  <si>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</si>
  <si>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</si>
  <si>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</si>
  <si>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</si>
  <si>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</si>
  <si>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</si>
  <si>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</si>
  <si>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</si>
  <si>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</si>
  <si>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</si>
  <si>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</si>
  <si>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</si>
  <si>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</si>
  <si>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</si>
  <si>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</si>
  <si>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</si>
  <si>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</si>
  <si>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</si>
  <si>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</si>
  <si>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</si>
  <si>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</si>
  <si>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</si>
  <si>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</si>
  <si>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</si>
  <si>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</si>
  <si>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</si>
  <si>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</si>
  <si>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</si>
  <si>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</si>
  <si>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</si>
  <si>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</si>
  <si>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</si>
  <si>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</si>
  <si>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</si>
  <si>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</si>
  <si>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</si>
  <si>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</si>
  <si>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</si>
  <si>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</si>
  <si>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</si>
  <si>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</si>
  <si>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</si>
  <si>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</si>
  <si>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</si>
  <si>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</si>
  <si>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</si>
  <si>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</si>
  <si>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</si>
  <si>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</si>
  <si>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</si>
  <si>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</si>
  <si>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</si>
  <si>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</si>
  <si>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</si>
  <si>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</si>
  <si>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</si>
  <si>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</si>
  <si>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</si>
  <si>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</si>
  <si>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</si>
  <si>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</si>
  <si>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</si>
  <si>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</si>
  <si>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</si>
  <si>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</si>
  <si>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</si>
  <si>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</si>
  <si>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</si>
  <si>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</si>
  <si>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</si>
  <si>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</si>
  <si>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</si>
  <si>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</si>
  <si>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</si>
  <si>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</si>
  <si>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</si>
  <si>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</si>
  <si>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</si>
  <si>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</si>
  <si>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</si>
  <si>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</si>
  <si>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</si>
  <si>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</si>
  <si>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</si>
  <si>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</si>
  <si>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</si>
  <si>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</si>
  <si>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</si>
  <si>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</si>
  <si>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</si>
  <si>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</si>
  <si>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</si>
  <si>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</si>
  <si>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</si>
  <si>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</si>
  <si>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</si>
  <si>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</si>
  <si>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</si>
  <si>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</si>
  <si>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</si>
  <si>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</si>
  <si>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</si>
  <si>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</si>
  <si>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</si>
  <si>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</si>
  <si>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</si>
  <si>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</si>
  <si>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</si>
  <si>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</si>
  <si>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</si>
  <si>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</si>
  <si>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</si>
  <si>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</si>
  <si>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</si>
  <si>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</si>
  <si>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</si>
  <si>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</si>
  <si>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</si>
  <si>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</si>
  <si>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</si>
  <si>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</si>
  <si>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</si>
  <si>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</si>
  <si>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</si>
  <si>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</si>
  <si>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</si>
  <si>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</si>
  <si>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</si>
  <si>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</si>
  <si>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</si>
  <si>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</si>
  <si>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</si>
  <si>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</si>
  <si>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</si>
  <si>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</si>
  <si>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</si>
  <si>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</si>
  <si>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</si>
  <si>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</si>
  <si>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</si>
  <si>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</si>
  <si>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</si>
  <si>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</si>
  <si>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</si>
  <si>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</si>
  <si>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</si>
  <si>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</si>
  <si>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</si>
  <si>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</si>
  <si>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</si>
  <si>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</si>
  <si>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</si>
  <si>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</si>
  <si>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</si>
  <si>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</si>
  <si>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</si>
  <si>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</si>
  <si>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</si>
  <si>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</si>
  <si>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</si>
  <si>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</si>
  <si>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</si>
  <si>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</si>
  <si>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</si>
  <si>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</si>
  <si>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</si>
  <si>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</si>
  <si>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</si>
  <si>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</si>
  <si>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</si>
  <si>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</si>
  <si>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</si>
  <si>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</si>
  <si>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</si>
  <si>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</si>
  <si>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</si>
  <si>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</si>
  <si>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</si>
  <si>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</si>
  <si>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</si>
  <si>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</si>
  <si>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</si>
  <si>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</si>
  <si>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</si>
  <si>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</si>
  <si>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</si>
  <si>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</si>
  <si>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</si>
  <si>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</si>
  <si>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</si>
  <si>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</si>
  <si>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</si>
  <si>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</si>
  <si>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</si>
  <si>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</si>
  <si>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</si>
  <si>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</si>
  <si>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</si>
  <si>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</si>
  <si>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</si>
  <si>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</si>
  <si>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</si>
  <si>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</si>
  <si>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</si>
  <si>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</si>
  <si>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</si>
  <si>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</si>
  <si>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</si>
  <si>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</si>
  <si>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</si>
  <si>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</si>
  <si>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</si>
  <si>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</si>
  <si>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</si>
  <si>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</si>
  <si>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</si>
  <si>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</si>
  <si>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</si>
  <si>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</si>
  <si>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</si>
  <si>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</si>
  <si>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</si>
  <si>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</si>
  <si>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</si>
  <si>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</si>
  <si>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</si>
  <si>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</si>
  <si>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</si>
  <si>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</si>
  <si>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</si>
  <si>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</si>
  <si>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</si>
  <si>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</si>
  <si>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</si>
  <si>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</si>
  <si>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</si>
  <si>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</si>
  <si>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</si>
  <si>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</si>
  <si>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</si>
  <si>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</si>
  <si>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</si>
  <si>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</si>
  <si>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</si>
  <si>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</si>
  <si>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</si>
  <si>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</si>
  <si>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</si>
  <si>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</si>
  <si>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</si>
  <si>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</si>
  <si>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</si>
  <si>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</si>
  <si>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</si>
  <si>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</si>
  <si>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</si>
  <si>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</si>
  <si>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</si>
  <si>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</si>
  <si>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</si>
  <si>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</si>
  <si>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</si>
  <si>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</si>
  <si>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</si>
  <si>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</si>
  <si>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</si>
  <si>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</si>
  <si>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</si>
  <si>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</si>
  <si>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</si>
  <si>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</si>
  <si>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</si>
  <si>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</si>
  <si>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</si>
  <si>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</si>
  <si>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</si>
  <si>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</si>
  <si>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</si>
  <si>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</si>
  <si>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</si>
  <si>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</si>
  <si>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</si>
  <si>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</si>
  <si>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</si>
  <si>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</si>
  <si>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</si>
  <si>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</si>
  <si>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</si>
  <si>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</si>
  <si>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</si>
  <si>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</si>
  <si>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</si>
  <si>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</si>
  <si>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</si>
  <si>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</si>
  <si>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</si>
  <si>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</si>
  <si>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</si>
  <si>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</si>
  <si>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</si>
  <si>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</si>
  <si>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</si>
  <si>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</si>
  <si>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</si>
  <si>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</si>
  <si>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</si>
  <si>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</si>
  <si>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</si>
  <si>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</si>
  <si>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</si>
  <si>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</si>
  <si>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</si>
  <si>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</si>
  <si>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</si>
  <si>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</si>
  <si>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</si>
  <si>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</si>
  <si>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</si>
  <si>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</si>
  <si>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</si>
  <si>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</si>
  <si>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</si>
  <si>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</si>
  <si>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</si>
  <si>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</si>
  <si>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</si>
  <si>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</si>
  <si>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</si>
  <si>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</si>
  <si>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</si>
  <si>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</si>
  <si>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</si>
  <si>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</si>
  <si>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</si>
  <si>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</si>
  <si>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</si>
  <si>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</si>
  <si>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</si>
  <si>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</si>
  <si>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</si>
  <si>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</si>
  <si>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</si>
  <si>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</si>
  <si>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</si>
  <si>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</si>
  <si>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</si>
  <si>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</si>
  <si>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</si>
  <si>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</si>
  <si>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</si>
  <si>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</si>
  <si>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</si>
  <si>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</si>
  <si>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</si>
  <si>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</si>
  <si>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</si>
  <si>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</si>
  <si>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</si>
  <si>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</si>
  <si>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</si>
  <si>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</si>
  <si>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</si>
  <si>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</si>
  <si>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</si>
  <si>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</si>
  <si>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</si>
  <si>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</si>
  <si>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</si>
  <si>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</si>
  <si>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</si>
  <si>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</si>
  <si>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</si>
  <si>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</si>
  <si>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</si>
  <si>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</si>
  <si>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</si>
  <si>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</si>
  <si>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</si>
  <si>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</si>
  <si>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</si>
  <si>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</si>
  <si>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</si>
  <si>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</si>
  <si>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</si>
  <si>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</si>
  <si>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</si>
  <si>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</si>
  <si>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</si>
  <si>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</si>
  <si>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</si>
  <si>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</si>
  <si>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</si>
  <si>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</si>
  <si>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</si>
  <si>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</si>
  <si>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</si>
  <si>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</si>
  <si>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</si>
  <si>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</si>
  <si>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</si>
  <si>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</si>
  <si>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</si>
  <si>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</si>
  <si>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</si>
  <si>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</si>
  <si>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</si>
  <si>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</si>
  <si>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</si>
  <si>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</si>
  <si>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</si>
  <si>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</si>
  <si>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</si>
  <si>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</si>
  <si>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</si>
  <si>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</si>
  <si>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</si>
  <si>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</si>
  <si>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</si>
  <si>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</si>
  <si>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</si>
  <si>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</si>
  <si>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</si>
  <si>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</si>
  <si>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</si>
  <si>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</si>
  <si>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</si>
  <si>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</si>
  <si>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</si>
  <si>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</si>
  <si>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</si>
  <si>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</si>
  <si>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</si>
  <si>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</si>
  <si>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</si>
  <si>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</si>
  <si>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</si>
  <si>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</si>
  <si>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</si>
  <si>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</si>
  <si>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</si>
  <si>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</si>
  <si>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</si>
  <si>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</si>
  <si>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</si>
  <si>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</si>
  <si>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</si>
  <si>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</si>
  <si>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</si>
  <si>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</si>
  <si>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</si>
  <si>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</si>
  <si>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</si>
  <si>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</si>
  <si>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</si>
  <si>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</si>
  <si>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</si>
  <si>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</si>
  <si>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</si>
  <si>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</si>
  <si>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</si>
  <si>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</si>
  <si>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</si>
  <si>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</si>
  <si>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</si>
  <si>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</si>
  <si>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</si>
  <si>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</si>
  <si>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</si>
  <si>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</si>
  <si>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</si>
  <si>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</si>
  <si>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</si>
  <si>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</si>
  <si>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</si>
  <si>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</si>
  <si>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</si>
  <si>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</si>
  <si>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</si>
  <si>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</si>
  <si>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</si>
  <si>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</si>
  <si>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</si>
  <si>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</si>
  <si>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</si>
  <si>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</si>
  <si>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</si>
  <si>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</si>
  <si>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</si>
  <si>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</si>
  <si>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</si>
  <si>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</si>
  <si>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</si>
  <si>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</si>
  <si>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</si>
  <si>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</si>
  <si>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</si>
  <si>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</si>
  <si>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</si>
  <si>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</si>
  <si>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</si>
  <si>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</si>
  <si>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</si>
  <si>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</si>
  <si>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</si>
  <si>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</si>
  <si>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</si>
  <si>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</si>
  <si>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</si>
  <si>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</si>
  <si>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</si>
  <si>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</si>
  <si>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</si>
  <si>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</si>
  <si>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</si>
  <si>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</si>
  <si>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</si>
  <si>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</si>
  <si>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</si>
  <si>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</si>
  <si>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</si>
  <si>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</si>
  <si>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</si>
  <si>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</si>
  <si>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</si>
  <si>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</si>
  <si>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</si>
  <si>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</si>
  <si>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</si>
  <si>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</si>
  <si>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</si>
  <si>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</si>
  <si>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</si>
  <si>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</si>
  <si>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</si>
  <si>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</si>
  <si>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</si>
  <si>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</si>
  <si>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</si>
  <si>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</si>
  <si>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</si>
  <si>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</si>
  <si>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</si>
  <si>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</si>
  <si>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</si>
  <si>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</si>
  <si>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</si>
  <si>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</si>
  <si>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</si>
  <si>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</si>
  <si>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</si>
  <si>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</si>
  <si>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</si>
  <si>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</si>
  <si>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</si>
  <si>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</si>
  <si>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</si>
  <si>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</si>
  <si>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</si>
  <si>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</si>
  <si>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</si>
  <si>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</si>
  <si>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</si>
  <si>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</si>
  <si>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</si>
  <si>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</si>
  <si>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</si>
  <si>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</si>
  <si>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</si>
  <si>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</si>
  <si>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</si>
  <si>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</si>
  <si>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</si>
  <si>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</si>
  <si>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</si>
  <si>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</si>
  <si>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</si>
  <si>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</si>
  <si>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</si>
  <si>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</si>
  <si>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</si>
  <si>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</si>
  <si>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</si>
  <si>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</si>
  <si>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</si>
  <si>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</si>
  <si>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</si>
  <si>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</si>
  <si>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</si>
  <si>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</si>
  <si>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</si>
  <si>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</si>
  <si>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</si>
  <si>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</si>
  <si>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</si>
  <si>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</si>
  <si>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</si>
  <si>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</si>
  <si>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</si>
  <si>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</si>
  <si>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</si>
  <si>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</si>
  <si>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</si>
  <si>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</si>
  <si>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</si>
  <si>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</si>
  <si>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</si>
  <si>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</si>
  <si>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</si>
  <si>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</si>
  <si>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</si>
  <si>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</si>
  <si>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</si>
  <si>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</si>
  <si>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</si>
  <si>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</si>
  <si>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</si>
  <si>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</si>
  <si>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</si>
  <si>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</si>
  <si>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</si>
  <si>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</si>
  <si>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</si>
  <si>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</si>
  <si>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</si>
  <si>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</si>
  <si>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</si>
  <si>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</si>
  <si>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</si>
  <si>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</si>
  <si>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</si>
  <si>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</si>
  <si>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</si>
  <si>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</si>
  <si>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</si>
  <si>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</si>
  <si>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</si>
  <si>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</si>
  <si>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</si>
  <si>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</si>
  <si>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</si>
  <si>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</si>
  <si>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</si>
  <si>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</si>
  <si>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</si>
  <si>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</si>
  <si>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</si>
  <si>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</si>
  <si>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</si>
  <si>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</si>
  <si>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</si>
  <si>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</si>
  <si>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</si>
  <si>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</si>
  <si>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</si>
  <si>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</si>
  <si>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</si>
  <si>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</si>
  <si>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</si>
  <si>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</si>
  <si>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</si>
  <si>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</si>
  <si>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</si>
  <si>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</si>
  <si>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</si>
  <si>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</si>
  <si>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</si>
  <si>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</si>
  <si>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</si>
  <si>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</si>
  <si>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</si>
  <si>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</si>
  <si>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</si>
  <si>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</si>
  <si>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</si>
  <si>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</si>
  <si>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</si>
  <si>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</si>
  <si>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</si>
  <si>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</si>
  <si>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</si>
  <si>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</si>
  <si>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</si>
  <si>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</si>
  <si>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</si>
  <si>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</si>
  <si>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</si>
  <si>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</si>
  <si>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</si>
  <si>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</si>
  <si>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</si>
  <si>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</si>
  <si>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</si>
  <si>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</si>
  <si>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</si>
  <si>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</si>
  <si>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</si>
  <si>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</si>
  <si>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</si>
  <si>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</si>
  <si>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</si>
  <si>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</si>
  <si>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</si>
  <si>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</si>
  <si>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</si>
  <si>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</si>
  <si>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</si>
  <si>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</si>
  <si>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</si>
  <si>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</si>
  <si>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</si>
  <si>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</si>
  <si>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</si>
  <si>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</si>
  <si>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</si>
  <si>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</si>
  <si>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</si>
  <si>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</si>
  <si>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</si>
  <si>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</si>
  <si>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</si>
  <si>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</si>
  <si>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</si>
  <si>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</si>
  <si>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</si>
  <si>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</si>
  <si>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</si>
  <si>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</si>
  <si>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</si>
  <si>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</si>
  <si>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</si>
  <si>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</si>
  <si>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</si>
  <si>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</si>
  <si>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</si>
  <si>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</si>
  <si>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</si>
  <si>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</si>
  <si>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</si>
  <si>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</si>
  <si>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</si>
  <si>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</si>
  <si>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</si>
  <si>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</si>
  <si>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</si>
  <si>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</si>
  <si>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</si>
  <si>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</si>
  <si>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</si>
  <si>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</si>
  <si>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</si>
  <si>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</si>
  <si>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</si>
  <si>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</si>
  <si>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</si>
  <si>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</si>
  <si>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</si>
  <si>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</si>
  <si>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</si>
  <si>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</si>
  <si>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</si>
  <si>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</si>
  <si>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</si>
  <si>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</si>
  <si>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</si>
  <si>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</si>
  <si>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</si>
  <si>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</si>
  <si>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</si>
  <si>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</si>
  <si>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</si>
  <si>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</si>
  <si>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</si>
  <si>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</si>
  <si>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</si>
  <si>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</si>
  <si>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</si>
  <si>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</si>
  <si>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</si>
  <si>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</si>
  <si>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</si>
  <si>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</si>
  <si>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</si>
  <si>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</si>
  <si>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</si>
  <si>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</si>
  <si>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</si>
  <si>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</si>
  <si>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</si>
  <si>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</si>
  <si>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</si>
  <si>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</si>
  <si>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</si>
  <si>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</si>
  <si>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</si>
  <si>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</si>
  <si>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</si>
  <si>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</si>
  <si>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</si>
  <si>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</si>
  <si>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</si>
  <si>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</si>
  <si>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</si>
  <si>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</si>
  <si>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</si>
  <si>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</si>
  <si>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</si>
  <si>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</si>
  <si>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</si>
  <si>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</si>
  <si>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</si>
  <si>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</si>
  <si>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</si>
  <si>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</si>
  <si>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</si>
  <si>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</si>
  <si>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</si>
  <si>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</si>
  <si>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</si>
  <si>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</si>
  <si>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</si>
  <si>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</si>
  <si>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</si>
  <si>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</si>
  <si>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</si>
  <si>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</si>
  <si>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</si>
  <si>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</si>
  <si>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</si>
  <si>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</si>
  <si>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</si>
  <si>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</si>
  <si>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</si>
  <si>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</si>
  <si>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</si>
  <si>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</si>
  <si>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</si>
  <si>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</si>
  <si>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</si>
  <si>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</si>
  <si>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</si>
  <si>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</si>
  <si>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</si>
  <si>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</si>
  <si>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</si>
  <si>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</si>
  <si>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</si>
  <si>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</si>
  <si>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</si>
  <si>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</si>
  <si>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</si>
  <si>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</si>
  <si>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</si>
  <si>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</si>
  <si>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</si>
  <si>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</si>
  <si>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</si>
  <si>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</si>
  <si>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</si>
  <si>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</si>
  <si>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</si>
  <si>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</si>
  <si>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</si>
  <si>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</si>
  <si>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</si>
  <si>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</si>
  <si>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</si>
  <si>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</si>
  <si>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</si>
  <si>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</si>
  <si>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</si>
  <si>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</si>
  <si>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</si>
  <si>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</si>
  <si>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</si>
  <si>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</si>
  <si>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</si>
  <si>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</si>
  <si>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</si>
  <si>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</si>
  <si>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</si>
  <si>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</si>
  <si>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</si>
  <si>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</si>
  <si>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</si>
  <si>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</si>
  <si>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</si>
  <si>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</si>
  <si>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</si>
  <si>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</si>
  <si>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</si>
  <si>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</si>
  <si>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</si>
  <si>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</si>
  <si>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</si>
  <si>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</si>
  <si>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</si>
  <si>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</si>
  <si>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</si>
  <si>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</si>
  <si>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</si>
  <si>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</si>
  <si>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</si>
  <si>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</si>
  <si>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</si>
  <si>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</si>
  <si>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</si>
  <si>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</si>
  <si>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</si>
  <si>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</si>
  <si>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</si>
  <si>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</si>
  <si>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</si>
  <si>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</si>
  <si>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</si>
  <si>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</si>
  <si>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</si>
  <si>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</si>
  <si>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</si>
  <si>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</si>
  <si>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</si>
  <si>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</si>
  <si>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</si>
  <si>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</si>
  <si>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</si>
  <si>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</si>
  <si>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</si>
  <si>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</si>
  <si>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</si>
  <si>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</si>
  <si>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</si>
  <si>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</si>
  <si>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</si>
  <si>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</si>
  <si>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</si>
  <si>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</si>
  <si>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</si>
  <si>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</si>
  <si>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</si>
  <si>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</si>
  <si>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</si>
  <si>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</si>
  <si>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</si>
  <si>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</si>
  <si>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</si>
  <si>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</si>
  <si>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</si>
  <si>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</si>
  <si>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</si>
  <si>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</si>
  <si>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</si>
  <si>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</si>
  <si>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</si>
  <si>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</si>
  <si>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</si>
  <si>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</si>
  <si>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</si>
  <si>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</si>
  <si>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</si>
  <si>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</si>
  <si>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</si>
  <si>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</si>
  <si>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</si>
  <si>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</si>
  <si>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</si>
  <si>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</si>
  <si>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</si>
  <si>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</si>
  <si>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</si>
  <si>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</si>
  <si>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</si>
  <si>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</si>
  <si>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</si>
  <si>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</si>
  <si>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</si>
  <si>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</si>
  <si>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</si>
  <si>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</si>
  <si>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</si>
  <si>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</si>
  <si>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</si>
  <si>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</si>
  <si>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</si>
  <si>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</si>
  <si>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</si>
  <si>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</si>
  <si>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</si>
  <si>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</si>
  <si>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</si>
  <si>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</si>
  <si>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</si>
  <si>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</si>
  <si>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</si>
  <si>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</si>
  <si>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</si>
  <si>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</si>
  <si>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</si>
  <si>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</si>
  <si>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</si>
  <si>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</si>
  <si>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</si>
  <si>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</si>
  <si>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</si>
  <si>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</si>
  <si>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</si>
  <si>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</si>
  <si>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</si>
  <si>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</si>
  <si>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</si>
  <si>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</si>
  <si>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</si>
  <si>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</si>
  <si>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</si>
  <si>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</si>
  <si>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</si>
  <si>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</si>
  <si>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</si>
  <si>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</si>
  <si>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</si>
  <si>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</si>
  <si>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</si>
  <si>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</si>
  <si>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</si>
  <si>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</si>
  <si>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</si>
  <si>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</si>
  <si>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</si>
  <si>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</si>
  <si>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</si>
  <si>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</si>
  <si>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</si>
  <si>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</si>
  <si>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</si>
  <si>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</si>
  <si>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</si>
  <si>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</si>
  <si>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</si>
  <si>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</si>
  <si>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</si>
  <si>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</si>
  <si>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</si>
  <si>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</si>
  <si>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</si>
  <si>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</si>
  <si>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</si>
  <si>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</si>
  <si>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</si>
  <si>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</si>
  <si>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</si>
  <si>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</si>
  <si>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</si>
  <si>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</si>
  <si>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</si>
  <si>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</si>
  <si>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</si>
  <si>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</si>
  <si>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</si>
  <si>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</si>
  <si>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</si>
  <si>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</si>
  <si>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</si>
  <si>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</si>
  <si>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</si>
  <si>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</si>
  <si>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</si>
  <si>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</si>
  <si>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</si>
  <si>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</si>
  <si>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</si>
  <si>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</si>
  <si>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</si>
  <si>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</si>
  <si>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</si>
  <si>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</si>
  <si>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</si>
  <si>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</si>
  <si>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</si>
  <si>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</si>
  <si>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</si>
  <si>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</si>
  <si>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</si>
  <si>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</si>
  <si>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</si>
  <si>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</si>
  <si>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</si>
  <si>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</si>
  <si>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</si>
  <si>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</si>
  <si>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</si>
  <si>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</si>
  <si>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</si>
  <si>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</si>
  <si>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</si>
  <si>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</si>
  <si>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</si>
  <si>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</si>
  <si>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</si>
  <si>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</si>
  <si>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</si>
  <si>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</si>
  <si>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</si>
  <si>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</si>
  <si>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</si>
  <si>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</si>
  <si>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</si>
  <si>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</si>
  <si>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</si>
  <si>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</si>
  <si>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</si>
  <si>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</si>
  <si>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</si>
  <si>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</si>
  <si>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</si>
  <si>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</si>
  <si>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</si>
  <si>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</si>
  <si>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</si>
  <si>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</si>
  <si>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</si>
  <si>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</si>
  <si>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</si>
  <si>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</si>
  <si>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</si>
  <si>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</si>
  <si>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</si>
  <si>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</si>
  <si>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</si>
  <si>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</si>
  <si>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</si>
  <si>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</si>
  <si>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</si>
  <si>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</si>
  <si>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</si>
  <si>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</si>
  <si>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</si>
  <si>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</si>
  <si>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</si>
  <si>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</si>
  <si>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</si>
  <si>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</si>
  <si>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</si>
  <si>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</si>
  <si>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</si>
  <si>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</si>
  <si>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</si>
  <si>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</si>
  <si>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</si>
  <si>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</si>
  <si>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</si>
  <si>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</si>
  <si>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</si>
  <si>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</si>
  <si>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</si>
  <si>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</si>
  <si>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</si>
  <si>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</si>
  <si>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</si>
  <si>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</si>
  <si>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</si>
  <si>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</si>
  <si>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</si>
  <si>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</si>
  <si>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</si>
  <si>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</si>
  <si>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</si>
  <si>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</si>
  <si>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</si>
  <si>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</si>
  <si>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</si>
  <si>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</si>
  <si>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</si>
  <si>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</si>
  <si>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</si>
  <si>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</si>
  <si>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</si>
  <si>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</si>
  <si>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</si>
  <si>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</si>
  <si>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</si>
  <si>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</si>
  <si>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</si>
  <si>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</si>
  <si>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</si>
  <si>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</si>
  <si>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</si>
  <si>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</si>
  <si>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</si>
  <si>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</si>
  <si>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</si>
  <si>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</si>
  <si>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</si>
  <si>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</si>
  <si>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</si>
  <si>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</si>
  <si>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</si>
  <si>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</si>
  <si>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</si>
  <si>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</si>
  <si>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</si>
  <si>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</si>
  <si>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</si>
  <si>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</si>
  <si>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</si>
  <si>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</si>
  <si>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</si>
  <si>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</si>
  <si>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</si>
  <si>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</si>
  <si>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</si>
  <si>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</si>
  <si>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</si>
  <si>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</si>
  <si>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</si>
  <si>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</si>
  <si>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</si>
  <si>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</si>
  <si>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</si>
  <si>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</si>
  <si>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</si>
  <si>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</si>
  <si>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</si>
  <si>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</si>
  <si>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</si>
  <si>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</si>
  <si>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</si>
  <si>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</si>
  <si>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</si>
  <si>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</si>
  <si>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</si>
  <si>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</si>
  <si>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</si>
  <si>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</si>
  <si>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</si>
  <si>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</si>
  <si>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</si>
  <si>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</si>
  <si>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</si>
  <si>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</si>
  <si>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</si>
  <si>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</si>
  <si>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</si>
  <si>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</si>
  <si>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</si>
  <si>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</si>
  <si>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</si>
  <si>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</si>
  <si>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</si>
  <si>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</si>
  <si>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</si>
  <si>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</si>
  <si>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</si>
  <si>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</si>
  <si>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</si>
  <si>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</si>
  <si>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</si>
  <si>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</si>
  <si>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</si>
  <si>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</si>
  <si>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</si>
  <si>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</si>
  <si>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</si>
  <si>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</si>
  <si>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</si>
  <si>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</si>
  <si>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</si>
  <si>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</si>
  <si>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</si>
  <si>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</si>
  <si>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</si>
  <si>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</si>
  <si>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</si>
  <si>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</si>
  <si>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</si>
  <si>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</si>
  <si>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</si>
  <si>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</si>
  <si>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</si>
  <si>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</si>
  <si>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</si>
  <si>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</si>
  <si>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</si>
  <si>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</si>
  <si>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</si>
  <si>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</si>
  <si>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</si>
  <si>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</si>
  <si>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</si>
  <si>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</si>
  <si>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</si>
  <si>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</si>
  <si>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</si>
  <si>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</si>
  <si>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</si>
  <si>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</si>
  <si>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</si>
  <si>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</si>
  <si>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</si>
  <si>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</si>
  <si>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</si>
  <si>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</si>
  <si>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</si>
  <si>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</si>
  <si>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</si>
  <si>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</si>
  <si>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</si>
  <si>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</si>
  <si>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</si>
  <si>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</si>
  <si>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</si>
  <si>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</si>
  <si>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</si>
  <si>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</si>
  <si>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</si>
  <si>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</si>
  <si>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</si>
  <si>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</si>
  <si>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</si>
  <si>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</si>
  <si>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</si>
  <si>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</si>
  <si>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</si>
  <si>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</si>
  <si>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</si>
  <si>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</si>
  <si>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</si>
  <si>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</si>
  <si>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</si>
  <si>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</si>
  <si>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</si>
  <si>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</si>
  <si>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</si>
  <si>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</si>
  <si>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</si>
  <si>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</si>
  <si>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</si>
  <si>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</si>
  <si>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</si>
  <si>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</si>
  <si>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</si>
  <si>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</si>
  <si>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</si>
  <si>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</si>
  <si>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</si>
  <si>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</si>
  <si>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</si>
  <si>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</si>
  <si>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</si>
  <si>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</si>
  <si>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</si>
  <si>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</si>
  <si>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</si>
  <si>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</si>
  <si>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</si>
  <si>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</si>
  <si>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</si>
  <si>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</si>
  <si>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</si>
  <si>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</si>
  <si>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</si>
  <si>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</si>
  <si>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</si>
  <si>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</si>
  <si>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</si>
  <si>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</si>
  <si>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</si>
  <si>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</si>
  <si>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</si>
  <si>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</si>
  <si>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</si>
  <si>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</si>
  <si>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</si>
  <si>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</si>
  <si>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</si>
  <si>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</si>
  <si>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</si>
  <si>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</si>
  <si>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</si>
  <si>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</si>
  <si>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</si>
  <si>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</si>
  <si>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</si>
  <si>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</si>
  <si>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</si>
  <si>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</si>
  <si>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</si>
  <si>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</si>
  <si>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</si>
  <si>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</si>
  <si>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</si>
  <si>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</si>
  <si>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</si>
  <si>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</si>
  <si>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</si>
  <si>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</si>
  <si>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</si>
  <si>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</si>
  <si>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</si>
  <si>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</si>
  <si>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</si>
  <si>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</si>
  <si>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</si>
  <si>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</si>
  <si>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</si>
  <si>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</si>
  <si>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</si>
  <si>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</si>
  <si>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</si>
  <si>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</si>
  <si>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</si>
  <si>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</si>
  <si>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</si>
  <si>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</si>
  <si>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</si>
  <si>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</si>
  <si>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</si>
  <si>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</si>
  <si>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</si>
  <si>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</si>
  <si>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</si>
  <si>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</si>
  <si>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</si>
  <si>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</si>
  <si>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</si>
  <si>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</si>
  <si>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</si>
  <si>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</si>
  <si>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</si>
  <si>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</si>
  <si>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</si>
  <si>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</si>
  <si>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</si>
  <si>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</si>
  <si>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</si>
  <si>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</si>
  <si>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</si>
  <si>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</si>
  <si>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</si>
  <si>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</si>
  <si>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</si>
  <si>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</si>
  <si>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</si>
  <si>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</si>
  <si>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</si>
  <si>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</si>
  <si>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</si>
  <si>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</si>
  <si>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</si>
  <si>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</si>
  <si>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</si>
  <si>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</si>
  <si>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</si>
  <si>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</si>
  <si>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</si>
  <si>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</si>
  <si>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</si>
  <si>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</si>
  <si>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</si>
  <si>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</si>
  <si>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</si>
  <si>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</si>
  <si>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</si>
  <si>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</si>
  <si>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</si>
  <si>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</si>
  <si>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</si>
  <si>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</si>
  <si>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</si>
  <si>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</si>
  <si>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</si>
  <si>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</si>
  <si>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</si>
  <si>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</si>
  <si>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</si>
  <si>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</si>
  <si>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</si>
  <si>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</si>
  <si>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</si>
  <si>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</si>
  <si>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</si>
  <si>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</si>
  <si>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</si>
  <si>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</si>
  <si>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</si>
  <si>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</si>
  <si>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</si>
  <si>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</si>
  <si>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</si>
  <si>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</si>
  <si>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</si>
  <si>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</si>
  <si>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</si>
  <si>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</si>
  <si>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</si>
  <si>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</si>
  <si>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</si>
  <si>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</si>
  <si>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</si>
  <si>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</si>
  <si>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</si>
  <si>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</si>
  <si>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</si>
  <si>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</si>
  <si>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</si>
  <si>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</si>
  <si>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</si>
  <si>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</si>
  <si>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</si>
  <si>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</si>
  <si>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</si>
  <si>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</si>
  <si>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</si>
  <si>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</si>
  <si>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</si>
  <si>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</si>
  <si>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</si>
  <si>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</si>
  <si>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</si>
  <si>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</si>
  <si>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</si>
  <si>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</si>
  <si>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</si>
  <si>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</si>
  <si>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</si>
  <si>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</si>
  <si>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</si>
  <si>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</si>
  <si>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</si>
  <si>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</si>
  <si>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</si>
  <si>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</si>
  <si>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</si>
  <si>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</si>
  <si>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</si>
  <si>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</si>
  <si>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</si>
  <si>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</si>
  <si>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</si>
  <si>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</si>
  <si>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</si>
  <si>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</si>
  <si>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</si>
  <si>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</si>
  <si>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</si>
  <si>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</si>
  <si>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</si>
  <si>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</si>
  <si>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</si>
  <si>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</si>
  <si>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</si>
  <si>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</si>
  <si>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</si>
  <si>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</si>
  <si>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</si>
  <si>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</si>
  <si>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</si>
  <si>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</si>
  <si>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</si>
  <si>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</si>
  <si>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</si>
  <si>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</si>
  <si>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</si>
  <si>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</si>
  <si>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</si>
  <si>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</si>
  <si>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</si>
  <si>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</si>
  <si>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</si>
  <si>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</si>
  <si>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</si>
  <si>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</si>
  <si>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</si>
  <si>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</si>
  <si>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</si>
  <si>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</si>
  <si>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</si>
  <si>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</si>
  <si>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</si>
  <si>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</si>
  <si>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</si>
  <si>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</si>
  <si>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</si>
  <si>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</si>
  <si>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</si>
  <si>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</si>
  <si>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</si>
  <si>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</si>
  <si>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</si>
  <si>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</si>
  <si>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</si>
  <si>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</si>
  <si>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</si>
  <si>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</si>
  <si>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</si>
  <si>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</si>
  <si>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</si>
  <si>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</si>
  <si>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</si>
  <si>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</si>
  <si>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</si>
  <si>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</si>
  <si>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</si>
  <si>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</si>
  <si>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</si>
  <si>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</si>
  <si>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</si>
  <si>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</si>
  <si>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</si>
  <si>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</si>
  <si>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</si>
  <si>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</si>
  <si>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</si>
  <si>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</si>
  <si>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</si>
  <si>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</si>
  <si>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</si>
  <si>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</si>
  <si>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</si>
  <si>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</si>
  <si>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</si>
  <si>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</si>
  <si>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</si>
  <si>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</si>
  <si>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</si>
  <si>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</si>
  <si>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</si>
  <si>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</si>
  <si>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</si>
  <si>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</si>
  <si>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</si>
  <si>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</si>
  <si>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</si>
  <si>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</si>
  <si>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</si>
  <si>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</si>
  <si>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</si>
  <si>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</si>
  <si>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</si>
  <si>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</si>
  <si>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</si>
  <si>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</si>
  <si>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</si>
  <si>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</si>
  <si>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</si>
  <si>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</si>
  <si>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</si>
  <si>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</si>
  <si>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</si>
  <si>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</si>
  <si>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</si>
  <si>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</si>
  <si>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</si>
  <si>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</si>
  <si>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</si>
  <si>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</si>
  <si>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</si>
  <si>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</si>
  <si>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</si>
  <si>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</si>
  <si>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</si>
  <si>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</si>
  <si>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</si>
  <si>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</si>
  <si>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</si>
  <si>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</si>
  <si>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</si>
  <si>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</si>
  <si>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</si>
  <si>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</si>
  <si>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</si>
  <si>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</si>
  <si>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</si>
  <si>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</si>
  <si>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</si>
  <si>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</si>
  <si>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</si>
  <si>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</si>
  <si>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</si>
  <si>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</si>
  <si>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</si>
  <si>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</si>
  <si>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</si>
  <si>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</si>
  <si>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</si>
  <si>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</si>
  <si>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</si>
  <si>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</si>
  <si>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</si>
  <si>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</si>
  <si>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</si>
  <si>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</si>
  <si>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</si>
  <si>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</si>
  <si>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</si>
  <si>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</si>
  <si>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</si>
  <si>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</si>
  <si>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</si>
  <si>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</si>
  <si>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</si>
  <si>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</si>
  <si>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</si>
  <si>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</si>
  <si>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</si>
  <si>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</si>
  <si>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</si>
  <si>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</si>
  <si>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</si>
  <si>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</si>
  <si>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</si>
  <si>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</si>
  <si>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</si>
  <si>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</si>
  <si>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</si>
  <si>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</si>
  <si>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</si>
  <si>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</si>
  <si>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</si>
  <si>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</si>
  <si>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</si>
  <si>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</si>
  <si>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</si>
  <si>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</si>
  <si>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</si>
  <si>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</si>
  <si>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</si>
  <si>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</si>
  <si>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</si>
  <si>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</si>
  <si>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</si>
  <si>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</si>
  <si>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</si>
  <si>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</si>
  <si>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</si>
  <si>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</si>
  <si>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</si>
  <si>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</si>
  <si>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</si>
  <si>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</si>
  <si>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</si>
  <si>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</si>
  <si>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</si>
  <si>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</si>
  <si>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</si>
  <si>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</si>
  <si>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</si>
  <si>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</si>
  <si>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</si>
  <si>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</si>
  <si>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</si>
  <si>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</si>
  <si>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</si>
  <si>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</si>
  <si>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</si>
  <si>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</si>
  <si>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</si>
  <si>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</si>
  <si>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</si>
  <si>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</si>
  <si>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</si>
  <si>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</si>
  <si>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</si>
  <si>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</si>
  <si>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</si>
  <si>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</si>
  <si>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</si>
  <si>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</si>
  <si>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</si>
  <si>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</si>
  <si>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</si>
  <si>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</si>
  <si>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</si>
  <si>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</si>
  <si>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</si>
  <si>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</si>
  <si>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</si>
  <si>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</si>
  <si>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</si>
  <si>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</si>
  <si>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</si>
  <si>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</si>
  <si>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</si>
  <si>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</si>
  <si>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</si>
  <si>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</si>
  <si>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</si>
  <si>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</si>
  <si>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</si>
  <si>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</si>
  <si>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</si>
  <si>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</si>
  <si>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</si>
  <si>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</si>
  <si>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</si>
  <si>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</si>
  <si>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</si>
  <si>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</si>
  <si>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</si>
  <si>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</si>
  <si>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</si>
  <si>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</si>
  <si>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</si>
  <si>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</si>
  <si>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</si>
  <si>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</si>
  <si>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</si>
  <si>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</si>
  <si>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</si>
  <si>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</si>
  <si>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</si>
  <si>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</si>
  <si>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</si>
  <si>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</si>
  <si>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</si>
  <si>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</si>
  <si>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</si>
  <si>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</si>
  <si>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</si>
  <si>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</si>
  <si>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</si>
  <si>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</si>
  <si>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</si>
  <si>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</si>
  <si>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</si>
  <si>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</si>
  <si>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</si>
  <si>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</si>
  <si>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</si>
  <si>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</si>
  <si>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</si>
  <si>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</si>
  <si>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</si>
  <si>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</si>
  <si>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</si>
  <si>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</si>
  <si>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</si>
  <si>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</si>
  <si>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</si>
  <si>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</si>
  <si>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</si>
  <si>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</si>
  <si>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</si>
  <si>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</si>
  <si>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</si>
  <si>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</si>
  <si>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</si>
  <si>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</si>
  <si>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</si>
  <si>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</si>
  <si>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</si>
  <si>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</si>
  <si>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</si>
  <si>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</si>
  <si>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</si>
  <si>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</si>
  <si>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</si>
  <si>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</si>
  <si>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湖北天门汉旺房地产开发有限公司</t>
    <phoneticPr fontId="6" type="noConversion"/>
  </si>
  <si>
    <t>昆仑信托有限责任公司</t>
    <phoneticPr fontId="6" type="noConversion"/>
  </si>
  <si>
    <t>抵押</t>
  </si>
  <si>
    <t>抵押价格</t>
  </si>
  <si>
    <t>其他：</t>
  </si>
  <si>
    <t>湖北省天门市</t>
    <phoneticPr fontId="6" type="noConversion"/>
  </si>
  <si>
    <t>企业</t>
  </si>
  <si>
    <t>住宅、商业</t>
    <phoneticPr fontId="6" type="noConversion"/>
  </si>
  <si>
    <t>一致</t>
  </si>
  <si>
    <t>符合</t>
  </si>
  <si>
    <t>商业</t>
  </si>
  <si>
    <t>出让</t>
  </si>
  <si>
    <t>住宅66.31年、商业36.29年</t>
    <phoneticPr fontId="6" type="noConversion"/>
  </si>
  <si>
    <t>否</t>
  </si>
  <si>
    <t>居住项目</t>
  </si>
  <si>
    <t>无</t>
  </si>
  <si>
    <t>场地平整</t>
  </si>
  <si>
    <t>平整</t>
  </si>
  <si>
    <t>通路</t>
  </si>
  <si>
    <t>通电</t>
  </si>
  <si>
    <t>通讯</t>
  </si>
  <si>
    <t>通上水</t>
  </si>
  <si>
    <t>通下水</t>
  </si>
  <si>
    <t>燃气</t>
  </si>
  <si>
    <t>地上</t>
  </si>
  <si>
    <t>普通住宅</t>
  </si>
  <si>
    <t>底商</t>
  </si>
  <si>
    <t>住宅</t>
    <phoneticPr fontId="7" type="noConversion"/>
  </si>
  <si>
    <t>商业</t>
    <phoneticPr fontId="7" type="noConversion"/>
  </si>
  <si>
    <t>不动产收益法</t>
  </si>
  <si>
    <t>正常</t>
  </si>
  <si>
    <t>住宅、商业用地</t>
  </si>
  <si>
    <t>住宅、商业用地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</si>
  <si>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</si>
  <si>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</si>
  <si>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</si>
  <si>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</si>
  <si>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</si>
  <si>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</si>
  <si>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</si>
  <si>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</si>
  <si>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</si>
  <si>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</si>
  <si>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</si>
  <si>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</si>
  <si>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</si>
  <si>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</si>
  <si>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</si>
  <si>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</si>
  <si>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</si>
  <si>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</si>
  <si>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</si>
  <si>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</si>
  <si>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</si>
  <si>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</si>
  <si>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</si>
  <si>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其他普通商品住房用地</t>
  </si>
  <si>
    <t>其他普通商品住房用地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</si>
  <si>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</si>
  <si>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</si>
  <si>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楼面地价</t>
  </si>
  <si>
    <t>武汉监测指标情况一览表</t>
  </si>
  <si>
    <t>时间</t>
  </si>
  <si>
    <t>水平值</t>
  </si>
  <si>
    <t>环比增长率</t>
  </si>
  <si>
    <t>指数</t>
  </si>
  <si>
    <t>住宅</t>
    <phoneticPr fontId="233" type="noConversion"/>
  </si>
  <si>
    <t>商业</t>
    <phoneticPr fontId="233" type="noConversion"/>
  </si>
  <si>
    <t>其他省市请录依据文件名称：湖北省天门市人民政府关于调整城镇应税土地等级和土地使用税税额标准的通知【天政发〔2007〕16号】</t>
    <phoneticPr fontId="3" type="noConversion"/>
  </si>
  <si>
    <t>普通住宅</t>
    <phoneticPr fontId="21" type="noConversion"/>
  </si>
  <si>
    <t>快速路</t>
    <phoneticPr fontId="21" type="noConversion"/>
  </si>
  <si>
    <t>高速路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</si>
  <si>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</si>
  <si>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</si>
  <si>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</si>
  <si>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</si>
  <si>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</si>
  <si>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</si>
  <si>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</si>
  <si>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</si>
  <si>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</si>
  <si>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</si>
  <si>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</si>
  <si>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</si>
  <si>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</si>
  <si>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</si>
  <si>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</si>
  <si>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</si>
  <si>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</si>
  <si>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</si>
  <si>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</si>
  <si>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</si>
  <si>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</si>
  <si>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</si>
  <si>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</si>
  <si>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</si>
  <si>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</si>
  <si>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</si>
  <si>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</si>
  <si>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普通装修</t>
    <phoneticPr fontId="21" type="noConversion"/>
  </si>
  <si>
    <t>住宅</t>
    <phoneticPr fontId="21" type="noConversion"/>
  </si>
  <si>
    <t>60-70（含）</t>
  </si>
  <si>
    <t>120-140</t>
    <phoneticPr fontId="21" type="noConversion"/>
  </si>
  <si>
    <t>好</t>
  </si>
  <si>
    <t>土地（套用方法）</t>
  </si>
  <si>
    <t>项目全部</t>
  </si>
  <si>
    <t>土地</t>
  </si>
  <si>
    <t>比较法-住宅、综合</t>
  </si>
  <si>
    <t>剩余法-待开发</t>
  </si>
  <si>
    <t>押一</t>
  </si>
  <si>
    <t>君佳.凯旋门</t>
    <phoneticPr fontId="3" type="noConversion"/>
  </si>
  <si>
    <t>华西新城</t>
    <phoneticPr fontId="3" type="noConversion"/>
  </si>
  <si>
    <t>竟陵华府</t>
    <phoneticPr fontId="3" type="noConversion"/>
  </si>
  <si>
    <t>天门市陆羽大道（实验高中东侧）</t>
    <phoneticPr fontId="3" type="noConversion"/>
  </si>
  <si>
    <t>天门市武荆连接线与北湖大道交叉口</t>
    <phoneticPr fontId="3" type="noConversion"/>
  </si>
  <si>
    <t>竟陵鸿渐路139号(原竟陵高中)</t>
    <phoneticPr fontId="3" type="noConversion"/>
  </si>
  <si>
    <t>竟陵办事处东湖村</t>
    <phoneticPr fontId="6" type="noConversion"/>
  </si>
  <si>
    <t>《国有土地使用证》[天国用（2013）第5549号]</t>
    <phoneticPr fontId="6" type="noConversion"/>
  </si>
  <si>
    <t>《国有建设用地使用权出让合同》[合同编号:鄂TM-2013-168]及附件</t>
    <phoneticPr fontId="6" type="noConversion"/>
  </si>
  <si>
    <t>《国有建设用地使用权出让合同》[合同编号:鄂TM-2013-168]及附件</t>
    <phoneticPr fontId="3" type="noConversion"/>
  </si>
  <si>
    <t>《国有土地使用证》[天国用（2013）第5549号]</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</si>
  <si>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</si>
  <si>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</si>
  <si>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</si>
  <si>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</si>
  <si>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</si>
  <si>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</si>
  <si>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</si>
  <si>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</si>
  <si>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</si>
  <si>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</si>
  <si>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</si>
  <si>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</si>
  <si>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九真镇九真村</t>
  </si>
  <si>
    <t>省直辖县级行政单位</t>
  </si>
  <si>
    <t>住宅用地</t>
  </si>
  <si>
    <t>＞1,≤2</t>
  </si>
  <si>
    <t>挂牌</t>
  </si>
  <si>
    <t>天门卓泰置业有限...</t>
  </si>
  <si>
    <t>马湾镇陈马村</t>
  </si>
  <si>
    <t>综合用地(含住宅)</t>
  </si>
  <si>
    <t>≥1,≤1....</t>
  </si>
  <si>
    <t>廖会平</t>
  </si>
  <si>
    <t>天门市小板镇黄金村</t>
  </si>
  <si>
    <t>＞1,≤2....</t>
  </si>
  <si>
    <t>拍卖</t>
  </si>
  <si>
    <t>何书剑</t>
  </si>
  <si>
    <t>杨林办事处杨林口村</t>
  </si>
  <si>
    <t>湖北华茂置业有限...</t>
  </si>
  <si>
    <t>杨林办事处徐渡村</t>
  </si>
  <si>
    <t>天门经济开发区汇侨大道以南</t>
  </si>
  <si>
    <t>湖北富力房地产开...</t>
  </si>
  <si>
    <t>天门市竟陵办事处北湖大道南侧</t>
  </si>
  <si>
    <t>＞1,≤3....</t>
  </si>
  <si>
    <t>天门市君佳房地产...</t>
  </si>
  <si>
    <t>竟陵办事处西龙社区</t>
  </si>
  <si>
    <t>天门市天力置业有...</t>
  </si>
  <si>
    <t>竟陵办事处公园村</t>
  </si>
  <si>
    <t>卓尔城(天门)投...</t>
  </si>
  <si>
    <t>竟陵办事处华侨大道南侧</t>
  </si>
  <si>
    <t>≥1.2</t>
  </si>
  <si>
    <t>天门市三乡置业有...</t>
  </si>
  <si>
    <t>天门市三乡置业有</t>
  </si>
  <si>
    <t>地面单价</t>
    <phoneticPr fontId="233" type="noConversion"/>
  </si>
  <si>
    <t>天门工业园滨江大道</t>
  </si>
  <si>
    <t>商业/办公用地</t>
  </si>
  <si>
    <t>≤1.2</t>
  </si>
  <si>
    <t>湖北天下鸿图置业...</t>
  </si>
  <si>
    <t>天门多祥镇东号字村</t>
  </si>
  <si>
    <t>≤0.5</t>
  </si>
  <si>
    <t>杨弦</t>
  </si>
  <si>
    <t>小板镇金科村</t>
  </si>
  <si>
    <t>刘红秀</t>
  </si>
  <si>
    <t>天门城区东环路东侧</t>
  </si>
  <si>
    <t>≥1,≤2....</t>
  </si>
  <si>
    <t>官国威</t>
  </si>
  <si>
    <t>天门工业园8号路交2号路东南角</t>
  </si>
  <si>
    <t>等于0.3</t>
  </si>
  <si>
    <t>黄海林</t>
  </si>
  <si>
    <t>汪场镇罗阳村</t>
  </si>
  <si>
    <t>等于0.06</t>
  </si>
  <si>
    <t>天门华然天然气有...</t>
  </si>
  <si>
    <t>麻洋镇边湖村</t>
  </si>
  <si>
    <t>≥1且≤1....</t>
  </si>
  <si>
    <t>潘路瑶</t>
  </si>
  <si>
    <t>石河镇姚岭村</t>
  </si>
  <si>
    <t>谭博文</t>
  </si>
  <si>
    <t>拖市镇夏场村</t>
  </si>
  <si>
    <t>≤0.3</t>
  </si>
  <si>
    <t>陈国武</t>
  </si>
  <si>
    <t>天门市天力城市建...</t>
  </si>
  <si>
    <t>石河镇界牌村</t>
  </si>
  <si>
    <t>钱兵</t>
  </si>
  <si>
    <t>岳口镇薛熊滩村</t>
  </si>
  <si>
    <t>天门市九头风燃气...</t>
  </si>
  <si>
    <t>皂市镇邱桥村、兴隆村</t>
  </si>
  <si>
    <t>天门乡墅置业有限...</t>
  </si>
  <si>
    <t>竟陵办事处陆羽大道</t>
  </si>
  <si>
    <t>天门城投房地产开...</t>
  </si>
  <si>
    <t>多祥镇鲁台村</t>
  </si>
  <si>
    <t>天门市顺通汽车客...</t>
  </si>
  <si>
    <t>天门市顺</t>
  </si>
  <si>
    <t>P(2017)086</t>
    <phoneticPr fontId="3" type="noConversion"/>
  </si>
  <si>
    <t>天门经济开发区汇侨大道以南</t>
    <phoneticPr fontId="3" type="noConversion"/>
  </si>
  <si>
    <t>P（2017）037号</t>
    <phoneticPr fontId="3" type="noConversion"/>
  </si>
  <si>
    <t>竟陵办事处华侨大道南侧</t>
    <phoneticPr fontId="3" type="noConversion"/>
  </si>
  <si>
    <t>P（2017）038号</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</si>
</sst>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1"/>
      <color rgb="FF444444"/>
      <name val="Verdana"/>
      <family val="2"/>
    </font>
    <font>
      <b/>
      <sz val="11"/>
      <color rgb="FFEB3D3E"/>
      <name val="Verdana"/>
      <family val="2"/>
    </font>
    <font>
      <sz val="11"/>
      <color theme="1"/>
      <name val="Verdana"/>
      <family val="2"/>
    </font>
    <font>
      <u/>
      <sz val="11"/>
      <color theme="10"/>
      <name val="宋体"/>
      <family val="3"/>
      <charset val="134"/>
    </font>
    <font>
      <b/>
      <sz val="11"/>
      <color rgb="FF444444"/>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84" fillId="0" borderId="0" applyNumberFormat="0" applyFill="0" applyBorder="0" applyAlignment="0" applyProtection="0">
      <alignment vertical="top"/>
      <protection locked="0"/>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2" fontId="71" fillId="9" borderId="2"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0" borderId="2" xfId="0" applyFont="1" applyBorder="1" applyAlignment="1">
      <alignment horizontal="center" vertical="center"/>
    </xf>
    <xf numFmtId="0" fontId="282" fillId="0" borderId="2" xfId="0" applyFont="1" applyBorder="1" applyAlignment="1">
      <alignment horizontal="center" vertical="center"/>
    </xf>
    <xf numFmtId="0" fontId="285" fillId="6" borderId="2" xfId="0" applyFont="1" applyFill="1" applyBorder="1" applyAlignment="1">
      <alignment horizontal="center" vertical="center"/>
    </xf>
    <xf numFmtId="0" fontId="284" fillId="0" borderId="2" xfId="15" applyBorder="1" applyAlignment="1" applyProtection="1">
      <alignment horizontal="left" vertical="center"/>
    </xf>
    <xf numFmtId="0" fontId="283" fillId="0" borderId="2" xfId="0" applyFont="1" applyBorder="1">
      <alignment vertical="center"/>
    </xf>
    <xf numFmtId="0" fontId="283" fillId="0" borderId="2" xfId="0" applyFont="1" applyBorder="1" applyAlignment="1">
      <alignment horizontal="left" vertical="center"/>
    </xf>
    <xf numFmtId="0" fontId="283" fillId="0" borderId="2" xfId="0" applyFont="1" applyBorder="1" applyAlignment="1">
      <alignment horizontal="right" vertical="center"/>
    </xf>
    <xf numFmtId="14" fontId="283" fillId="0" borderId="2" xfId="0" applyNumberFormat="1" applyFont="1" applyBorder="1" applyAlignment="1">
      <alignment horizontal="left" vertical="center"/>
    </xf>
    <xf numFmtId="0" fontId="283" fillId="6" borderId="2" xfId="0" applyFont="1" applyFill="1" applyBorder="1" applyAlignment="1">
      <alignment horizontal="right" vertical="center"/>
    </xf>
    <xf numFmtId="0" fontId="284" fillId="18" borderId="2" xfId="15" applyFill="1" applyBorder="1" applyAlignment="1" applyProtection="1">
      <alignment horizontal="left" vertical="center"/>
    </xf>
    <xf numFmtId="0" fontId="283" fillId="18" borderId="2" xfId="0" applyFont="1" applyFill="1" applyBorder="1">
      <alignment vertical="center"/>
    </xf>
    <xf numFmtId="0" fontId="283" fillId="18" borderId="2" xfId="0" applyFont="1" applyFill="1" applyBorder="1" applyAlignment="1">
      <alignment horizontal="left" vertical="center"/>
    </xf>
    <xf numFmtId="0" fontId="283" fillId="18" borderId="2" xfId="0" applyFont="1" applyFill="1" applyBorder="1" applyAlignment="1">
      <alignment horizontal="right" vertical="center"/>
    </xf>
    <xf numFmtId="14" fontId="283" fillId="18" borderId="2" xfId="0" applyNumberFormat="1" applyFont="1" applyFill="1" applyBorder="1" applyAlignment="1">
      <alignment horizontal="left" vertical="center"/>
    </xf>
    <xf numFmtId="0" fontId="0" fillId="18" borderId="0" xfId="0"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8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3" Type="http://schemas.openxmlformats.org/officeDocument/2006/relationships/hyperlink" Target="http://land.creis.fang.com/Detail?sParceliD=a38ff882-15fe-438a-b090-5e7cee72e2fd" TargetMode="External"/><Relationship Id="rId18" Type="http://schemas.openxmlformats.org/officeDocument/2006/relationships/hyperlink" Target="http://land.creis.fang.com/Detail?sParceliD=312436eb-75ee-4123-82c9-882748585e3c" TargetMode="External"/><Relationship Id="rId26" Type="http://schemas.openxmlformats.org/officeDocument/2006/relationships/hyperlink" Target="http://land.creis.fang.com/Detail?sParceliD=97ad19e7-3455-480b-8273-9459ef41329f" TargetMode="External"/><Relationship Id="rId39" Type="http://schemas.openxmlformats.org/officeDocument/2006/relationships/hyperlink" Target="http://land.creis.fang.com/Detail?sParceliD=84013115-6c71-4657-aa6d-9c3771732fa5" TargetMode="External"/><Relationship Id="rId21" Type="http://schemas.openxmlformats.org/officeDocument/2006/relationships/hyperlink" Target="http://land.creis.fang.com/Detail?sParceliD=33f9eae1-790a-4816-8303-64a4d67edc9c" TargetMode="External"/><Relationship Id="rId34" Type="http://schemas.openxmlformats.org/officeDocument/2006/relationships/hyperlink" Target="http://land.creis.fang.com/Detail?sParceliD=7317a196-a78e-44e6-8de4-c8b6a432bb9b" TargetMode="External"/><Relationship Id="rId42" Type="http://schemas.openxmlformats.org/officeDocument/2006/relationships/hyperlink" Target="http://land.creis.fang.com/Detail?sParceliD=417329ae-b35a-4c74-99ed-46adfc9a3f86" TargetMode="External"/><Relationship Id="rId47" Type="http://schemas.openxmlformats.org/officeDocument/2006/relationships/hyperlink" Target="http://land.creis.fang.com/Detail?sParceliD=e1bcb3d6-d9df-49b8-85cc-42224816d3b9" TargetMode="External"/><Relationship Id="rId50" Type="http://schemas.openxmlformats.org/officeDocument/2006/relationships/hyperlink" Target="http://land.creis.fang.com/Detail?sParceliD=de43ff84-c7ca-4952-9506-f843e53d2423" TargetMode="External"/><Relationship Id="rId55" Type="http://schemas.openxmlformats.org/officeDocument/2006/relationships/hyperlink" Target="http://land.creis.fang.com/Detail?sParceliD=a957c048-a7a6-42a9-8213-3dedccd61847" TargetMode="External"/><Relationship Id="rId7" Type="http://schemas.openxmlformats.org/officeDocument/2006/relationships/hyperlink" Target="http://land.creis.fang.com/Detail?sParceliD=1bad0957-9ec4-413f-a7e0-2fdba09dcd6d" TargetMode="External"/><Relationship Id="rId2" Type="http://schemas.openxmlformats.org/officeDocument/2006/relationships/hyperlink" Target="http://land.creis.fang.com/Detail?sParceliD=2f52b958-1dd5-46a2-9235-399436b849ca" TargetMode="External"/><Relationship Id="rId16" Type="http://schemas.openxmlformats.org/officeDocument/2006/relationships/hyperlink" Target="http://land.creis.fang.com/Detail?sParceliD=25ffa2fe-038c-4076-ae66-ffb623e6444b" TargetMode="External"/><Relationship Id="rId20" Type="http://schemas.openxmlformats.org/officeDocument/2006/relationships/hyperlink" Target="http://land.creis.fang.com/Detail?sParceliD=cdaac152-fce0-4a63-815e-c3ed7971cceb" TargetMode="External"/><Relationship Id="rId29" Type="http://schemas.openxmlformats.org/officeDocument/2006/relationships/hyperlink" Target="http://land.creis.fang.com/Detail?sParceliD=309bc277-0974-48d3-b34c-59832941d0e0" TargetMode="External"/><Relationship Id="rId41" Type="http://schemas.openxmlformats.org/officeDocument/2006/relationships/hyperlink" Target="http://land.creis.fang.com/Detail?sParceliD=9410ed3d-ea0a-493e-8870-ba41df7db01f" TargetMode="External"/><Relationship Id="rId54" Type="http://schemas.openxmlformats.org/officeDocument/2006/relationships/hyperlink" Target="http://land.creis.fang.com/Detail?sParceliD=84013115-6c71-4657-aa6d-9c3771732fa5" TargetMode="External"/><Relationship Id="rId1" Type="http://schemas.openxmlformats.org/officeDocument/2006/relationships/hyperlink" Target="http://land.creis.fang.com/Detail?sParceliD=25ffa2fe-038c-4076-ae66-ffb623e6444b" TargetMode="External"/><Relationship Id="rId6" Type="http://schemas.openxmlformats.org/officeDocument/2006/relationships/hyperlink" Target="http://land.creis.fang.com/Detail?sParceliD=33f9eae1-790a-4816-8303-64a4d67edc9c" TargetMode="External"/><Relationship Id="rId11" Type="http://schemas.openxmlformats.org/officeDocument/2006/relationships/hyperlink" Target="http://land.creis.fang.com/Detail?sParceliD=97ad19e7-3455-480b-8273-9459ef41329f" TargetMode="External"/><Relationship Id="rId24" Type="http://schemas.openxmlformats.org/officeDocument/2006/relationships/hyperlink" Target="http://land.creis.fang.com/Detail?sParceliD=0dc8d68a-0ffa-45bf-9eb1-be927b200d9c" TargetMode="External"/><Relationship Id="rId32" Type="http://schemas.openxmlformats.org/officeDocument/2006/relationships/hyperlink" Target="http://land.creis.fang.com/Detail?sParceliD=e1bcb3d6-d9df-49b8-85cc-42224816d3b9" TargetMode="External"/><Relationship Id="rId37" Type="http://schemas.openxmlformats.org/officeDocument/2006/relationships/hyperlink" Target="http://land.creis.fang.com/Detail?sParceliD=723e5eb4-0ce1-4556-b3de-9e1da5ef406c" TargetMode="External"/><Relationship Id="rId40" Type="http://schemas.openxmlformats.org/officeDocument/2006/relationships/hyperlink" Target="http://land.creis.fang.com/Detail?sParceliD=a957c048-a7a6-42a9-8213-3dedccd61847" TargetMode="External"/><Relationship Id="rId45" Type="http://schemas.openxmlformats.org/officeDocument/2006/relationships/hyperlink" Target="http://land.creis.fang.com/Detail?sParceliD=59c0b847-e1b0-4e60-9385-9473c534f8ca" TargetMode="External"/><Relationship Id="rId53" Type="http://schemas.openxmlformats.org/officeDocument/2006/relationships/hyperlink" Target="http://land.creis.fang.com/Detail?sParceliD=a9127974-a0f8-4284-8e42-d7c5a2b73200" TargetMode="External"/><Relationship Id="rId58" Type="http://schemas.openxmlformats.org/officeDocument/2006/relationships/hyperlink" Target="http://land.creis.fang.com/Detail?sParceliD=d04d1d21-2d58-4671-b7a3-a91d806cfb36" TargetMode="External"/><Relationship Id="rId5" Type="http://schemas.openxmlformats.org/officeDocument/2006/relationships/hyperlink" Target="http://land.creis.fang.com/Detail?sParceliD=cdaac152-fce0-4a63-815e-c3ed7971cceb" TargetMode="External"/><Relationship Id="rId15" Type="http://schemas.openxmlformats.org/officeDocument/2006/relationships/hyperlink" Target="http://land.creis.fang.com/Detail?sParceliD=a3051b24-030d-4a1b-aefc-9b9df53b1969" TargetMode="External"/><Relationship Id="rId23" Type="http://schemas.openxmlformats.org/officeDocument/2006/relationships/hyperlink" Target="http://land.creis.fang.com/Detail?sParceliD=7e055afc-97d4-4c39-b72e-0cd883708524" TargetMode="External"/><Relationship Id="rId28" Type="http://schemas.openxmlformats.org/officeDocument/2006/relationships/hyperlink" Target="http://land.creis.fang.com/Detail?sParceliD=a38ff882-15fe-438a-b090-5e7cee72e2fd" TargetMode="External"/><Relationship Id="rId36" Type="http://schemas.openxmlformats.org/officeDocument/2006/relationships/hyperlink" Target="http://land.creis.fang.com/Detail?sParceliD=627871d3-499f-467c-bf7b-d6d6b7e77ef3" TargetMode="External"/><Relationship Id="rId49" Type="http://schemas.openxmlformats.org/officeDocument/2006/relationships/hyperlink" Target="http://land.creis.fang.com/Detail?sParceliD=7317a196-a78e-44e6-8de4-c8b6a432bb9b" TargetMode="External"/><Relationship Id="rId57" Type="http://schemas.openxmlformats.org/officeDocument/2006/relationships/hyperlink" Target="http://land.creis.fang.com/Detail?sParceliD=417329ae-b35a-4c74-99ed-46adfc9a3f86" TargetMode="External"/><Relationship Id="rId61" Type="http://schemas.openxmlformats.org/officeDocument/2006/relationships/printerSettings" Target="../printerSettings/printerSettings35.bin"/><Relationship Id="rId10" Type="http://schemas.openxmlformats.org/officeDocument/2006/relationships/hyperlink" Target="http://land.creis.fang.com/Detail?sParceliD=321f5981-09e4-48e2-b1b2-14094a755e9e" TargetMode="External"/><Relationship Id="rId19" Type="http://schemas.openxmlformats.org/officeDocument/2006/relationships/hyperlink" Target="http://land.creis.fang.com/Detail?sParceliD=e2b36c66-711e-4567-b636-6ab2488f13c4" TargetMode="External"/><Relationship Id="rId31" Type="http://schemas.openxmlformats.org/officeDocument/2006/relationships/hyperlink" Target="http://land.creis.fang.com/Detail?sParceliD=55891496-3b3c-48f1-94d6-0583fb7bdca1" TargetMode="External"/><Relationship Id="rId44" Type="http://schemas.openxmlformats.org/officeDocument/2006/relationships/hyperlink" Target="http://land.creis.fang.com/Detail?sParceliD=4ff689c9-e6ab-4bcf-b333-215210ec11df" TargetMode="External"/><Relationship Id="rId52" Type="http://schemas.openxmlformats.org/officeDocument/2006/relationships/hyperlink" Target="http://land.creis.fang.com/Detail?sParceliD=723e5eb4-0ce1-4556-b3de-9e1da5ef406c" TargetMode="External"/><Relationship Id="rId60" Type="http://schemas.openxmlformats.org/officeDocument/2006/relationships/hyperlink" Target="http://land.creis.fang.com/Detail?sParceliD=59c0b847-e1b0-4e60-9385-9473c534f8ca" TargetMode="External"/><Relationship Id="rId4" Type="http://schemas.openxmlformats.org/officeDocument/2006/relationships/hyperlink" Target="http://land.creis.fang.com/Detail?sParceliD=e2b36c66-711e-4567-b636-6ab2488f13c4" TargetMode="External"/><Relationship Id="rId9" Type="http://schemas.openxmlformats.org/officeDocument/2006/relationships/hyperlink" Target="http://land.creis.fang.com/Detail?sParceliD=0dc8d68a-0ffa-45bf-9eb1-be927b200d9c" TargetMode="External"/><Relationship Id="rId14" Type="http://schemas.openxmlformats.org/officeDocument/2006/relationships/hyperlink" Target="http://land.creis.fang.com/Detail?sParceliD=309bc277-0974-48d3-b34c-59832941d0e0" TargetMode="External"/><Relationship Id="rId22" Type="http://schemas.openxmlformats.org/officeDocument/2006/relationships/hyperlink" Target="http://land.creis.fang.com/Detail?sParceliD=1bad0957-9ec4-413f-a7e0-2fdba09dcd6d" TargetMode="External"/><Relationship Id="rId27" Type="http://schemas.openxmlformats.org/officeDocument/2006/relationships/hyperlink" Target="http://land.creis.fang.com/Detail?sParceliD=94ab03d0-4475-40eb-8c77-725031e89e67" TargetMode="External"/><Relationship Id="rId30" Type="http://schemas.openxmlformats.org/officeDocument/2006/relationships/hyperlink" Target="http://land.creis.fang.com/Detail?sParceliD=a3051b24-030d-4a1b-aefc-9b9df53b1969" TargetMode="External"/><Relationship Id="rId35" Type="http://schemas.openxmlformats.org/officeDocument/2006/relationships/hyperlink" Target="http://land.creis.fang.com/Detail?sParceliD=de43ff84-c7ca-4952-9506-f843e53d2423" TargetMode="External"/><Relationship Id="rId43" Type="http://schemas.openxmlformats.org/officeDocument/2006/relationships/hyperlink" Target="http://land.creis.fang.com/Detail?sParceliD=d04d1d21-2d58-4671-b7a3-a91d806cfb36" TargetMode="External"/><Relationship Id="rId48" Type="http://schemas.openxmlformats.org/officeDocument/2006/relationships/hyperlink" Target="http://land.creis.fang.com/Detail?sParceliD=4ea38b35-f2bb-4caf-aa4e-b2d13990ab60" TargetMode="External"/><Relationship Id="rId56" Type="http://schemas.openxmlformats.org/officeDocument/2006/relationships/hyperlink" Target="http://land.creis.fang.com/Detail?sParceliD=9410ed3d-ea0a-493e-8870-ba41df7db01f" TargetMode="External"/><Relationship Id="rId8" Type="http://schemas.openxmlformats.org/officeDocument/2006/relationships/hyperlink" Target="http://land.creis.fang.com/Detail?sParceliD=7e055afc-97d4-4c39-b72e-0cd883708524" TargetMode="External"/><Relationship Id="rId51" Type="http://schemas.openxmlformats.org/officeDocument/2006/relationships/hyperlink" Target="http://land.creis.fang.com/Detail?sParceliD=627871d3-499f-467c-bf7b-d6d6b7e77ef3" TargetMode="External"/><Relationship Id="rId3" Type="http://schemas.openxmlformats.org/officeDocument/2006/relationships/hyperlink" Target="http://land.creis.fang.com/Detail?sParceliD=312436eb-75ee-4123-82c9-882748585e3c" TargetMode="External"/><Relationship Id="rId12" Type="http://schemas.openxmlformats.org/officeDocument/2006/relationships/hyperlink" Target="http://land.creis.fang.com/Detail?sParceliD=94ab03d0-4475-40eb-8c77-725031e89e67" TargetMode="External"/><Relationship Id="rId17" Type="http://schemas.openxmlformats.org/officeDocument/2006/relationships/hyperlink" Target="http://land.creis.fang.com/Detail?sParceliD=2f52b958-1dd5-46a2-9235-399436b849ca" TargetMode="External"/><Relationship Id="rId25" Type="http://schemas.openxmlformats.org/officeDocument/2006/relationships/hyperlink" Target="http://land.creis.fang.com/Detail?sParceliD=321f5981-09e4-48e2-b1b2-14094a755e9e" TargetMode="External"/><Relationship Id="rId33" Type="http://schemas.openxmlformats.org/officeDocument/2006/relationships/hyperlink" Target="http://land.creis.fang.com/Detail?sParceliD=4ea38b35-f2bb-4caf-aa4e-b2d13990ab60" TargetMode="External"/><Relationship Id="rId38" Type="http://schemas.openxmlformats.org/officeDocument/2006/relationships/hyperlink" Target="http://land.creis.fang.com/Detail?sParceliD=a9127974-a0f8-4284-8e42-d7c5a2b73200" TargetMode="External"/><Relationship Id="rId46" Type="http://schemas.openxmlformats.org/officeDocument/2006/relationships/hyperlink" Target="http://land.creis.fang.com/Detail?sParceliD=55891496-3b3c-48f1-94d6-0583fb7bdca1" TargetMode="External"/><Relationship Id="rId59" Type="http://schemas.openxmlformats.org/officeDocument/2006/relationships/hyperlink" Target="http://land.creis.fang.com/Detail?sParceliD=4ff689c9-e6ab-4bcf-b333-215210ec11df"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湖北省天门市竟陵办事处东湖村出让国有建设用地使用权抵押价格预评估</v>
      </c>
      <c r="AX2" s="2923"/>
      <c r="AZ2" s="2923"/>
      <c r="BA2" s="2924"/>
      <c r="BC2" s="2924"/>
    </row>
    <row r="3" spans="1:55" s="2925" customFormat="1">
      <c r="A3" s="2904" t="s">
        <v>2667</v>
      </c>
      <c r="B3" s="2907" t="str">
        <f>'预评函-封皮'!B40</f>
        <v>湖北天门汉旺房地产开发有限公司</v>
      </c>
    </row>
    <row r="4" spans="1:55" s="2906" customFormat="1">
      <c r="A4" s="2904" t="s">
        <v>2668</v>
      </c>
      <c r="B4" s="2905" t="str">
        <f>'预评函-封皮'!B46</f>
        <v>梁津、王鹏</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受贵公司委托，我公司对湖北省天门市竟陵办事处东湖村出让国有建设用地使用权抵押价格进行了预评估。</v>
      </c>
      <c r="AM6" s="2929"/>
    </row>
    <row r="7" spans="1:55" s="2903" customFormat="1">
      <c r="A7" s="2904" t="s">
        <v>2663</v>
      </c>
      <c r="B7" s="2905" t="str">
        <f>'预评函-1'!A6</f>
        <v>估价对象为使用的、位于湖北省天门市竟陵办事处东湖村出让国有建设用地使用权。根据《国有土地使用证》[天国用（2013）第5549号]，估价对象（分摊）出让国有建设用地使用权面积为28593.8平方米。根据《国有建设用地使用权出让合同》[合同编号:鄂TM-2013-168]及附件，估价对象规划建筑面积为62906.36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2665</v>
      </c>
      <c r="B10" s="2905" t="str">
        <f>'预评函-1'!A11</f>
        <v>2017年11月22日（评估专业人员勘察现场之日）</v>
      </c>
    </row>
    <row r="11" spans="1:55" s="2903" customFormat="1">
      <c r="A11" s="2904" t="s">
        <v>2671</v>
      </c>
      <c r="B11" s="2905" t="str">
        <f>'预评函-1'!A14</f>
        <v>根据《国有土地使用证》[天国用（2013）第5549号]，本次评估估价对象证载（地类）用途为住宅、商业。</v>
      </c>
    </row>
    <row r="12" spans="1:55" s="2903" customFormat="1">
      <c r="A12" s="2904" t="s">
        <v>2672</v>
      </c>
      <c r="B12" s="2905" t="str">
        <f>'预评函-1'!A15</f>
        <v>本次评估设定用途即为证载用途住宅、商业。</v>
      </c>
    </row>
    <row r="13" spans="1:55" s="2903" customFormat="1">
      <c r="A13" s="2904" t="s">
        <v>2673</v>
      </c>
      <c r="B13" s="2905" t="str">
        <f>'预评函-1'!A17</f>
        <v>根据委托估价方介绍及评估专业人员现场勘查，本次评估估价对象实际土地开发程度为红线外市政基础设施达“七通”（即通路、通电、通讯、通上水、通下水、燃气、）、宗地红线内场地平整。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国有土地使用证》[天国用（2013）第5549号]，估价对象（分摊）出让国有建设用地使用权面积为28593.8平方米。根据《国有建设用地使用权出让合同》[合同编号:鄂TM-2013-168]及附件，估价对象规划建筑面积为62906.36平方米。</v>
      </c>
    </row>
    <row r="16" spans="1:55" s="2903" customFormat="1">
      <c r="A16" s="2904" t="s">
        <v>2675</v>
      </c>
      <c r="B16" s="2905" t="str">
        <f>'预评函-1'!A22</f>
        <v>本次估价对象为出让国有建设用地使用权，《国有土地使用证》[天国用（2013）第5549号]证载土地终止日期为住宅2084年2月28日、商业2054年2月28日。截至估价期日，出让国有建设用地使用权剩余土地使用年限为住宅66.31年、商业36.29年。</v>
      </c>
    </row>
    <row r="17" spans="1:48" s="2903" customFormat="1">
      <c r="A17" s="2904" t="s">
        <v>2676</v>
      </c>
      <c r="B17" s="2905" t="str">
        <f>'预评函-1'!A23</f>
        <v>本次评估设定估价对象剩余土地使用年限为住宅66.31年、商业36.29年。</v>
      </c>
    </row>
    <row r="18" spans="1:48" s="2903" customFormat="1">
      <c r="A18" s="2904" t="s">
        <v>2677</v>
      </c>
      <c r="B18" s="2905"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估价期日：2017年11月22日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t="str">
        <f>'预评函-2'!E5</f>
        <v>住宅、商业</v>
      </c>
      <c r="AV32" s="2909"/>
    </row>
    <row r="33" spans="1:2">
      <c r="A33" s="2904" t="s">
        <v>2719</v>
      </c>
      <c r="B33" s="2905">
        <f>'预评函-2'!F5</f>
        <v>258</v>
      </c>
    </row>
    <row r="34" spans="1:2">
      <c r="A34" s="2904" t="s">
        <v>2720</v>
      </c>
      <c r="B34" s="2905" t="str">
        <f>'预评函-2'!G5</f>
        <v>住宅、商业</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红线外七通、宗地红线内场地平整</v>
      </c>
    </row>
    <row r="39" spans="1:2">
      <c r="A39" s="2904" t="s">
        <v>2725</v>
      </c>
      <c r="B39" s="2905" t="str">
        <f>'预评函-2'!L5</f>
        <v>红线外七通、宗地红线内场地平整</v>
      </c>
    </row>
    <row r="40" spans="1:2">
      <c r="A40" s="2904" t="s">
        <v>2744</v>
      </c>
      <c r="B40" s="2905" t="str">
        <f>'预评函-2'!M3</f>
        <v>（剩余）土地使用年限/年</v>
      </c>
    </row>
    <row r="41" spans="1:2">
      <c r="A41" s="2904" t="s">
        <v>2726</v>
      </c>
      <c r="B41" s="2905" t="str">
        <f>'预评函-2'!M5</f>
        <v>住宅66.31年、商业36.29年</v>
      </c>
    </row>
    <row r="42" spans="1:2">
      <c r="A42" s="2904" t="s">
        <v>2745</v>
      </c>
      <c r="B42" s="2905" t="str">
        <f>'预评函-2'!N3</f>
        <v>（分摊）出让国有建设用地使用权面积/㎡</v>
      </c>
    </row>
    <row r="43" spans="1:2">
      <c r="A43" s="2904" t="s">
        <v>2727</v>
      </c>
      <c r="B43" s="2905">
        <f>'预评函-2'!N5</f>
        <v>28593.8</v>
      </c>
    </row>
    <row r="44" spans="1:2">
      <c r="A44" s="2904" t="s">
        <v>2746</v>
      </c>
      <c r="B44" s="2905" t="str">
        <f>'预评函-2'!O3</f>
        <v>规划建筑面积/㎡</v>
      </c>
    </row>
    <row r="45" spans="1:2">
      <c r="A45" s="2904" t="s">
        <v>2728</v>
      </c>
      <c r="B45" s="2905">
        <f>'预评函-2'!O5</f>
        <v>62906.36</v>
      </c>
    </row>
    <row r="46" spans="1:2">
      <c r="A46" s="2904" t="s">
        <v>2729</v>
      </c>
      <c r="B46" s="2905">
        <f ca="1">'预评函-2'!P5</f>
        <v>2762</v>
      </c>
    </row>
    <row r="47" spans="1:2">
      <c r="A47" s="2904" t="s">
        <v>2730</v>
      </c>
      <c r="B47" s="2905">
        <f ca="1">'预评函-2'!Q5</f>
        <v>1256</v>
      </c>
    </row>
    <row r="48" spans="1:2">
      <c r="A48" s="2904" t="s">
        <v>2731</v>
      </c>
      <c r="B48" s="2905">
        <f ca="1">'预评函-2'!R5</f>
        <v>7899</v>
      </c>
    </row>
    <row r="49" spans="1:2">
      <c r="A49" s="2904" t="s">
        <v>2747</v>
      </c>
      <c r="B49" s="2905" t="str">
        <f>'预评函-2'!A6</f>
        <v>抵押价格</v>
      </c>
    </row>
    <row r="50" spans="1:2">
      <c r="A50" s="2904" t="s">
        <v>2732</v>
      </c>
      <c r="B50" s="2905">
        <f ca="1">'预评函-2'!R6</f>
        <v>7899</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2.基础设施条件：估价对象实际开发程度为红线外七通、宗地红线内场地平整；本次评估设定开发程度为红线外七通、宗地红线内场地平整。</v>
      </c>
    </row>
    <row r="57" spans="1:2">
      <c r="A57" s="2904" t="s">
        <v>2686</v>
      </c>
      <c r="B57" s="2905" t="str">
        <f>'预评函-3'!A4</f>
        <v>3.估价规划限制条件：详见《国有建设用地使用权出让合同》[合同编号:鄂TM-2013-168]及附件。</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（1）根据估价对象《国有土地使用权》复印件，截至估价期日，估价对象抵押权未见登记。</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梁津</v>
      </c>
    </row>
    <row r="70" spans="1:2">
      <c r="A70" s="2904" t="s">
        <v>2696</v>
      </c>
      <c r="B70" s="2911">
        <f ca="1">'预评函-3'!B20</f>
        <v>96010014</v>
      </c>
    </row>
    <row r="71" spans="1:2">
      <c r="A71" s="2904" t="s">
        <v>2697</v>
      </c>
      <c r="B71" s="2905" t="str">
        <f>'预评函-3'!A21</f>
        <v>王鹏</v>
      </c>
    </row>
    <row r="72" spans="1:2" s="2919" customFormat="1" ht="15" thickBot="1">
      <c r="A72" s="2926" t="s">
        <v>2697</v>
      </c>
      <c r="B72" s="2932">
        <f ca="1">'预评函-3'!B21</f>
        <v>2002110030</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4" zoomScale="90" zoomScaleSheetLayoutView="90" workbookViewId="0">
      <selection activeCell="H27" sqref="H27"/>
    </sheetView>
  </sheetViews>
  <sheetFormatPr defaultColWidth="10" defaultRowHeight="14.25"/>
  <cols>
    <col min="1" max="1" width="15.375" style="1691" customWidth="1"/>
    <col min="2" max="2" width="11.375" style="1691" customWidth="1"/>
    <col min="3" max="3" width="12.625" style="1691" customWidth="1"/>
    <col min="4"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0" t="str">
        <f>IF(B10="北京市","北京市",C10)&amp;F10&amp;B16&amp;"国有建设用地使用权"&amp;B9&amp;"预评估"</f>
        <v>湖北省天门市竟陵办事处东湖村出让国有建设用地使用权抵押价格预评估</v>
      </c>
      <c r="C1" s="3231"/>
      <c r="D1" s="3231"/>
      <c r="E1" s="3231"/>
      <c r="F1" s="3231"/>
      <c r="G1" s="3231"/>
      <c r="H1" s="3231"/>
      <c r="I1" s="3232"/>
      <c r="J1" s="1694"/>
      <c r="K1" s="2479" t="str">
        <f>IF(B10="北京市","北京市",C10)&amp;F10&amp;B16&amp;"国有建设用地使用权"&amp;B9</f>
        <v>湖北省天门市竟陵办事处东湖村出让国有建设用地使用权抵押价格</v>
      </c>
      <c r="L1" s="1722"/>
      <c r="M1" s="1722"/>
      <c r="N1" s="1694"/>
      <c r="O1" s="1695"/>
      <c r="P1" s="1694"/>
      <c r="Q1" s="1694"/>
      <c r="R1" s="1694"/>
      <c r="S1" s="1694"/>
      <c r="T1" s="1694"/>
      <c r="U1" s="1694"/>
    </row>
    <row r="2" spans="1:21">
      <c r="A2" s="1660" t="s">
        <v>1942</v>
      </c>
      <c r="B2" s="1841"/>
      <c r="D2" s="1694"/>
      <c r="E2" s="1694"/>
      <c r="F2" s="1694"/>
      <c r="G2" s="1694"/>
      <c r="H2" s="1660"/>
      <c r="I2" s="1695"/>
      <c r="J2" s="1694"/>
      <c r="K2" s="2479" t="str">
        <f>IF(B10="北京市","北京市",C10)&amp;F10&amp;B16&amp;"国有建设用地使用权"</f>
        <v>湖北省天门市竟陵办事处东湖村出让国有建设用地使用权</v>
      </c>
      <c r="L2" s="1722"/>
      <c r="M2" s="1722"/>
      <c r="N2" s="1694"/>
      <c r="O2" s="1695"/>
      <c r="P2" s="1694"/>
      <c r="Q2" s="1694"/>
      <c r="R2" s="1694"/>
      <c r="S2" s="1694"/>
      <c r="T2" s="1694"/>
      <c r="U2" s="1694"/>
    </row>
    <row r="3" spans="1:21">
      <c r="A3" s="1661" t="s">
        <v>1943</v>
      </c>
      <c r="B3" s="1662">
        <v>43061</v>
      </c>
      <c r="C3" s="1663" t="s">
        <v>1998</v>
      </c>
      <c r="D3" s="1662">
        <v>43061</v>
      </c>
      <c r="E3" s="1694"/>
      <c r="F3" s="1694"/>
      <c r="G3" s="1694"/>
      <c r="H3" s="1660"/>
      <c r="I3" s="1695"/>
      <c r="J3" s="1694"/>
      <c r="K3" s="1773"/>
      <c r="L3" s="1722"/>
      <c r="M3" s="1722"/>
      <c r="N3" s="1694"/>
      <c r="O3" s="1695"/>
      <c r="P3" s="1694"/>
      <c r="Q3" s="1694"/>
      <c r="R3" s="1694"/>
      <c r="S3" s="1694"/>
      <c r="T3" s="1694"/>
      <c r="U3" s="1694"/>
    </row>
    <row r="4" spans="1:21" ht="15" thickBot="1">
      <c r="A4" s="1664" t="s">
        <v>1944</v>
      </c>
      <c r="B4" s="1842" t="s">
        <v>2976</v>
      </c>
      <c r="C4" s="1845">
        <f ca="1">SUMIF(土地估价师,B4,估价师及机构信息!E3:E24)</f>
        <v>96010014</v>
      </c>
      <c r="D4" s="1842" t="s">
        <v>2977</v>
      </c>
      <c r="E4" s="1845">
        <f ca="1">SUMIF(土地估价师,D4,估价师及机构信息!E3:E24)</f>
        <v>2002110030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1945</v>
      </c>
      <c r="B5" s="1788" t="s">
        <v>2978</v>
      </c>
      <c r="C5" s="1666"/>
      <c r="D5" s="1667"/>
      <c r="E5" s="1694"/>
      <c r="F5" s="1694"/>
      <c r="G5" s="1694"/>
      <c r="H5" s="1660"/>
      <c r="I5" s="1695"/>
      <c r="J5" s="1694"/>
      <c r="K5" s="1773"/>
      <c r="L5" s="1722"/>
      <c r="M5" s="1722"/>
      <c r="N5" s="1694"/>
      <c r="O5" s="1695"/>
      <c r="P5" s="1694"/>
      <c r="Q5" s="1694"/>
      <c r="R5" s="1694"/>
      <c r="S5" s="1694"/>
      <c r="T5" s="1694"/>
      <c r="U5" s="1694"/>
    </row>
    <row r="6" spans="1:21" ht="26.25">
      <c r="A6" s="1663" t="s">
        <v>2712</v>
      </c>
      <c r="B6" s="1788" t="s">
        <v>2979</v>
      </c>
      <c r="C6" s="1760"/>
      <c r="D6" s="1668"/>
      <c r="E6" s="1694"/>
      <c r="F6" s="1694"/>
      <c r="G6" s="1694"/>
      <c r="H6" s="1660"/>
      <c r="I6" s="1695"/>
      <c r="J6" s="1694"/>
      <c r="K6" s="3082" t="str">
        <f>IF(COUNTIF(B6,"*上海银行*"),"上海银行","")</f>
        <v/>
      </c>
      <c r="L6" s="1722"/>
      <c r="M6" s="1722"/>
      <c r="N6" s="1694"/>
      <c r="O6" s="1695"/>
      <c r="P6" s="1694"/>
      <c r="Q6" s="1694"/>
      <c r="R6" s="1694"/>
      <c r="S6" s="1694"/>
      <c r="T6" s="1694"/>
      <c r="U6" s="1694"/>
    </row>
    <row r="7" spans="1:21">
      <c r="A7" s="1669" t="s">
        <v>2713</v>
      </c>
      <c r="B7" s="1788" t="s">
        <v>2978</v>
      </c>
      <c r="C7" s="1760"/>
      <c r="D7" s="1668"/>
      <c r="E7" s="1694"/>
      <c r="F7" s="1694"/>
      <c r="G7" s="1694"/>
      <c r="H7" s="1660"/>
      <c r="I7" s="1695"/>
      <c r="J7" s="1694"/>
      <c r="K7" s="1773"/>
      <c r="L7" s="1722"/>
      <c r="M7" s="1722"/>
      <c r="N7" s="1694"/>
      <c r="O7" s="1695"/>
      <c r="P7" s="1694"/>
      <c r="Q7" s="1694"/>
      <c r="R7" s="1694"/>
      <c r="S7" s="1694"/>
      <c r="T7" s="1694"/>
      <c r="U7" s="1694"/>
    </row>
    <row r="8" spans="1:21">
      <c r="A8" s="1669" t="s">
        <v>1946</v>
      </c>
      <c r="B8" s="1670" t="s">
        <v>2980</v>
      </c>
      <c r="C8" s="1671"/>
      <c r="D8" s="3236" t="s">
        <v>1948</v>
      </c>
      <c r="E8" s="1843" t="s">
        <v>2981</v>
      </c>
      <c r="F8" s="1672"/>
      <c r="G8" s="1660"/>
      <c r="H8" s="1660"/>
      <c r="I8" s="1707"/>
      <c r="J8" s="1694"/>
      <c r="K8" s="1773"/>
      <c r="L8" s="1722"/>
      <c r="M8" s="1722"/>
      <c r="N8" s="1694"/>
      <c r="O8" s="1695"/>
      <c r="P8" s="1694"/>
      <c r="Q8" s="1694"/>
      <c r="R8" s="1694"/>
      <c r="S8" s="1694"/>
      <c r="T8" s="1694"/>
      <c r="U8" s="1694"/>
    </row>
    <row r="9" spans="1:21" ht="15" thickBot="1">
      <c r="A9" s="1673" t="s">
        <v>1947</v>
      </c>
      <c r="B9" s="1674" t="s">
        <v>2981</v>
      </c>
      <c r="C9" s="1675"/>
      <c r="D9" s="3237"/>
      <c r="E9" s="1674"/>
      <c r="F9" s="1746"/>
      <c r="G9" s="1741"/>
      <c r="H9" s="1741"/>
      <c r="I9" s="1742"/>
      <c r="J9" s="1694"/>
      <c r="K9" s="1773"/>
      <c r="L9" s="1722"/>
      <c r="M9" s="1722"/>
      <c r="N9" s="1694"/>
      <c r="O9" s="1695"/>
      <c r="P9" s="1694"/>
      <c r="Q9" s="1694"/>
      <c r="R9" s="1694"/>
      <c r="S9" s="1694"/>
      <c r="T9" s="1694"/>
      <c r="U9" s="1694"/>
    </row>
    <row r="10" spans="1:21" ht="15" thickTop="1">
      <c r="A10" s="1743" t="s">
        <v>2001</v>
      </c>
      <c r="B10" s="3166" t="s">
        <v>2982</v>
      </c>
      <c r="C10" s="1676" t="s">
        <v>2983</v>
      </c>
      <c r="D10" s="1667"/>
      <c r="E10" s="1677" t="s">
        <v>1950</v>
      </c>
      <c r="F10" s="1678" t="s">
        <v>3094</v>
      </c>
      <c r="G10" s="1744"/>
      <c r="H10" s="1745"/>
      <c r="I10" s="1667"/>
      <c r="J10" s="1694"/>
      <c r="K10" s="1773"/>
      <c r="L10" s="1722"/>
      <c r="M10" s="1722"/>
      <c r="N10" s="1694"/>
      <c r="O10" s="1695"/>
      <c r="P10" s="1694"/>
      <c r="Q10" s="1694"/>
      <c r="R10" s="1694"/>
      <c r="S10" s="1694"/>
      <c r="T10" s="1694"/>
      <c r="U10" s="1694"/>
    </row>
    <row r="11" spans="1:21">
      <c r="A11" s="1697" t="s">
        <v>2002</v>
      </c>
      <c r="B11" s="1698" t="s">
        <v>2984</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2060</v>
      </c>
      <c r="B12" s="3233" t="s">
        <v>2985</v>
      </c>
      <c r="C12" s="3234"/>
      <c r="D12" s="3235"/>
      <c r="E12" s="1699" t="s">
        <v>2063</v>
      </c>
      <c r="F12" s="3251" t="s">
        <v>3095</v>
      </c>
      <c r="G12" s="3252"/>
      <c r="H12" s="3252"/>
      <c r="I12" s="3253"/>
      <c r="J12" s="1694"/>
      <c r="K12" s="1773"/>
      <c r="L12" s="1722"/>
      <c r="M12" s="1722"/>
      <c r="N12" s="1694"/>
      <c r="O12" s="1695"/>
      <c r="P12" s="1694"/>
      <c r="Q12" s="1694"/>
      <c r="R12" s="1694"/>
      <c r="S12" s="1694"/>
      <c r="T12" s="1694"/>
      <c r="U12" s="1694"/>
    </row>
    <row r="13" spans="1:21">
      <c r="A13" s="1687" t="s">
        <v>2061</v>
      </c>
      <c r="B13" s="3233" t="s">
        <v>2985</v>
      </c>
      <c r="C13" s="3234"/>
      <c r="D13" s="3235"/>
      <c r="E13" s="1699" t="s">
        <v>2063</v>
      </c>
      <c r="F13" s="3251" t="s">
        <v>3096</v>
      </c>
      <c r="G13" s="3252"/>
      <c r="H13" s="3252"/>
      <c r="I13" s="3253"/>
      <c r="J13" s="1694"/>
      <c r="K13" s="1773"/>
      <c r="L13" s="1722"/>
      <c r="M13" s="1722"/>
      <c r="N13" s="1694"/>
      <c r="O13" s="1695"/>
      <c r="P13" s="1694"/>
      <c r="Q13" s="1694"/>
      <c r="R13" s="1694"/>
      <c r="S13" s="1694"/>
      <c r="T13" s="1694"/>
      <c r="U13" s="1694"/>
    </row>
    <row r="14" spans="1:21">
      <c r="A14" s="1661" t="s">
        <v>2064</v>
      </c>
      <c r="B14" s="1699"/>
      <c r="C14" s="1844" t="s">
        <v>2986</v>
      </c>
      <c r="D14" s="1732" t="str">
        <f>IF(C14="不一致","是否符合证载地类范围","")</f>
        <v/>
      </c>
      <c r="E14" s="1699"/>
      <c r="F14" s="1789" t="s">
        <v>2987</v>
      </c>
      <c r="G14" s="1727"/>
      <c r="H14" s="1727"/>
      <c r="I14" s="1836"/>
      <c r="J14" s="1694"/>
      <c r="K14" s="1773"/>
      <c r="L14" s="1722"/>
      <c r="M14" s="1722"/>
      <c r="N14" s="1694"/>
      <c r="O14" s="1695"/>
      <c r="P14" s="1694"/>
      <c r="Q14" s="1694"/>
      <c r="R14" s="1694"/>
      <c r="S14" s="1694"/>
      <c r="T14" s="1694"/>
      <c r="U14" s="1694"/>
    </row>
    <row r="15" spans="1:21" hidden="1">
      <c r="A15" s="2670"/>
      <c r="B15" s="1663"/>
      <c r="C15" s="1663"/>
      <c r="D15" s="1765" t="s">
        <v>1953</v>
      </c>
      <c r="E15" s="1765" t="s">
        <v>1954</v>
      </c>
      <c r="F15" s="1765" t="s">
        <v>1955</v>
      </c>
      <c r="G15" s="1686" t="s">
        <v>1956</v>
      </c>
      <c r="H15" s="1686" t="s">
        <v>1957</v>
      </c>
      <c r="I15" s="1686" t="s">
        <v>1958</v>
      </c>
      <c r="J15" s="1694"/>
      <c r="K15" s="1773"/>
      <c r="L15" s="1722"/>
      <c r="M15" s="1722"/>
      <c r="N15" s="1694"/>
      <c r="O15" s="1695"/>
      <c r="P15" s="1694"/>
      <c r="Q15" s="1694"/>
      <c r="R15" s="1694"/>
      <c r="S15" s="1694"/>
      <c r="T15" s="1694"/>
      <c r="U15" s="1694"/>
    </row>
    <row r="16" spans="1:21" ht="28.5">
      <c r="A16" s="1680" t="s">
        <v>1951</v>
      </c>
      <c r="B16" s="1681" t="s">
        <v>2989</v>
      </c>
      <c r="C16" s="1699" t="s">
        <v>1952</v>
      </c>
      <c r="D16" s="2671" t="s">
        <v>1953</v>
      </c>
      <c r="E16" s="1721" t="s">
        <v>2988</v>
      </c>
      <c r="F16" s="1721"/>
      <c r="G16" s="1721"/>
      <c r="H16" s="1721"/>
      <c r="I16" s="1686" t="s">
        <v>1958</v>
      </c>
      <c r="J16" s="1694"/>
      <c r="K16" s="2480" t="str">
        <f>IF(D17="","",D16&amp;TEXT(D17,"yyyy年m月d日;;"))</f>
        <v>住宅2084年2月28日</v>
      </c>
      <c r="L16" s="1699" t="str">
        <f>IF(OR(K16="",M16=""),"","、")</f>
        <v>、</v>
      </c>
      <c r="M16" s="2480" t="str">
        <f>IF(E17="","",E16&amp;TEXT(E17,"yyyy年m月d日;;"))</f>
        <v>商业2054年2月28日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1959</v>
      </c>
      <c r="D17" s="1700">
        <v>67265</v>
      </c>
      <c r="E17" s="1700">
        <v>56308</v>
      </c>
      <c r="F17" s="1700"/>
      <c r="G17" s="1700"/>
      <c r="H17" s="1700"/>
      <c r="I17" s="1700"/>
      <c r="J17" s="1694"/>
      <c r="K17" s="2479" t="str">
        <f>CONCATENATE(K16,L16,M16,N16,O16,P16,Q16,R16,S16,T16,,U16)</f>
        <v>住宅2084年2月28日、商业2054年2月28日</v>
      </c>
      <c r="L17" s="1722"/>
      <c r="M17" s="1722"/>
      <c r="N17" s="1694"/>
      <c r="O17" s="1695"/>
      <c r="P17" s="1694"/>
      <c r="Q17" s="1694"/>
      <c r="R17" s="1694"/>
      <c r="S17" s="1694"/>
      <c r="T17" s="1694"/>
      <c r="U17" s="1694"/>
    </row>
    <row r="18" spans="1:21">
      <c r="A18" s="1762"/>
      <c r="B18" s="1682"/>
      <c r="C18" s="1683" t="s">
        <v>1960</v>
      </c>
      <c r="D18" s="1684">
        <v>70</v>
      </c>
      <c r="E18" s="1684">
        <v>40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1961</v>
      </c>
      <c r="D19" s="1757">
        <f>IF(B16="出让",IF(D17="","",ROUNDDOWN(MIN((D17-$D$3)/365,D18),2)),D18)</f>
        <v>66.31</v>
      </c>
      <c r="E19" s="1685">
        <f>IF(B16="出让",IF(E17="","",ROUNDDOWN(MIN((E17-$D$3)/365,E18),2)),E18)</f>
        <v>36.29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2062</v>
      </c>
      <c r="D20" s="3248" t="s">
        <v>2990</v>
      </c>
      <c r="E20" s="3249"/>
      <c r="F20" s="3249"/>
      <c r="G20" s="3249"/>
      <c r="H20" s="3249"/>
      <c r="I20" s="3250"/>
      <c r="J20" s="1694"/>
      <c r="K20" s="1773"/>
      <c r="L20" s="1722"/>
      <c r="M20" s="1722"/>
      <c r="N20" s="1694"/>
      <c r="O20" s="1695"/>
      <c r="P20" s="1694"/>
      <c r="Q20" s="1694"/>
      <c r="R20" s="1694"/>
      <c r="S20" s="1694"/>
      <c r="T20" s="1694"/>
      <c r="U20" s="1694"/>
    </row>
    <row r="21" spans="1:21">
      <c r="A21" s="1762" t="s">
        <v>1962</v>
      </c>
      <c r="B21" s="1763" t="s">
        <v>1963</v>
      </c>
      <c r="C21" s="1758">
        <f>'数据-汇总表'!E3</f>
        <v>62906.36</v>
      </c>
      <c r="D21" s="1759" t="s">
        <v>1964</v>
      </c>
      <c r="E21" s="3238" t="s">
        <v>3097</v>
      </c>
      <c r="F21" s="3239"/>
      <c r="G21" s="3239"/>
      <c r="H21" s="3239"/>
      <c r="I21" s="3240"/>
      <c r="J21" s="1694"/>
      <c r="K21" s="1773"/>
      <c r="L21" s="1722"/>
      <c r="M21" s="1722"/>
      <c r="N21" s="1694"/>
      <c r="O21" s="1695"/>
      <c r="P21" s="1694"/>
      <c r="Q21" s="1694"/>
      <c r="R21" s="1694"/>
      <c r="S21" s="1694"/>
      <c r="T21" s="1694"/>
      <c r="U21" s="1694"/>
    </row>
    <row r="22" spans="1:21">
      <c r="A22" s="2662" t="s">
        <v>953</v>
      </c>
      <c r="B22" s="1661" t="s">
        <v>1965</v>
      </c>
      <c r="C22" s="1686">
        <f>'数据-汇总表'!D3</f>
        <v>28593.8</v>
      </c>
      <c r="D22" s="1687" t="s">
        <v>1964</v>
      </c>
      <c r="E22" s="3238" t="s">
        <v>3098</v>
      </c>
      <c r="F22" s="3239"/>
      <c r="G22" s="3239"/>
      <c r="H22" s="3239"/>
      <c r="I22" s="3240"/>
      <c r="J22" s="1694"/>
      <c r="K22" s="1773"/>
      <c r="L22" s="1722"/>
      <c r="M22" s="1722"/>
      <c r="N22" s="1694"/>
      <c r="O22" s="1695"/>
      <c r="P22" s="1694"/>
      <c r="Q22" s="1694"/>
      <c r="R22" s="1694"/>
      <c r="S22" s="1694"/>
      <c r="T22" s="1694"/>
      <c r="U22" s="1694"/>
    </row>
    <row r="23" spans="1:21" ht="43.5" thickBot="1">
      <c r="A23" s="1764" t="s">
        <v>1966</v>
      </c>
      <c r="B23" s="1701" t="s">
        <v>1967</v>
      </c>
      <c r="C23" s="1702" t="s">
        <v>2991</v>
      </c>
      <c r="D23" s="1703" t="s">
        <v>1968</v>
      </c>
      <c r="E23" s="1704" t="s">
        <v>953</v>
      </c>
      <c r="F23" s="1705" t="str">
        <f>IF(AND(C23="是",E23="否"),"是否提供他项权证或相关说明","")</f>
        <v/>
      </c>
      <c r="G23" s="1706" t="s">
        <v>953</v>
      </c>
      <c r="H23" s="1694"/>
      <c r="I23" s="1707"/>
      <c r="J23" s="1694"/>
      <c r="K23" s="1773"/>
      <c r="L23" s="1722"/>
      <c r="M23" s="1722"/>
      <c r="N23" s="1694"/>
      <c r="O23" s="1695"/>
      <c r="P23" s="1694"/>
      <c r="Q23" s="1694"/>
      <c r="R23" s="1694"/>
      <c r="S23" s="1694"/>
      <c r="T23" s="1694"/>
      <c r="U23" s="1694"/>
    </row>
    <row r="24" spans="1:21">
      <c r="A24" s="1749" t="s">
        <v>1969</v>
      </c>
      <c r="B24" s="3241" t="s">
        <v>1970</v>
      </c>
      <c r="C24" s="3242"/>
      <c r="D24" s="3243" t="s">
        <v>1971</v>
      </c>
      <c r="E24" s="3244"/>
      <c r="F24" s="1708" t="s">
        <v>1972</v>
      </c>
      <c r="G24" s="1694"/>
      <c r="H24" s="1694"/>
      <c r="I24" s="1707"/>
      <c r="J24" s="1694"/>
      <c r="K24" s="3229" t="s">
        <v>1973</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4"/>
      <c r="O24" s="1695"/>
      <c r="P24" s="1694"/>
      <c r="Q24" s="1694"/>
      <c r="R24" s="1694"/>
      <c r="S24" s="1694"/>
      <c r="T24" s="1694"/>
      <c r="U24" s="1694"/>
    </row>
    <row r="25" spans="1:21" ht="28.5">
      <c r="A25" s="1750"/>
      <c r="B25" s="1747" t="s">
        <v>1974</v>
      </c>
      <c r="C25" s="1709" t="s">
        <v>2327</v>
      </c>
      <c r="D25" s="1710"/>
      <c r="E25" s="1711" t="s">
        <v>953</v>
      </c>
      <c r="F25" s="1712"/>
      <c r="G25" s="1694"/>
      <c r="H25" s="1694"/>
      <c r="I25" s="1707"/>
      <c r="J25" s="1694"/>
      <c r="K25" s="322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4"/>
      <c r="O25" s="1695"/>
      <c r="P25" s="1694"/>
      <c r="Q25" s="1694"/>
      <c r="R25" s="1694"/>
      <c r="S25" s="1694"/>
      <c r="T25" s="1694"/>
      <c r="U25" s="1694"/>
    </row>
    <row r="26" spans="1:21" ht="15" thickBot="1">
      <c r="A26" s="1751"/>
      <c r="B26" s="1748" t="s">
        <v>953</v>
      </c>
      <c r="C26" s="1709" t="s">
        <v>953</v>
      </c>
      <c r="D26" s="1660"/>
      <c r="E26" s="1660"/>
      <c r="F26" s="1688"/>
      <c r="G26" s="1694"/>
      <c r="H26" s="1694"/>
      <c r="I26" s="1707"/>
      <c r="J26" s="1694"/>
      <c r="K26" s="322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1975</v>
      </c>
      <c r="B27" s="1752" t="s">
        <v>1976</v>
      </c>
      <c r="C27" s="1713"/>
      <c r="D27" s="2676" t="s">
        <v>1976</v>
      </c>
      <c r="E27" s="1714"/>
      <c r="F27" s="1688"/>
      <c r="G27" s="1694"/>
      <c r="H27" s="1694"/>
      <c r="I27" s="1707"/>
      <c r="J27" s="1694"/>
      <c r="K27" s="1773"/>
      <c r="L27" s="1722"/>
      <c r="M27" s="1722"/>
      <c r="N27" s="1694"/>
      <c r="O27" s="1695"/>
      <c r="P27" s="1694"/>
      <c r="Q27" s="1694"/>
      <c r="R27" s="1694"/>
      <c r="S27" s="1694"/>
      <c r="T27" s="1694"/>
      <c r="U27" s="1694"/>
    </row>
    <row r="28" spans="1:21">
      <c r="A28" s="1755"/>
      <c r="B28" s="1752" t="s">
        <v>1977</v>
      </c>
      <c r="C28" s="1715"/>
      <c r="D28" s="2677" t="s">
        <v>1977</v>
      </c>
      <c r="E28" s="1716"/>
      <c r="F28" s="1688"/>
      <c r="G28" s="1694"/>
      <c r="H28" s="1694"/>
      <c r="I28" s="1707"/>
      <c r="J28" s="1694"/>
      <c r="K28" s="1773"/>
      <c r="L28" s="1722"/>
      <c r="M28" s="1722"/>
      <c r="N28" s="1694"/>
      <c r="O28" s="1695"/>
      <c r="P28" s="1694"/>
      <c r="Q28" s="1694"/>
      <c r="R28" s="1694"/>
      <c r="S28" s="1694"/>
      <c r="T28" s="1694"/>
      <c r="U28" s="1694"/>
    </row>
    <row r="29" spans="1:21">
      <c r="A29" s="1755"/>
      <c r="B29" s="1752" t="s">
        <v>1978</v>
      </c>
      <c r="C29" s="1715"/>
      <c r="D29" s="2677" t="s">
        <v>1978</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1979</v>
      </c>
      <c r="C30" s="1717"/>
      <c r="D30" s="2678" t="s">
        <v>1979</v>
      </c>
      <c r="E30" s="1718"/>
      <c r="F30" s="1689"/>
      <c r="G30" s="1741"/>
      <c r="H30" s="1741"/>
      <c r="I30" s="1742"/>
      <c r="J30" s="1694"/>
      <c r="K30" s="1773"/>
      <c r="L30" s="1722"/>
      <c r="M30" s="1722"/>
      <c r="N30" s="1694"/>
      <c r="O30" s="1695"/>
      <c r="P30" s="1694"/>
      <c r="Q30" s="1694"/>
      <c r="R30" s="1694"/>
      <c r="S30" s="1694"/>
      <c r="T30" s="1694"/>
      <c r="U30" s="1694"/>
    </row>
    <row r="31" spans="1:21" ht="15" thickTop="1">
      <c r="A31" s="3215" t="s">
        <v>2003</v>
      </c>
      <c r="B31" s="1763" t="s">
        <v>2004</v>
      </c>
      <c r="C31" s="3254" t="s">
        <v>2992</v>
      </c>
      <c r="D31" s="3255"/>
      <c r="E31" s="1694"/>
      <c r="F31" s="1694"/>
      <c r="G31" s="1694"/>
      <c r="H31" s="1694"/>
      <c r="I31" s="1707"/>
      <c r="J31" s="1694"/>
      <c r="K31" s="2482"/>
      <c r="L31" s="1694"/>
      <c r="M31" s="1694"/>
      <c r="N31" s="1694"/>
      <c r="O31" s="1694"/>
      <c r="P31" s="1694"/>
      <c r="Q31" s="1694"/>
      <c r="R31" s="1694"/>
      <c r="S31" s="1694"/>
      <c r="T31" s="1694"/>
      <c r="U31" s="1694"/>
    </row>
    <row r="32" spans="1:21">
      <c r="A32" s="3215"/>
      <c r="B32" s="1661" t="s">
        <v>2005</v>
      </c>
      <c r="C32" s="3166" t="s">
        <v>2993</v>
      </c>
      <c r="D32" s="1719"/>
      <c r="E32" s="1694"/>
      <c r="F32" s="1694"/>
      <c r="G32" s="1694"/>
      <c r="H32" s="1694"/>
      <c r="I32" s="1707"/>
      <c r="J32" s="1694"/>
      <c r="K32" s="2482"/>
      <c r="L32" s="1694"/>
      <c r="M32" s="1694"/>
      <c r="N32" s="1694"/>
      <c r="O32" s="1694"/>
      <c r="P32" s="1694"/>
      <c r="Q32" s="1694"/>
      <c r="R32" s="1694"/>
      <c r="S32" s="1694"/>
      <c r="T32" s="1694"/>
      <c r="U32" s="1694"/>
    </row>
    <row r="33" spans="1:21">
      <c r="A33" s="3215"/>
      <c r="B33" s="1661" t="s">
        <v>2006</v>
      </c>
      <c r="C33" s="1720" t="s">
        <v>2991</v>
      </c>
      <c r="D33" s="1837"/>
      <c r="E33" s="1694"/>
      <c r="F33" s="1694"/>
      <c r="G33" s="1694"/>
      <c r="H33" s="1694"/>
      <c r="I33" s="1707"/>
      <c r="J33" s="1694"/>
      <c r="K33" s="2482"/>
      <c r="L33" s="1694"/>
      <c r="M33" s="1694"/>
      <c r="N33" s="1694"/>
      <c r="O33" s="1694"/>
      <c r="P33" s="1694"/>
      <c r="Q33" s="1694"/>
      <c r="R33" s="1694"/>
      <c r="S33" s="1694"/>
      <c r="T33" s="1694"/>
      <c r="U33" s="1694"/>
    </row>
    <row r="34" spans="1:21">
      <c r="A34" s="3216"/>
      <c r="B34" s="1661" t="s">
        <v>2007</v>
      </c>
      <c r="C34" s="3217"/>
      <c r="D34" s="3218"/>
      <c r="E34" s="1694"/>
      <c r="F34" s="1694"/>
      <c r="G34" s="1694"/>
      <c r="H34" s="1694"/>
      <c r="I34" s="1707"/>
      <c r="J34" s="1694"/>
      <c r="K34" s="2482"/>
      <c r="L34" s="1694"/>
      <c r="M34" s="1694"/>
      <c r="N34" s="1694"/>
      <c r="O34" s="1694"/>
      <c r="P34" s="1694"/>
      <c r="Q34" s="1694"/>
      <c r="R34" s="1694"/>
      <c r="S34" s="1694"/>
      <c r="T34" s="1694"/>
      <c r="U34" s="1694"/>
    </row>
    <row r="35" spans="1:21">
      <c r="A35" s="3219" t="s">
        <v>848</v>
      </c>
      <c r="B35" s="1721" t="s">
        <v>2994</v>
      </c>
      <c r="C35" s="1775" t="str">
        <f>IF(B35="场地平整","——","具体情况：")</f>
        <v>——</v>
      </c>
      <c r="D35" s="3221"/>
      <c r="E35" s="3222"/>
      <c r="F35" s="3222"/>
      <c r="G35" s="3222"/>
      <c r="H35" s="3222"/>
      <c r="I35" s="3223"/>
      <c r="J35" s="1694"/>
      <c r="K35" s="1774"/>
      <c r="L35" s="1722"/>
      <c r="M35" s="1722"/>
      <c r="N35" s="1694"/>
      <c r="O35" s="1695"/>
      <c r="P35" s="1694"/>
      <c r="Q35" s="1694"/>
      <c r="R35" s="1694"/>
      <c r="S35" s="1694"/>
      <c r="T35" s="1694"/>
      <c r="U35" s="1694"/>
    </row>
    <row r="36" spans="1:21">
      <c r="A36" s="3215"/>
      <c r="B36" s="3224" t="s">
        <v>2056</v>
      </c>
      <c r="C36" s="3225"/>
      <c r="D36" s="1791" t="s">
        <v>2995</v>
      </c>
      <c r="E36" s="3226"/>
      <c r="F36" s="3226"/>
      <c r="G36" s="1687" t="str">
        <f>IF(B35="场地未平整","估价结果处理","")</f>
        <v/>
      </c>
      <c r="H36" s="3227"/>
      <c r="I36" s="3227"/>
      <c r="J36" s="1694"/>
      <c r="K36" s="1774"/>
      <c r="L36" s="1722"/>
      <c r="M36" s="1722"/>
      <c r="N36" s="1694"/>
      <c r="O36" s="1695"/>
      <c r="P36" s="1694"/>
      <c r="Q36" s="1694"/>
      <c r="R36" s="1694"/>
      <c r="S36" s="1694"/>
      <c r="T36" s="1694"/>
      <c r="U36" s="1694"/>
    </row>
    <row r="37" spans="1:21" ht="28.5">
      <c r="A37" s="3215"/>
      <c r="B37" s="3245" t="s">
        <v>849</v>
      </c>
      <c r="C37" s="1723" t="s">
        <v>850</v>
      </c>
      <c r="D37" s="1724">
        <v>41760</v>
      </c>
      <c r="E37" s="1725"/>
      <c r="F37" s="1694"/>
      <c r="G37" s="1694"/>
      <c r="H37" s="1694"/>
      <c r="I37" s="1707"/>
      <c r="J37" s="1694"/>
      <c r="K37" s="1774"/>
      <c r="L37" s="1694"/>
      <c r="M37" s="1694"/>
      <c r="N37" s="1694"/>
      <c r="O37" s="1694"/>
      <c r="P37" s="1694"/>
      <c r="Q37" s="1694"/>
      <c r="R37" s="1694"/>
      <c r="S37" s="1694"/>
      <c r="T37" s="1694"/>
      <c r="U37" s="1694"/>
    </row>
    <row r="38" spans="1:21">
      <c r="A38" s="3215"/>
      <c r="B38" s="3246"/>
      <c r="C38" s="1669" t="s">
        <v>851</v>
      </c>
      <c r="D38" s="1790">
        <f>ROUNDDOWN(MIN(('数据-取费表'!$B$2-D37)/365,D34),1)</f>
        <v>3.5</v>
      </c>
      <c r="E38" s="1726" t="s">
        <v>852</v>
      </c>
      <c r="F38" s="1694"/>
      <c r="G38" s="1694"/>
      <c r="H38" s="1694"/>
      <c r="I38" s="1707"/>
      <c r="J38" s="1694"/>
      <c r="K38" s="1774"/>
      <c r="L38" s="1694"/>
      <c r="M38" s="1694"/>
      <c r="N38" s="1694"/>
      <c r="O38" s="1694"/>
      <c r="P38" s="1694"/>
      <c r="Q38" s="1694"/>
      <c r="R38" s="1694"/>
      <c r="S38" s="1694"/>
      <c r="T38" s="1694"/>
      <c r="U38" s="1694"/>
    </row>
    <row r="39" spans="1:21">
      <c r="A39" s="3216"/>
      <c r="B39" s="3247"/>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1980</v>
      </c>
      <c r="B40" s="1690" t="s">
        <v>2996</v>
      </c>
      <c r="C40" s="1690" t="s">
        <v>2997</v>
      </c>
      <c r="D40" s="1690" t="s">
        <v>2998</v>
      </c>
      <c r="E40" s="1690" t="s">
        <v>2999</v>
      </c>
      <c r="F40" s="1690" t="s">
        <v>3000</v>
      </c>
      <c r="G40" s="1690" t="s">
        <v>3001</v>
      </c>
      <c r="H40" s="1690"/>
      <c r="I40" s="1707"/>
      <c r="J40" s="1694"/>
      <c r="K40" s="1729">
        <f>COUNTIF(B40:H40,"——")</f>
        <v>0</v>
      </c>
      <c r="L40" s="1699" t="s">
        <v>1981</v>
      </c>
      <c r="M40" s="1696" t="s">
        <v>1982</v>
      </c>
      <c r="N40" s="1696" t="s">
        <v>1983</v>
      </c>
      <c r="O40" s="1696" t="s">
        <v>1984</v>
      </c>
      <c r="P40" s="1696" t="s">
        <v>1985</v>
      </c>
      <c r="Q40" s="1696" t="s">
        <v>1986</v>
      </c>
      <c r="R40" s="1696" t="s">
        <v>1987</v>
      </c>
      <c r="S40" s="3228" t="s">
        <v>1988</v>
      </c>
      <c r="T40" s="1730" t="str">
        <f>NUMBERSTRING(7-K40,1)&amp;"通"</f>
        <v>七通</v>
      </c>
      <c r="U40" s="1694"/>
    </row>
    <row r="41" spans="1:21" ht="28.5">
      <c r="A41" s="1663"/>
      <c r="B41" s="3220" t="s">
        <v>1723</v>
      </c>
      <c r="C41" s="3220"/>
      <c r="D41" s="3220"/>
      <c r="E41" s="3220"/>
      <c r="F41" s="1731" t="str">
        <f>C10</f>
        <v>湖北省天门市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28"/>
      <c r="T41" s="1732" t="str">
        <f>IF(T40="一通",L41,IF(T40="二通",M41,IF(T40="三通",N41,IF(T40="四通",O41,IF(T40="五通",P41,IF(T40="六通",Q41,R41))))))</f>
        <v>通路、通电、通讯、通上水、通下水、燃气、</v>
      </c>
      <c r="U41" s="1694"/>
    </row>
    <row r="42" spans="1:21">
      <c r="A42" s="1734"/>
      <c r="B42" s="1765" t="s">
        <v>1899</v>
      </c>
      <c r="C42" s="1765" t="s">
        <v>1900</v>
      </c>
      <c r="D42" s="1765" t="s">
        <v>1901</v>
      </c>
      <c r="E42" s="1699" t="s">
        <v>1902</v>
      </c>
      <c r="F42" s="1735"/>
      <c r="G42" s="1694"/>
      <c r="H42" s="1694"/>
      <c r="I42" s="1707"/>
      <c r="J42" s="1694"/>
      <c r="K42" s="1773"/>
      <c r="L42" s="1722"/>
      <c r="M42" s="1722"/>
      <c r="N42" s="1694"/>
      <c r="O42" s="1695"/>
      <c r="P42" s="1694"/>
      <c r="Q42" s="1694"/>
      <c r="R42" s="1694"/>
      <c r="S42" s="1694"/>
      <c r="T42" s="1694"/>
      <c r="U42" s="1694"/>
    </row>
    <row r="43" spans="1:21">
      <c r="A43" s="1736" t="s">
        <v>1708</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1709</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9" customFormat="1" ht="21" thickBot="1">
      <c r="A45" s="3100" t="s">
        <v>2895</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2008</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1" t="s">
        <v>2018</v>
      </c>
      <c r="K48" s="1765" t="s">
        <v>2019</v>
      </c>
      <c r="L48" s="1765" t="s">
        <v>2020</v>
      </c>
      <c r="M48" s="1765" t="s">
        <v>2021</v>
      </c>
      <c r="N48" s="1686" t="s">
        <v>2022</v>
      </c>
      <c r="O48" s="1686" t="s">
        <v>2023</v>
      </c>
      <c r="P48" s="1686" t="s">
        <v>2024</v>
      </c>
      <c r="Q48" s="1699" t="s">
        <v>2025</v>
      </c>
      <c r="R48" s="1699" t="s">
        <v>2026</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28593.8</v>
      </c>
      <c r="B3" s="22">
        <f>IF(C3="否",G5-AT5,G5)</f>
        <v>62906.36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62906.36</v>
      </c>
      <c r="H5" s="27">
        <f t="shared" ref="H5:AT5" si="0">SUM(H13:H641)</f>
        <v>62906.36</v>
      </c>
      <c r="I5" s="27">
        <f t="shared" si="0"/>
        <v>56615.72</v>
      </c>
      <c r="J5" s="27">
        <f t="shared" si="0"/>
        <v>0</v>
      </c>
      <c r="K5" s="27">
        <f t="shared" si="0"/>
        <v>6290.64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62906.36</v>
      </c>
      <c r="BA5" s="29">
        <f t="shared" si="1"/>
        <v>62906.36</v>
      </c>
      <c r="BB5" s="29">
        <f t="shared" si="1"/>
        <v>56615.72</v>
      </c>
      <c r="BC5" s="29">
        <f t="shared" si="1"/>
        <v>6290.64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28593.8</v>
      </c>
      <c r="F6" s="27" t="s">
        <v>1</v>
      </c>
      <c r="G6" s="27" t="s">
        <v>2</v>
      </c>
      <c r="H6" s="33">
        <f>SUMIF(I$12:AB$12,"总值",I6:AB6)</f>
        <v>28593.8</v>
      </c>
      <c r="I6" s="27">
        <f t="shared" ref="I6:AB6" si="2">ROUND($A$3*I5/$B$3,2)</f>
        <v>25734.42</v>
      </c>
      <c r="J6" s="27">
        <f t="shared" si="2"/>
        <v>0</v>
      </c>
      <c r="K6" s="27">
        <f t="shared" si="2"/>
        <v>2859.38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28593.8</v>
      </c>
      <c r="AZ6" s="27" t="s">
        <v>3</v>
      </c>
      <c r="BA6" s="27">
        <f>ROUND($AY$6*BA5/$AZ$5,2)</f>
        <v>28593.8</v>
      </c>
      <c r="BB6" s="27">
        <f>ROUND($AY$6*BB5/$AZ$5,2)</f>
        <v>25734.42</v>
      </c>
      <c r="BC6" s="27">
        <f t="shared" ref="BC6:BH6" si="4">ROUND($AY$6*BC5/$AZ$5,2)</f>
        <v>2859.38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3002</v>
      </c>
      <c r="J9" s="51"/>
      <c r="K9" s="3045" t="s">
        <v>3002</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2988</v>
      </c>
      <c r="L10" s="51"/>
      <c r="M10" s="3047"/>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3003</v>
      </c>
      <c r="J11" s="71"/>
      <c r="K11" s="3046" t="s">
        <v>3004</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28593.8</v>
      </c>
      <c r="F13" s="81"/>
      <c r="G13" s="82">
        <f t="shared" ref="G13:G20" si="7">H13+AC13+AT13</f>
        <v>62906.36</v>
      </c>
      <c r="H13" s="33">
        <f t="shared" ref="H13:H20" si="8">SUMIF(I$12:AB$12,"总值",I13:AB13)</f>
        <v>62906.36</v>
      </c>
      <c r="I13" s="3044">
        <f>ROUND(A3*2.2*0.9,2)</f>
        <v>56615.72</v>
      </c>
      <c r="J13" s="3044"/>
      <c r="K13" s="3044">
        <f>ROUND(A3*2.2*0.1,2)</f>
        <v>6290.64</v>
      </c>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28593.8</v>
      </c>
      <c r="AZ13" s="27">
        <f t="shared" ref="AZ13:AZ20" si="12">BA13+BL13</f>
        <v>62906.36</v>
      </c>
      <c r="BA13" s="27">
        <f t="shared" ref="BA13:BA20" si="13">SUM(BB13:BK13)</f>
        <v>62906.36</v>
      </c>
      <c r="BB13" s="27">
        <f t="shared" ref="BB13:BB20" si="14">IF($D13="是",I13-J13,0)</f>
        <v>56615.72</v>
      </c>
      <c r="BC13" s="27">
        <f t="shared" ref="BC13:BC20" si="15">IF($D13="是",K13-L13,0)</f>
        <v>6290.64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G24" sqref="G24"/>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7" t="s">
        <v>203</v>
      </c>
      <c r="B2" s="3267"/>
      <c r="C2" s="3267"/>
      <c r="D2" s="1975" t="s">
        <v>204</v>
      </c>
      <c r="E2" s="106" t="s">
        <v>205</v>
      </c>
      <c r="F2" s="1984"/>
      <c r="G2" s="1198"/>
      <c r="H2" s="1199"/>
      <c r="I2" s="1200" t="s">
        <v>858</v>
      </c>
      <c r="J2" s="1984"/>
      <c r="K2" s="1984"/>
      <c r="L2" s="1984"/>
    </row>
    <row r="3" spans="1:16" ht="15.75" thickBot="1">
      <c r="A3" s="3268" t="s">
        <v>206</v>
      </c>
      <c r="B3" s="3268"/>
      <c r="C3" s="3268"/>
      <c r="D3" s="107">
        <f>'数据-基础表'!AY6</f>
        <v>28593.8</v>
      </c>
      <c r="E3" s="107">
        <f>'数据-基础表'!AZ5</f>
        <v>62906.36</v>
      </c>
      <c r="F3" s="1984"/>
      <c r="G3" s="280" t="s">
        <v>859</v>
      </c>
      <c r="H3" s="275" t="s">
        <v>860</v>
      </c>
      <c r="I3" s="1976">
        <f>ROUND('数据-基础表'!B3/'数据-基础表'!A3,2)</f>
        <v>2.2000000000000002</v>
      </c>
      <c r="J3" s="1984"/>
      <c r="K3" s="1984"/>
      <c r="L3" s="1984"/>
    </row>
    <row r="4" spans="1:16" ht="15">
      <c r="A4" s="3269"/>
      <c r="B4" s="3270"/>
      <c r="C4" s="3271"/>
      <c r="D4" s="108" t="s">
        <v>204</v>
      </c>
      <c r="E4" s="109" t="s">
        <v>205</v>
      </c>
      <c r="F4" s="1984"/>
      <c r="G4" s="1201"/>
      <c r="H4" s="275" t="s">
        <v>861</v>
      </c>
      <c r="I4" s="1976">
        <f>ROUND(SUMIF('数据-基础表'!I9:AS9,"地上",'数据-基础表'!I5:AS5)/'数据-基础表'!A3,2)</f>
        <v>2.2000000000000002</v>
      </c>
      <c r="J4" s="1984"/>
      <c r="K4" s="1984"/>
      <c r="L4" s="1984"/>
    </row>
    <row r="5" spans="1:16">
      <c r="A5" s="110" t="s">
        <v>207</v>
      </c>
      <c r="B5" s="3272" t="s">
        <v>230</v>
      </c>
      <c r="C5" s="3272"/>
      <c r="D5" s="111">
        <f>ROUND($D$3*E5/$E$3,2)</f>
        <v>25734.42</v>
      </c>
      <c r="E5" s="112">
        <f>SUMIF('数据-基础表'!$11:$11,"住宅",'数据-基础表'!$5:$5)</f>
        <v>56615.72</v>
      </c>
      <c r="F5" s="1984"/>
      <c r="G5" s="280" t="s">
        <v>862</v>
      </c>
      <c r="H5" s="275" t="s">
        <v>860</v>
      </c>
      <c r="I5" s="1976">
        <f>ROUND(E31/D31,2)</f>
        <v>2.2000000000000002</v>
      </c>
      <c r="J5" s="1984"/>
      <c r="K5" s="1984"/>
      <c r="L5" s="1984"/>
    </row>
    <row r="6" spans="1:16" ht="15" thickBot="1">
      <c r="A6" s="113"/>
      <c r="B6" s="3272" t="s">
        <v>208</v>
      </c>
      <c r="C6" s="3272"/>
      <c r="D6" s="111">
        <f>ROUND($D$3*E6/$E$3,2)</f>
        <v>2859.38</v>
      </c>
      <c r="E6" s="112">
        <f>E3-E5</f>
        <v>6290.6399999999994</v>
      </c>
      <c r="F6" s="1984"/>
      <c r="G6" s="1201"/>
      <c r="H6" s="275" t="s">
        <v>861</v>
      </c>
      <c r="I6" s="1976">
        <f>ROUND(F31/D31,2)</f>
        <v>2.2000000000000002</v>
      </c>
      <c r="J6" s="1984"/>
      <c r="K6" s="1984"/>
      <c r="L6" s="1984"/>
    </row>
    <row r="7" spans="1:16" ht="15">
      <c r="A7" s="3264"/>
      <c r="B7" s="3265"/>
      <c r="C7" s="3266"/>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28593.8</v>
      </c>
      <c r="E8" s="116">
        <f>SUMIF('数据-基础表'!BB10:BK10,"地上",'数据-基础表'!BB5:BK5)</f>
        <v>62906.36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28593.8</v>
      </c>
      <c r="E16" s="120">
        <f>SUM(E8:E15)</f>
        <v>62906.36</v>
      </c>
      <c r="F16" s="1984"/>
      <c r="G16" s="1986"/>
      <c r="H16" s="968" t="s">
        <v>219</v>
      </c>
      <c r="I16" s="969"/>
      <c r="J16" s="1984"/>
      <c r="K16" s="3258" t="s">
        <v>2570</v>
      </c>
      <c r="L16" s="3259"/>
      <c r="M16" s="3259"/>
      <c r="N16" s="3259"/>
      <c r="O16" s="3259"/>
      <c r="P16" s="3260"/>
    </row>
    <row r="17" spans="1:19" ht="15">
      <c r="A17" s="121" t="s">
        <v>216</v>
      </c>
      <c r="B17" s="122" t="s">
        <v>217</v>
      </c>
      <c r="C17" s="2298" t="s">
        <v>2315</v>
      </c>
      <c r="D17" s="108" t="s">
        <v>204</v>
      </c>
      <c r="E17" s="124" t="s">
        <v>205</v>
      </c>
      <c r="F17" s="125"/>
      <c r="G17" s="1366"/>
      <c r="H17" s="970" t="s">
        <v>218</v>
      </c>
      <c r="I17" s="971" t="s">
        <v>2314</v>
      </c>
      <c r="J17" s="1984"/>
      <c r="K17" s="3261" t="s">
        <v>2571</v>
      </c>
      <c r="L17" s="3262"/>
      <c r="M17" s="3263"/>
      <c r="N17" s="3261" t="s">
        <v>2572</v>
      </c>
      <c r="O17" s="3262"/>
      <c r="P17" s="3263"/>
      <c r="R17" s="2299" t="s">
        <v>2313</v>
      </c>
      <c r="S17" s="144"/>
    </row>
    <row r="18" spans="1:19" ht="15">
      <c r="A18" s="117"/>
      <c r="B18" s="128"/>
      <c r="C18" s="129"/>
      <c r="D18" s="2667"/>
      <c r="E18" s="130" t="s">
        <v>220</v>
      </c>
      <c r="F18" s="131" t="s">
        <v>221</v>
      </c>
      <c r="G18" s="1367" t="s">
        <v>222</v>
      </c>
      <c r="H18" s="972" t="s">
        <v>223</v>
      </c>
      <c r="I18" s="973" t="s">
        <v>224</v>
      </c>
      <c r="J18" s="1984"/>
      <c r="K18" s="2629" t="s">
        <v>2573</v>
      </c>
      <c r="L18" s="2630" t="s">
        <v>2574</v>
      </c>
      <c r="M18" s="2631" t="s">
        <v>2575</v>
      </c>
      <c r="N18" s="2629" t="s">
        <v>2573</v>
      </c>
      <c r="O18" s="2630" t="s">
        <v>2574</v>
      </c>
      <c r="P18" s="2631" t="s">
        <v>2575</v>
      </c>
      <c r="R18" s="2300" t="s">
        <v>2311</v>
      </c>
      <c r="S18" s="2300" t="s">
        <v>2312</v>
      </c>
    </row>
    <row r="19" spans="1:19">
      <c r="A19" s="133"/>
      <c r="B19" s="115" t="s">
        <v>225</v>
      </c>
      <c r="C19" s="3051" t="s">
        <v>3005</v>
      </c>
      <c r="D19" s="111">
        <f t="shared" ref="D19:D26" si="1">ROUND($D$3*E19/$E$3,2)</f>
        <v>25734.42</v>
      </c>
      <c r="E19" s="134">
        <f t="shared" ref="E19:E26" si="2">SUM(F19:G19)</f>
        <v>56615.72</v>
      </c>
      <c r="F19" s="135">
        <f>'数据-基础表'!I13</f>
        <v>56615.72</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25734.42</v>
      </c>
      <c r="S19" s="2301">
        <f t="shared" si="5"/>
        <v>56615.72</v>
      </c>
    </row>
    <row r="20" spans="1:19">
      <c r="A20" s="138"/>
      <c r="B20" s="115" t="s">
        <v>226</v>
      </c>
      <c r="C20" s="3051" t="s">
        <v>3006</v>
      </c>
      <c r="D20" s="111">
        <f t="shared" si="1"/>
        <v>2859.38</v>
      </c>
      <c r="E20" s="134">
        <f t="shared" si="2"/>
        <v>6290.64</v>
      </c>
      <c r="F20" s="135">
        <f>'数据-基础表'!K13</f>
        <v>6290.64</v>
      </c>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2859.38</v>
      </c>
      <c r="S20" s="2301">
        <f t="shared" si="5"/>
        <v>6290.64</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28593.8</v>
      </c>
      <c r="E27" s="143">
        <f>IF(SUM(E19:E26)='数据-基础表'!BA5,SUM(E19:E26),IF(F27="地上面积有误","面积有误","地下面积有误"))</f>
        <v>62906.36</v>
      </c>
      <c r="F27" s="134">
        <f>IF(SUM(F19:F26)=E8,SUM(F19:F26),"地上面积有误")</f>
        <v>62906.36</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28593.8</v>
      </c>
      <c r="S27" s="275">
        <f>IF(SUM(S19:S26)=$E$3,SUM(S19:S26),SUM(S19:S26)&amp;"误差"&amp;ROUND(SUM(S19:S26)-E3,2))</f>
        <v>62906.36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2324</v>
      </c>
      <c r="D31" s="1372">
        <f>D27+D30</f>
        <v>28593.8</v>
      </c>
      <c r="E31" s="1372">
        <f>E27+E30</f>
        <v>62906.36</v>
      </c>
      <c r="F31" s="1373">
        <f>F27+F30</f>
        <v>62906.36</v>
      </c>
      <c r="G31" s="1374">
        <f>G27+G30</f>
        <v>0</v>
      </c>
      <c r="H31" s="1984"/>
      <c r="I31" s="1984"/>
      <c r="J31" s="1984"/>
      <c r="K31" s="1984"/>
      <c r="L31" s="1984"/>
    </row>
    <row r="32" spans="1:19">
      <c r="A32" s="1984"/>
      <c r="B32" s="2363" t="s">
        <v>2323</v>
      </c>
      <c r="C32" s="2672"/>
      <c r="D32" s="1201"/>
      <c r="E32" s="1201">
        <f>SUMIF(C19:C26,"*住宅*",E19:E26)</f>
        <v>56615.72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43061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2576</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67265</v>
      </c>
      <c r="F6" s="174">
        <f>SUMIF(项目基本情况!D$15:I$15,C6,项目基本情况!D$19:I$19)</f>
        <v>66.31</v>
      </c>
      <c r="G6" s="175">
        <f>IF(ISERROR(ROUND(POWER(1+H6,D6-F6)*(POWER(1+H6,F6)-1)/(POWER(1+H6,D6)-1),3)),0,ROUND(POWER(1+H6,D6-F6)*(POWER(1+H6,F6)-1)/(POWER(1+H6,D6)-1),3))</f>
        <v>0.98899999999999999</v>
      </c>
      <c r="H6" s="3052">
        <v>0.04</v>
      </c>
      <c r="I6" s="3052">
        <v>4.4999999999999998E-2</v>
      </c>
      <c r="J6" s="176">
        <v>0.08</v>
      </c>
      <c r="K6" s="179">
        <f>SUMIF('数据-汇总表'!C$19:C$33,'数据-取费表'!A6,'数据-汇总表'!E$19:E$33)</f>
        <v>56615.72</v>
      </c>
      <c r="L6" s="3053">
        <v>1600</v>
      </c>
      <c r="M6" s="177">
        <f t="shared" ref="M6:M14" si="0">ROUND(K6*L6/10000,0)</f>
        <v>9059</v>
      </c>
      <c r="N6" s="3054">
        <v>0</v>
      </c>
      <c r="O6" s="177">
        <f>IF($N$5="成新度","——",ROUND(M6*N6,0))</f>
        <v>0</v>
      </c>
      <c r="P6" s="178">
        <f>IF($N$5="成新度","——",M6-O6)</f>
        <v>9059</v>
      </c>
      <c r="Q6" s="3055">
        <v>0.2</v>
      </c>
      <c r="R6" s="179">
        <f>SUMIF('数据-汇总表'!C$19:C$33,A6,'数据-汇总表'!R$19:R$33)</f>
        <v>25734.42</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6"/>
      <c r="AN6" s="2416"/>
      <c r="AO6" s="2000"/>
      <c r="AP6" s="1204">
        <f>ROUND(1-1/(1+H6)^F6,3)</f>
        <v>0.92600000000000005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2988</v>
      </c>
      <c r="D7" s="2308">
        <f>SUMIF(项目基本情况!D$15:I$15,C7,项目基本情况!D$18:I$18)</f>
        <v>40</v>
      </c>
      <c r="E7" s="2309">
        <f>IF(B7="","",SUMIF(项目基本情况!D$15:I$15,C7,项目基本情况!D$17:I$17))</f>
        <v>56308</v>
      </c>
      <c r="F7" s="174">
        <f>SUMIF(项目基本情况!D$15:I$15,C7,项目基本情况!D$19:I$19)</f>
        <v>36.29</v>
      </c>
      <c r="G7" s="175">
        <f t="shared" ref="G7:G11" si="2">IF(ISERROR(ROUND(POWER(1+H7,D7-F7)*(POWER(1+H7,F7)-1)/(POWER(1+H7,D7)-1),3)),0,ROUND(POWER(1+H7,D7-F7)*(POWER(1+H7,F7)-1)/(POWER(1+H7,D7)-1),3))</f>
        <v>0.95899999999999996</v>
      </c>
      <c r="H7" s="3052">
        <v>0.04</v>
      </c>
      <c r="I7" s="3052">
        <v>4.4999999999999998E-2</v>
      </c>
      <c r="J7" s="176">
        <v>0.08</v>
      </c>
      <c r="K7" s="179">
        <f>SUMIF('数据-汇总表'!C$19:C$33,'数据-取费表'!A7,'数据-汇总表'!E$19:E$33)</f>
        <v>6290.64</v>
      </c>
      <c r="L7" s="3053">
        <v>1800</v>
      </c>
      <c r="M7" s="177">
        <f t="shared" si="0"/>
        <v>1132</v>
      </c>
      <c r="N7" s="3054">
        <v>0</v>
      </c>
      <c r="O7" s="177">
        <f t="shared" ref="O7:O14" si="3">IF($N$5="成新度","——",ROUND(M7*N7,0))</f>
        <v>0</v>
      </c>
      <c r="P7" s="178">
        <f t="shared" ref="P7:P14" si="4">IF($N$5="成新度","——",M7-O7)</f>
        <v>1132</v>
      </c>
      <c r="Q7" s="3055">
        <v>0.25</v>
      </c>
      <c r="R7" s="179">
        <f>SUMIF('数据-汇总表'!C$19:C$33,A7,'数据-汇总表'!R$19:R$33)</f>
        <v>2859.38</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0.02</v>
      </c>
      <c r="W7" s="181">
        <v>0.15</v>
      </c>
      <c r="X7" s="2321"/>
      <c r="Y7" s="182">
        <v>1</v>
      </c>
      <c r="Z7" s="183"/>
      <c r="AA7" s="176"/>
      <c r="AB7" s="176"/>
      <c r="AC7" s="2324"/>
      <c r="AD7" s="184"/>
      <c r="AE7" s="972">
        <f t="shared" ref="AE7:AE13" ca="1" si="6">IF(AN7="",0,SUMIF(INDIRECT("'"&amp;AN7&amp;"'"&amp;"!E:E"),$AE$5,INDIRECT("'"&amp;AN7&amp;"'"&amp;"!F:F")))</f>
        <v>34.79</v>
      </c>
      <c r="AF7" s="141"/>
      <c r="AG7" s="1213">
        <f t="shared" ref="AG7:AG13" si="7">IF(AF7="",0,AE7-AF7)</f>
        <v>0</v>
      </c>
      <c r="AH7" s="141"/>
      <c r="AI7" s="187">
        <v>365</v>
      </c>
      <c r="AJ7" s="188"/>
      <c r="AK7" s="189">
        <v>1.4999999999999999E-2</v>
      </c>
      <c r="AL7" s="3169">
        <v>1.5E-3</v>
      </c>
      <c r="AM7" s="3170">
        <v>0.01</v>
      </c>
      <c r="AN7" s="2416" t="s">
        <v>3007</v>
      </c>
      <c r="AO7" s="2000"/>
      <c r="AP7" s="1204">
        <f t="shared" ref="AP7:AP13" si="8">ROUND(1-1/(1+H7)^F7,3)</f>
        <v>0.75900000000000001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62906.36</v>
      </c>
      <c r="L16" s="206">
        <f>ROUND(M16*10000/SUM(K6:K14),0)</f>
        <v>1620</v>
      </c>
      <c r="M16" s="206">
        <f>SUM(M6:M14)</f>
        <v>10191</v>
      </c>
      <c r="N16" s="207">
        <f>ROUND(SUMPRODUCT(M6:M14,N6:N14)/M16,3)</f>
        <v>0</v>
      </c>
      <c r="O16" s="206">
        <f>SUM(O6:O14)</f>
        <v>0</v>
      </c>
      <c r="P16" s="206">
        <f>SUM(P6:P14)</f>
        <v>10191</v>
      </c>
      <c r="Q16" s="208">
        <f>ROUND(SUMPRODUCT(Q6:Q13,K6:K13)/SUMPRODUCT((Q6:Q13&gt;0)*(K6:K13)),2)</f>
        <v>0.21</v>
      </c>
      <c r="R16" s="2311">
        <f>SUM(R6:R13)</f>
        <v>28593.8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0.90900000000000003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30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30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6.3840000000000008E-2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5.6000000000000001E-2</v>
      </c>
      <c r="C42" s="3127">
        <f>IF(B2&lt;DATE(2016,5,1),0,B42)</f>
        <v>5.6000000000000001E-2</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7.8400000000000015E-3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0.04</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1"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2"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2"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c r="C53" s="3103" t="s">
        <v>2907</v>
      </c>
      <c r="D53" s="3104" t="s">
        <v>3046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2908</v>
      </c>
      <c r="B54" s="186"/>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2909</v>
      </c>
      <c r="B55" s="186">
        <v>6</v>
      </c>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2910</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2911</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2912</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2913</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3" t="s">
        <v>1665</v>
      </c>
      <c r="B1" s="3274"/>
      <c r="C1" s="3274"/>
      <c r="D1" s="3274"/>
      <c r="E1" s="3274"/>
      <c r="F1" s="3274"/>
      <c r="G1" s="3274"/>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8" t="s">
        <v>2924</v>
      </c>
      <c r="D3" s="2009"/>
      <c r="E3" s="1229" t="s">
        <v>1668</v>
      </c>
      <c r="F3" s="1230" t="s">
        <v>1656</v>
      </c>
      <c r="G3" s="3112" t="s">
        <v>2923</v>
      </c>
      <c r="H3" s="2008"/>
      <c r="I3" s="2008"/>
      <c r="J3" s="2008"/>
      <c r="K3" s="2008"/>
      <c r="L3" s="2008"/>
      <c r="M3" s="2008"/>
      <c r="N3" s="2008"/>
      <c r="O3" s="2008"/>
      <c r="P3" s="2008"/>
      <c r="Q3" s="2008"/>
      <c r="R3" s="2008"/>
    </row>
    <row r="4" spans="1:18" ht="41.25">
      <c r="A4" s="1229"/>
      <c r="B4" s="1231" t="s">
        <v>1669</v>
      </c>
      <c r="C4" s="3109" t="s">
        <v>2925</v>
      </c>
      <c r="D4" s="2009"/>
      <c r="E4" s="1232"/>
      <c r="F4" s="1233" t="s">
        <v>1670</v>
      </c>
      <c r="G4" s="3110" t="s">
        <v>2920</v>
      </c>
      <c r="H4" s="2008"/>
      <c r="I4" s="2008"/>
      <c r="J4" s="2008"/>
      <c r="K4" s="2008"/>
      <c r="L4" s="2008"/>
      <c r="M4" s="2008"/>
      <c r="N4" s="2008"/>
      <c r="O4" s="2008"/>
      <c r="P4" s="2008"/>
      <c r="Q4" s="2008"/>
      <c r="R4" s="2008"/>
    </row>
    <row r="5" spans="1:18" ht="41.25">
      <c r="A5" s="1229"/>
      <c r="B5" s="1231" t="s">
        <v>1671</v>
      </c>
      <c r="C5" s="3109" t="s">
        <v>2926</v>
      </c>
      <c r="D5" s="2009"/>
      <c r="E5" s="1232"/>
      <c r="F5" s="1231" t="s">
        <v>2550</v>
      </c>
      <c r="G5" s="3110" t="s">
        <v>2921</v>
      </c>
      <c r="H5" s="2008"/>
      <c r="I5" s="2008"/>
      <c r="J5" s="2008"/>
      <c r="K5" s="2008"/>
      <c r="L5" s="2008"/>
      <c r="M5" s="2008"/>
      <c r="N5" s="2008"/>
      <c r="O5" s="2008"/>
      <c r="P5" s="2008"/>
      <c r="Q5" s="2008"/>
      <c r="R5" s="2008"/>
    </row>
    <row r="6" spans="1:18" ht="54">
      <c r="A6" s="1229"/>
      <c r="B6" s="1231" t="s">
        <v>1657</v>
      </c>
      <c r="C6" s="3110" t="s">
        <v>2920</v>
      </c>
      <c r="D6" s="2009"/>
      <c r="E6" s="1232"/>
      <c r="F6" s="1231" t="s">
        <v>2551</v>
      </c>
      <c r="G6" s="3110" t="s">
        <v>2918</v>
      </c>
      <c r="H6" s="2008"/>
      <c r="I6" s="2008"/>
      <c r="J6" s="2008"/>
      <c r="K6" s="2008"/>
      <c r="L6" s="2008"/>
      <c r="M6" s="2008"/>
      <c r="N6" s="2008"/>
      <c r="O6" s="2008"/>
      <c r="P6" s="2008"/>
      <c r="Q6" s="2008"/>
      <c r="R6" s="2008"/>
    </row>
    <row r="7" spans="1:18" ht="41.25" thickBot="1">
      <c r="A7" s="1229"/>
      <c r="B7" s="1231" t="s">
        <v>2550</v>
      </c>
      <c r="C7" s="3110" t="s">
        <v>2921</v>
      </c>
      <c r="D7" s="2010"/>
      <c r="E7" s="1234"/>
      <c r="F7" s="1235" t="s">
        <v>1672</v>
      </c>
      <c r="G7" s="3113" t="s">
        <v>2922</v>
      </c>
      <c r="H7" s="2008"/>
      <c r="I7" s="2008"/>
      <c r="J7" s="2008"/>
      <c r="K7" s="2008"/>
      <c r="L7" s="2008"/>
      <c r="M7" s="2008"/>
      <c r="N7" s="2008"/>
      <c r="O7" s="2008"/>
      <c r="P7" s="2008"/>
      <c r="Q7" s="2008"/>
      <c r="R7" s="2008"/>
    </row>
    <row r="8" spans="1:18" ht="27">
      <c r="A8" s="1229"/>
      <c r="B8" s="1231" t="s">
        <v>2551</v>
      </c>
      <c r="C8" s="3110" t="s">
        <v>2918</v>
      </c>
      <c r="D8" s="2010"/>
      <c r="E8" s="2010"/>
      <c r="F8" s="1554"/>
      <c r="G8" s="1554"/>
      <c r="H8" s="2008"/>
      <c r="I8" s="2008"/>
      <c r="J8" s="2008"/>
      <c r="K8" s="2008"/>
      <c r="L8" s="2008"/>
      <c r="M8" s="2008"/>
      <c r="N8" s="2008"/>
      <c r="O8" s="2008"/>
      <c r="P8" s="2008"/>
      <c r="Q8" s="2008"/>
      <c r="R8" s="2008"/>
    </row>
    <row r="9" spans="1:18" ht="40.5">
      <c r="A9" s="1229"/>
      <c r="B9" s="1231" t="s">
        <v>1658</v>
      </c>
      <c r="C9" s="3109"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1"/>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2550</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2551</v>
      </c>
      <c r="G20" s="1005" t="str">
        <f>G6</f>
        <v>估价对象所在区域基础设施水平</v>
      </c>
    </row>
    <row r="21" spans="1:7" ht="27">
      <c r="A21" s="2613"/>
      <c r="B21" s="1231" t="s">
        <v>2550</v>
      </c>
      <c r="C21" s="1005" t="str">
        <f>C7</f>
        <v>估价对象所在区域公共配套设施齐备情况</v>
      </c>
      <c r="D21" s="2009"/>
      <c r="E21" s="2610"/>
      <c r="F21" s="1247" t="s">
        <v>1663</v>
      </c>
      <c r="G21" s="3114"/>
    </row>
    <row r="22" spans="1:7" ht="27">
      <c r="A22" s="2613"/>
      <c r="B22" s="1231" t="s">
        <v>2551</v>
      </c>
      <c r="C22" s="1005" t="str">
        <f>C8</f>
        <v>估价对象所在区域基础设施水平</v>
      </c>
      <c r="D22" s="2009"/>
      <c r="E22" s="2610"/>
      <c r="F22" s="1247" t="s">
        <v>1673</v>
      </c>
      <c r="G22" s="2820"/>
    </row>
    <row r="23" spans="1:7" ht="15" thickBot="1">
      <c r="A23" s="2613"/>
      <c r="B23" s="1247" t="s">
        <v>1663</v>
      </c>
      <c r="C23" s="3114"/>
      <c r="E23" s="2611"/>
      <c r="F23" s="1248" t="s">
        <v>1677</v>
      </c>
      <c r="G23" s="3115"/>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2850</v>
      </c>
      <c r="B1" s="3072">
        <f>SUM(B14:B23)</f>
        <v>62906.36</v>
      </c>
      <c r="C1" s="3073"/>
      <c r="D1" s="3073"/>
      <c r="E1" s="3073"/>
      <c r="F1" s="3073"/>
    </row>
    <row r="2" spans="1:9" ht="16.5">
      <c r="A2" s="3072" t="s">
        <v>2851</v>
      </c>
      <c r="B2" s="3072">
        <f>SUM(C14:C23)</f>
        <v>28593.8</v>
      </c>
      <c r="C2" s="3073"/>
      <c r="D2" s="3073"/>
      <c r="E2" s="3073"/>
      <c r="F2" s="3073"/>
    </row>
    <row r="3" spans="1:9" ht="16.5">
      <c r="A3" s="3072" t="s">
        <v>2852</v>
      </c>
      <c r="B3" s="3074">
        <f>项目基本情况!D3</f>
        <v>43061</v>
      </c>
      <c r="C3" s="3073"/>
      <c r="D3" s="3073"/>
      <c r="E3" s="3073"/>
      <c r="F3" s="3073"/>
    </row>
    <row r="4" spans="1:9" ht="33">
      <c r="A4" s="3072" t="s">
        <v>2853</v>
      </c>
      <c r="B4" s="3072" t="s">
        <v>2854</v>
      </c>
      <c r="C4" s="3072" t="s">
        <v>2855</v>
      </c>
      <c r="D4" s="3072" t="s">
        <v>2856</v>
      </c>
      <c r="E4" s="3073"/>
      <c r="F4" s="3073"/>
    </row>
    <row r="5" spans="1:9" ht="16.5">
      <c r="A5" s="3072" t="s">
        <v>2857</v>
      </c>
      <c r="B5" s="3072">
        <f ca="1">SUM(D14:D23)</f>
        <v>7899</v>
      </c>
      <c r="C5" s="3072">
        <f ca="1">ROUND(B5*10000/$B$1,0)</f>
        <v>1256</v>
      </c>
      <c r="D5" s="3072">
        <f ca="1">ROUND(B5*10000/$B$2,0)</f>
        <v>2762</v>
      </c>
      <c r="E5" s="3073"/>
      <c r="F5" s="3073"/>
    </row>
    <row r="6" spans="1:9" ht="16.5">
      <c r="A6" s="3072" t="s">
        <v>2858</v>
      </c>
      <c r="B6" s="3072">
        <f ca="1">SUM(G14:G23)</f>
        <v>7899</v>
      </c>
      <c r="C6" s="3072">
        <f t="shared" ref="C6:C8" ca="1" si="0">ROUND(B6*10000/$B$1,0)</f>
        <v>1256</v>
      </c>
      <c r="D6" s="3072">
        <f t="shared" ref="D6:D8" ca="1" si="1">ROUND(B6*10000/$B$2,0)</f>
        <v>2762</v>
      </c>
      <c r="E6" s="3073"/>
      <c r="F6" s="3073"/>
    </row>
    <row r="7" spans="1:9" ht="16.5">
      <c r="A7" s="3072" t="s">
        <v>2859</v>
      </c>
      <c r="B7" s="3072">
        <f>SUM(H14:H23)</f>
        <v>0</v>
      </c>
      <c r="C7" s="3072">
        <f t="shared" si="0"/>
        <v>0</v>
      </c>
      <c r="D7" s="3072">
        <f t="shared" si="1"/>
        <v>0</v>
      </c>
      <c r="E7" s="3073"/>
      <c r="F7" s="3073"/>
    </row>
    <row r="8" spans="1:9" ht="16.5">
      <c r="A8" s="3072" t="s">
        <v>2860</v>
      </c>
      <c r="B8" s="3072">
        <f>SUM(I14:I23)</f>
        <v>0</v>
      </c>
      <c r="C8" s="3072">
        <f t="shared" si="0"/>
        <v>0</v>
      </c>
      <c r="D8" s="3072">
        <f t="shared" si="1"/>
        <v>0</v>
      </c>
      <c r="E8" s="3073"/>
      <c r="F8" s="3073"/>
    </row>
    <row r="9" spans="1:9" ht="16.5">
      <c r="A9" s="3072" t="s">
        <v>2861</v>
      </c>
      <c r="B9" s="3075"/>
      <c r="C9" s="3073"/>
      <c r="D9" s="3073"/>
      <c r="E9" s="3073"/>
      <c r="F9" s="3073"/>
    </row>
    <row r="10" spans="1:9" ht="16.5">
      <c r="A10" s="3072" t="s">
        <v>2862</v>
      </c>
      <c r="B10" s="3075"/>
      <c r="C10" s="3073"/>
      <c r="D10" s="3073"/>
      <c r="E10" s="3073"/>
      <c r="F10" s="3073"/>
    </row>
    <row r="11" spans="1:9" ht="16.5">
      <c r="A11" s="3072" t="s">
        <v>2879</v>
      </c>
      <c r="B11" s="3075"/>
      <c r="C11" s="3073"/>
      <c r="D11" s="3073"/>
      <c r="E11" s="3073"/>
      <c r="F11" s="3073"/>
    </row>
    <row r="12" spans="1:9" ht="16.5">
      <c r="A12" s="3073"/>
      <c r="B12" s="3073"/>
      <c r="C12" s="3073"/>
      <c r="D12" s="3073"/>
      <c r="E12" s="3073"/>
      <c r="F12" s="3073"/>
    </row>
    <row r="13" spans="1:9" ht="33">
      <c r="A13" s="3078" t="s">
        <v>2878</v>
      </c>
      <c r="B13" s="3076" t="s">
        <v>2850</v>
      </c>
      <c r="C13" s="3076" t="s">
        <v>2851</v>
      </c>
      <c r="D13" s="3076" t="s">
        <v>2863</v>
      </c>
      <c r="E13" s="3072" t="s">
        <v>2877</v>
      </c>
      <c r="F13" s="3072" t="s">
        <v>2856</v>
      </c>
      <c r="G13" s="3076" t="s">
        <v>2864</v>
      </c>
      <c r="H13" s="3076" t="s">
        <v>2865</v>
      </c>
      <c r="I13" s="3076" t="s">
        <v>2866</v>
      </c>
    </row>
    <row r="14" spans="1:9" ht="16.5">
      <c r="A14" s="3079" t="s">
        <v>2876</v>
      </c>
      <c r="B14" s="3076">
        <f>结果表!L38</f>
        <v>62906.36</v>
      </c>
      <c r="C14" s="3076">
        <f>结果表!K38</f>
        <v>28593.8</v>
      </c>
      <c r="D14" s="3076">
        <f ca="1">结果表!C42</f>
        <v>7899</v>
      </c>
      <c r="E14" s="3076">
        <f ca="1">ROUND(D14*10000/B14,0)</f>
        <v>1256</v>
      </c>
      <c r="F14" s="3076">
        <f ca="1">ROUND(D14*10000/C14,0)</f>
        <v>2762</v>
      </c>
      <c r="G14" s="3076">
        <f ca="1">结果表!C44</f>
        <v>7899</v>
      </c>
      <c r="H14" s="3076" t="str">
        <f>结果表!C45</f>
        <v>——</v>
      </c>
      <c r="I14" s="3076" t="str">
        <f>结果表!C46</f>
        <v>——</v>
      </c>
    </row>
    <row r="15" spans="1:9" ht="16.5">
      <c r="A15" s="3079" t="s">
        <v>2867</v>
      </c>
      <c r="B15" s="3080"/>
      <c r="C15" s="3080"/>
      <c r="D15" s="3080"/>
      <c r="E15" s="3076" t="e">
        <f t="shared" ref="E15:E23" si="2">ROUND(D15*10000/B15,0)</f>
        <v>#DIV/0!</v>
      </c>
      <c r="F15" s="3076" t="e">
        <f t="shared" ref="F15:F23" si="3">ROUND(D15*10000/C15,0)</f>
        <v>#DIV/0!</v>
      </c>
      <c r="G15" s="3077"/>
      <c r="H15" s="3077"/>
      <c r="I15" s="3080"/>
    </row>
    <row r="16" spans="1:9" ht="16.5">
      <c r="A16" s="3079" t="s">
        <v>2868</v>
      </c>
      <c r="B16" s="3080"/>
      <c r="C16" s="3080"/>
      <c r="D16" s="3080"/>
      <c r="E16" s="3076" t="e">
        <f t="shared" si="2"/>
        <v>#DIV/0!</v>
      </c>
      <c r="F16" s="3076" t="e">
        <f t="shared" si="3"/>
        <v>#DIV/0!</v>
      </c>
      <c r="G16" s="3077"/>
      <c r="H16" s="3077"/>
      <c r="I16" s="3080"/>
    </row>
    <row r="17" spans="1:9" ht="16.5">
      <c r="A17" s="3079" t="s">
        <v>2869</v>
      </c>
      <c r="B17" s="3080"/>
      <c r="C17" s="3080"/>
      <c r="D17" s="3080"/>
      <c r="E17" s="3076" t="e">
        <f t="shared" si="2"/>
        <v>#DIV/0!</v>
      </c>
      <c r="F17" s="3076" t="e">
        <f t="shared" si="3"/>
        <v>#DIV/0!</v>
      </c>
      <c r="G17" s="3077"/>
      <c r="H17" s="3077"/>
      <c r="I17" s="3080"/>
    </row>
    <row r="18" spans="1:9" ht="16.5">
      <c r="A18" s="3079" t="s">
        <v>2870</v>
      </c>
      <c r="B18" s="3080"/>
      <c r="C18" s="3080"/>
      <c r="D18" s="3080"/>
      <c r="E18" s="3076" t="e">
        <f t="shared" si="2"/>
        <v>#DIV/0!</v>
      </c>
      <c r="F18" s="3076" t="e">
        <f t="shared" si="3"/>
        <v>#DIV/0!</v>
      </c>
      <c r="G18" s="3080"/>
      <c r="H18" s="3080"/>
      <c r="I18" s="3080"/>
    </row>
    <row r="19" spans="1:9" ht="16.5">
      <c r="A19" s="3079" t="s">
        <v>2871</v>
      </c>
      <c r="B19" s="3080"/>
      <c r="C19" s="3080"/>
      <c r="D19" s="3080"/>
      <c r="E19" s="3076" t="e">
        <f t="shared" si="2"/>
        <v>#DIV/0!</v>
      </c>
      <c r="F19" s="3076" t="e">
        <f t="shared" si="3"/>
        <v>#DIV/0!</v>
      </c>
      <c r="G19" s="3080"/>
      <c r="H19" s="3080"/>
      <c r="I19" s="3080"/>
    </row>
    <row r="20" spans="1:9" ht="16.5">
      <c r="A20" s="3079" t="s">
        <v>2872</v>
      </c>
      <c r="B20" s="3080"/>
      <c r="C20" s="3080"/>
      <c r="D20" s="3080"/>
      <c r="E20" s="3076" t="e">
        <f t="shared" si="2"/>
        <v>#DIV/0!</v>
      </c>
      <c r="F20" s="3076" t="e">
        <f t="shared" si="3"/>
        <v>#DIV/0!</v>
      </c>
      <c r="G20" s="3080"/>
      <c r="H20" s="3080"/>
      <c r="I20" s="3080"/>
    </row>
    <row r="21" spans="1:9" ht="16.5">
      <c r="A21" s="3079" t="s">
        <v>2873</v>
      </c>
      <c r="B21" s="3080"/>
      <c r="C21" s="3080"/>
      <c r="D21" s="3080"/>
      <c r="E21" s="3076" t="e">
        <f t="shared" si="2"/>
        <v>#DIV/0!</v>
      </c>
      <c r="F21" s="3076" t="e">
        <f t="shared" si="3"/>
        <v>#DIV/0!</v>
      </c>
      <c r="G21" s="3080"/>
      <c r="H21" s="3080"/>
      <c r="I21" s="3080"/>
    </row>
    <row r="22" spans="1:9" ht="16.5">
      <c r="A22" s="3079" t="s">
        <v>2874</v>
      </c>
      <c r="B22" s="3080"/>
      <c r="C22" s="3080"/>
      <c r="D22" s="3080"/>
      <c r="E22" s="3076" t="e">
        <f t="shared" si="2"/>
        <v>#DIV/0!</v>
      </c>
      <c r="F22" s="3076" t="e">
        <f t="shared" si="3"/>
        <v>#DIV/0!</v>
      </c>
      <c r="G22" s="3080"/>
      <c r="H22" s="3080"/>
      <c r="I22" s="3080"/>
    </row>
    <row r="23" spans="1:9" ht="16.5">
      <c r="A23" s="3079" t="s">
        <v>2875</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L20" sqref="L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3083</v>
      </c>
      <c r="E1" s="1805" t="s">
        <v>2059</v>
      </c>
      <c r="F1" s="1807" t="s">
        <v>3084</v>
      </c>
      <c r="G1" s="311"/>
      <c r="H1" s="311"/>
      <c r="I1" s="311"/>
      <c r="J1" s="2029"/>
      <c r="K1" s="2029"/>
      <c r="L1" s="2029"/>
      <c r="M1" s="2029"/>
      <c r="N1" s="2029"/>
      <c r="O1" s="2029"/>
      <c r="P1" s="2029"/>
      <c r="Q1" s="2029"/>
      <c r="R1" s="2029"/>
      <c r="S1" s="2029"/>
      <c r="T1" s="2029"/>
      <c r="U1" s="2029"/>
      <c r="V1" s="2029"/>
    </row>
    <row r="2" spans="1:22" ht="21.75" customHeight="1" thickBot="1">
      <c r="A2" s="3311" t="str">
        <f>项目基本情况!K2</f>
        <v>湖北省天门市竟陵办事处东湖村出让国有建设用地使用权</v>
      </c>
      <c r="B2" s="3312"/>
      <c r="C2" s="3313"/>
      <c r="D2" s="3313"/>
      <c r="E2" s="3313"/>
      <c r="F2" s="3313"/>
      <c r="G2" s="3312"/>
      <c r="H2" s="3312"/>
      <c r="I2" s="3314"/>
      <c r="J2" s="2030"/>
      <c r="K2" s="2029"/>
      <c r="L2" s="2029"/>
      <c r="M2" s="2029"/>
      <c r="N2" s="2029"/>
      <c r="O2" s="2029"/>
      <c r="P2" s="2029"/>
      <c r="Q2" s="2029"/>
      <c r="R2" s="2029"/>
      <c r="S2" s="2029"/>
      <c r="T2" s="2029"/>
      <c r="U2" s="2029"/>
      <c r="V2" s="2029"/>
    </row>
    <row r="3" spans="1:22" ht="14.25">
      <c r="A3" s="3304" t="s">
        <v>298</v>
      </c>
      <c r="B3" s="3305"/>
      <c r="C3" s="3305"/>
      <c r="D3" s="3305"/>
      <c r="E3" s="3305"/>
      <c r="F3" s="3305"/>
      <c r="G3" s="3305"/>
      <c r="H3" s="3305"/>
      <c r="I3" s="3305"/>
      <c r="J3" s="2030"/>
      <c r="K3" s="2029"/>
      <c r="L3" s="2029"/>
      <c r="M3" s="2029"/>
      <c r="N3" s="2029"/>
      <c r="O3" s="2029"/>
      <c r="P3" s="2029"/>
      <c r="Q3" s="2029"/>
      <c r="R3" s="2029"/>
      <c r="S3" s="2029"/>
      <c r="T3" s="2029"/>
      <c r="U3" s="2029"/>
      <c r="V3" s="2029"/>
    </row>
    <row r="4" spans="1:22" ht="14.25">
      <c r="A4" s="258" t="s">
        <v>299</v>
      </c>
      <c r="B4" s="259" t="s">
        <v>300</v>
      </c>
      <c r="C4" s="260" t="s">
        <v>3085</v>
      </c>
      <c r="D4" s="260" t="s">
        <v>3086</v>
      </c>
      <c r="E4" s="3276" t="s">
        <v>301</v>
      </c>
      <c r="F4" s="3277"/>
      <c r="G4" s="3277"/>
      <c r="H4" s="3277"/>
      <c r="I4" s="330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5" t="s">
        <v>302</v>
      </c>
      <c r="B5" s="3301">
        <v>25</v>
      </c>
      <c r="C5" s="3299"/>
      <c r="D5" s="3303"/>
      <c r="E5" s="261" t="s">
        <v>303</v>
      </c>
      <c r="F5" s="262"/>
      <c r="G5" s="262"/>
      <c r="H5" s="262"/>
      <c r="I5" s="263"/>
      <c r="J5" s="2030"/>
      <c r="K5" s="2029"/>
      <c r="L5" s="2029"/>
      <c r="M5" s="2029"/>
      <c r="N5" s="2029"/>
      <c r="O5" s="2029"/>
      <c r="P5" s="2029"/>
      <c r="Q5" s="2029"/>
      <c r="R5" s="2029"/>
      <c r="S5" s="2029"/>
      <c r="T5" s="2029"/>
      <c r="U5" s="2029"/>
      <c r="V5" s="2029"/>
    </row>
    <row r="6" spans="1:22" ht="14.25">
      <c r="A6" s="3275"/>
      <c r="B6" s="3301"/>
      <c r="C6" s="3302"/>
      <c r="D6" s="3303"/>
      <c r="E6" s="261" t="s">
        <v>304</v>
      </c>
      <c r="F6" s="262"/>
      <c r="G6" s="262"/>
      <c r="H6" s="262"/>
      <c r="I6" s="263"/>
      <c r="J6" s="2030"/>
      <c r="K6" s="2029"/>
      <c r="L6" s="2029"/>
      <c r="M6" s="2029"/>
      <c r="N6" s="2029"/>
      <c r="O6" s="2029"/>
      <c r="P6" s="2029"/>
      <c r="Q6" s="2029"/>
      <c r="R6" s="2029"/>
      <c r="S6" s="2029"/>
      <c r="T6" s="2029"/>
      <c r="U6" s="2029"/>
      <c r="V6" s="2029"/>
    </row>
    <row r="7" spans="1:22" ht="14.25">
      <c r="A7" s="3275"/>
      <c r="B7" s="3301"/>
      <c r="C7" s="3300"/>
      <c r="D7" s="3303"/>
      <c r="E7" s="261" t="s">
        <v>305</v>
      </c>
      <c r="F7" s="262"/>
      <c r="G7" s="262"/>
      <c r="H7" s="262"/>
      <c r="I7" s="263"/>
      <c r="J7" s="2030"/>
      <c r="K7" s="2029"/>
      <c r="L7" s="2029"/>
      <c r="M7" s="2029"/>
      <c r="N7" s="2029"/>
      <c r="O7" s="2029"/>
      <c r="P7" s="2029"/>
      <c r="Q7" s="2029"/>
      <c r="R7" s="2029"/>
      <c r="S7" s="2029"/>
      <c r="T7" s="2029"/>
      <c r="U7" s="2029"/>
      <c r="V7" s="2029"/>
    </row>
    <row r="8" spans="1:22" ht="14.25">
      <c r="A8" s="3275" t="s">
        <v>306</v>
      </c>
      <c r="B8" s="3301">
        <v>15</v>
      </c>
      <c r="C8" s="3299"/>
      <c r="D8" s="3303"/>
      <c r="E8" s="261" t="s">
        <v>307</v>
      </c>
      <c r="F8" s="262"/>
      <c r="G8" s="262"/>
      <c r="H8" s="262"/>
      <c r="I8" s="263"/>
      <c r="J8" s="2030"/>
      <c r="K8" s="2029"/>
      <c r="L8" s="2029"/>
      <c r="M8" s="2029"/>
      <c r="N8" s="2029"/>
      <c r="O8" s="2029"/>
      <c r="P8" s="2029"/>
      <c r="Q8" s="2029"/>
      <c r="R8" s="2029"/>
      <c r="S8" s="2029"/>
      <c r="T8" s="2029"/>
      <c r="U8" s="2029"/>
      <c r="V8" s="2029"/>
    </row>
    <row r="9" spans="1:22" ht="14.25">
      <c r="A9" s="3275"/>
      <c r="B9" s="3301"/>
      <c r="C9" s="3300"/>
      <c r="D9" s="3303"/>
      <c r="E9" s="261" t="s">
        <v>308</v>
      </c>
      <c r="F9" s="262"/>
      <c r="G9" s="262"/>
      <c r="H9" s="262"/>
      <c r="I9" s="263"/>
      <c r="J9" s="2030"/>
      <c r="K9" s="2029"/>
      <c r="L9" s="2029"/>
      <c r="M9" s="2029"/>
      <c r="N9" s="2029"/>
      <c r="O9" s="2029"/>
      <c r="P9" s="2029"/>
      <c r="Q9" s="2029"/>
      <c r="R9" s="2029"/>
      <c r="S9" s="2029"/>
      <c r="T9" s="2029"/>
      <c r="U9" s="2029"/>
      <c r="V9" s="2029"/>
    </row>
    <row r="10" spans="1:22" ht="14.25">
      <c r="A10" s="3275" t="s">
        <v>309</v>
      </c>
      <c r="B10" s="3301">
        <v>15</v>
      </c>
      <c r="C10" s="3299"/>
      <c r="D10" s="330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5"/>
      <c r="B11" s="3301"/>
      <c r="C11" s="3300"/>
      <c r="D11" s="330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5" t="s">
        <v>312</v>
      </c>
      <c r="B12" s="3301">
        <v>15</v>
      </c>
      <c r="C12" s="3299"/>
      <c r="D12" s="330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5"/>
      <c r="B13" s="3301"/>
      <c r="C13" s="3300"/>
      <c r="D13" s="330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5" t="s">
        <v>315</v>
      </c>
      <c r="B14" s="3301">
        <v>30</v>
      </c>
      <c r="C14" s="3299">
        <v>6</v>
      </c>
      <c r="D14" s="3303">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5"/>
      <c r="B15" s="3301"/>
      <c r="C15" s="3302"/>
      <c r="D15" s="3303"/>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5"/>
      <c r="B16" s="3301"/>
      <c r="C16" s="3300"/>
      <c r="D16" s="330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6033</v>
      </c>
      <c r="D19" s="271">
        <f ca="1">SUMIF(INDIRECT("'"&amp;D4&amp;"'"&amp;"!A:A"),结果表!B19,INDIRECT("'"&amp;D4&amp;"'"&amp;"!B:B"))</f>
        <v>10699</v>
      </c>
      <c r="E19" s="268" t="s">
        <v>323</v>
      </c>
      <c r="F19" s="269" t="s">
        <v>322</v>
      </c>
      <c r="G19" s="272">
        <f ca="1">ROUND(C19*$C$18+D19*$D$18,0)</f>
        <v>7899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959</v>
      </c>
      <c r="D20" s="277">
        <f ca="1">SUMIF(INDIRECT("'"&amp;D4&amp;"'"&amp;"!A:A"),结果表!B20,INDIRECT("'"&amp;D4&amp;"'"&amp;"!B:B"))</f>
        <v>1701</v>
      </c>
      <c r="E20" s="274"/>
      <c r="F20" s="275" t="s">
        <v>325</v>
      </c>
      <c r="G20" s="278">
        <f ca="1">ROUND(C20*$C$18+D20*$D$18,0)</f>
        <v>1256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2110</v>
      </c>
      <c r="D21" s="151">
        <f ca="1">SUMIF(INDIRECT("'"&amp;D4&amp;"'"&amp;"!A:A"),结果表!B21,INDIRECT("'"&amp;D4&amp;"'"&amp;"!B:B"))</f>
        <v>3742</v>
      </c>
      <c r="E21" s="274"/>
      <c r="F21" s="280" t="s">
        <v>327</v>
      </c>
      <c r="G21" s="282">
        <f ca="1">ROUND(C21*$C$18+D21*$D$18,0)</f>
        <v>2763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0.77341289574009608</v>
      </c>
      <c r="E22" s="284"/>
      <c r="F22" s="285"/>
      <c r="G22" s="286">
        <f ca="1">ROUND(G19/('数据-汇总表'!D3/666.67),0)</f>
        <v>184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2"/>
      <c r="B25" s="1321" t="s">
        <v>331</v>
      </c>
      <c r="C25" s="290">
        <f>IF(B30=0,0,C30)</f>
        <v>0</v>
      </c>
      <c r="D25" s="291"/>
      <c r="E25" s="311"/>
      <c r="F25" s="311"/>
      <c r="G25" s="311"/>
      <c r="H25" s="311"/>
      <c r="I25" s="311"/>
      <c r="J25" s="2029"/>
      <c r="K25" s="1255" t="str">
        <f ca="1">项目基本情况!B16&amp;"国有建设用地使用权价格："&amp;O38&amp;"万元"</f>
        <v>出让国有建设用地使用权价格：7899万元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大写金额：人民币柒仟捌佰玖拾玖万元整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单位面积地价：2762元/平方米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楼面地价：1256元/平方米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抵押价格：7899万元</v>
      </c>
      <c r="L29" s="1252"/>
      <c r="M29" s="1252"/>
      <c r="N29" s="1252"/>
      <c r="O29" s="1251"/>
      <c r="P29" s="2029"/>
      <c r="V29" s="2029"/>
    </row>
    <row r="30" spans="1:26" ht="18.75" thickBot="1">
      <c r="A30" s="3167" t="s">
        <v>336</v>
      </c>
      <c r="B30" s="309"/>
      <c r="C30" s="309"/>
      <c r="D30" s="310"/>
      <c r="E30" s="3168" t="s">
        <v>2975</v>
      </c>
      <c r="F30" s="311"/>
      <c r="G30" s="311"/>
      <c r="H30" s="311"/>
      <c r="I30" s="311"/>
      <c r="J30" s="2029"/>
      <c r="K30" s="1258" t="str">
        <f ca="1">IF(K29="——","——","大写金额：人民币"&amp;NUMBERSTRING(INT(O39*10000),2)&amp;"元整")</f>
        <v>大写金额：人民币柒仟捌佰玖拾玖万元整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1690</v>
      </c>
      <c r="C32" s="1383">
        <f ca="1">G19-C24</f>
        <v>7899</v>
      </c>
      <c r="D32" s="1384"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1692</v>
      </c>
      <c r="C33" s="264">
        <f ca="1">ROUND(C32*10000/'数据-汇总表'!E3,0)</f>
        <v>1256</v>
      </c>
      <c r="D33" s="1386" t="s">
        <v>1693</v>
      </c>
      <c r="E33" s="328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2762</v>
      </c>
      <c r="D34" s="1388" t="s">
        <v>1693</v>
      </c>
      <c r="E34" s="332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184</v>
      </c>
      <c r="D35" s="1391" t="s">
        <v>1695</v>
      </c>
      <c r="E35" s="3323"/>
      <c r="F35" s="301" t="s">
        <v>342</v>
      </c>
      <c r="G35" s="982"/>
      <c r="H35" s="981" t="s">
        <v>343</v>
      </c>
      <c r="I35" s="311"/>
      <c r="J35" s="2029"/>
      <c r="K35" s="3296" t="s">
        <v>350</v>
      </c>
      <c r="L35" s="3296" t="s">
        <v>351</v>
      </c>
      <c r="M35" s="1264" t="s">
        <v>352</v>
      </c>
      <c r="N35" s="3296" t="s">
        <v>353</v>
      </c>
      <c r="O35" s="3296" t="s">
        <v>354</v>
      </c>
      <c r="P35" s="2029"/>
      <c r="V35" s="2029"/>
    </row>
    <row r="36" spans="1:26" ht="16.5" customHeight="1">
      <c r="A36" s="303" t="s">
        <v>344</v>
      </c>
      <c r="B36" s="304" t="s">
        <v>333</v>
      </c>
      <c r="C36" s="305" t="s">
        <v>345</v>
      </c>
      <c r="D36" s="305" t="s">
        <v>346</v>
      </c>
      <c r="E36" s="306" t="s">
        <v>347</v>
      </c>
      <c r="F36" s="311"/>
      <c r="G36" s="311"/>
      <c r="H36" s="311"/>
      <c r="I36" s="311"/>
      <c r="J36" s="2031"/>
      <c r="K36" s="3297"/>
      <c r="L36" s="3297"/>
      <c r="M36" s="1266" t="s">
        <v>355</v>
      </c>
      <c r="N36" s="3297"/>
      <c r="O36" s="3297"/>
      <c r="P36" s="2029"/>
      <c r="V36" s="2029"/>
    </row>
    <row r="37" spans="1:26" ht="16.5" customHeight="1" thickBot="1">
      <c r="A37" s="1260" t="s">
        <v>348</v>
      </c>
      <c r="B37" s="307"/>
      <c r="C37" s="294"/>
      <c r="D37" s="294"/>
      <c r="E37" s="295"/>
      <c r="F37" s="311"/>
      <c r="G37" s="311"/>
      <c r="H37" s="311"/>
      <c r="I37" s="311"/>
      <c r="J37" s="2031"/>
      <c r="K37" s="3298"/>
      <c r="L37" s="3298"/>
      <c r="M37" s="1267"/>
      <c r="N37" s="3298"/>
      <c r="O37" s="3298"/>
      <c r="P37" s="2029"/>
      <c r="V37" s="2029"/>
    </row>
    <row r="38" spans="1:26" ht="16.5" customHeight="1" thickBot="1">
      <c r="A38" s="1260" t="s">
        <v>349</v>
      </c>
      <c r="B38" s="307"/>
      <c r="C38" s="294"/>
      <c r="D38" s="294"/>
      <c r="E38" s="295"/>
      <c r="F38" s="311"/>
      <c r="G38" s="311"/>
      <c r="H38" s="311"/>
      <c r="I38" s="311"/>
      <c r="J38" s="2031"/>
      <c r="K38" s="1268">
        <f>'数据-汇总表'!D3</f>
        <v>28593.8</v>
      </c>
      <c r="L38" s="1269">
        <f>'数据-汇总表'!E3</f>
        <v>62906.36</v>
      </c>
      <c r="M38" s="1269">
        <f ca="1">C34</f>
        <v>2762</v>
      </c>
      <c r="N38" s="1269">
        <f ca="1">C33</f>
        <v>1256</v>
      </c>
      <c r="O38" s="1270">
        <f ca="1">C32</f>
        <v>7899</v>
      </c>
      <c r="P38" s="2029"/>
      <c r="V38" s="2029"/>
    </row>
    <row r="39" spans="1:26" ht="16.5" customHeight="1" thickBot="1">
      <c r="A39" s="1265"/>
      <c r="B39" s="308"/>
      <c r="C39" s="309"/>
      <c r="D39" s="309"/>
      <c r="E39" s="310"/>
      <c r="F39" s="311"/>
      <c r="G39" s="311"/>
      <c r="H39" s="311"/>
      <c r="I39" s="311"/>
      <c r="J39" s="2031"/>
      <c r="K39" s="3341" t="str">
        <f>MID(A44,3,LEN(A44)-2)</f>
        <v>抵押价格</v>
      </c>
      <c r="L39" s="3342"/>
      <c r="M39" s="3342"/>
      <c r="N39" s="3343"/>
      <c r="O39" s="1393">
        <f ca="1">C44</f>
        <v>7899</v>
      </c>
      <c r="P39" s="2029"/>
      <c r="V39" s="2029"/>
    </row>
    <row r="40" spans="1:26" ht="19.5" thickBot="1">
      <c r="A40" s="104" t="s">
        <v>874</v>
      </c>
      <c r="B40" s="311"/>
      <c r="C40" s="311"/>
      <c r="D40" s="311"/>
      <c r="E40" s="311"/>
      <c r="F40" s="311"/>
      <c r="G40" s="311"/>
      <c r="H40" s="311"/>
      <c r="I40" s="311"/>
      <c r="J40" s="2031"/>
      <c r="K40" s="3341" t="str">
        <f t="shared" ref="K40:K41" si="0">MID(A45,3,LEN(A45)-2)</f>
        <v/>
      </c>
      <c r="L40" s="3342"/>
      <c r="M40" s="3342"/>
      <c r="N40" s="3343"/>
      <c r="O40" s="1393" t="str">
        <f>C45</f>
        <v>——</v>
      </c>
      <c r="P40" s="2029"/>
      <c r="V40" s="2029"/>
    </row>
    <row r="41" spans="1:26" ht="16.5" thickBot="1">
      <c r="A41" s="312" t="s">
        <v>356</v>
      </c>
      <c r="B41" s="313"/>
      <c r="C41" s="314" t="s">
        <v>357</v>
      </c>
      <c r="D41" s="315" t="s">
        <v>358</v>
      </c>
      <c r="E41" s="315" t="s">
        <v>359</v>
      </c>
      <c r="F41" s="316" t="s">
        <v>360</v>
      </c>
      <c r="G41" s="311"/>
      <c r="H41" s="311"/>
      <c r="I41" s="311"/>
      <c r="J41" s="2031"/>
      <c r="K41" s="3341" t="str">
        <f t="shared" si="0"/>
        <v/>
      </c>
      <c r="L41" s="3342"/>
      <c r="M41" s="3342"/>
      <c r="N41" s="3343"/>
      <c r="O41" s="1393" t="str">
        <f>C46</f>
        <v>——</v>
      </c>
      <c r="P41" s="2029"/>
      <c r="V41" s="2029"/>
    </row>
    <row r="42" spans="1:26" ht="29.25">
      <c r="A42" s="3283" t="s">
        <v>2069</v>
      </c>
      <c r="B42" s="3284"/>
      <c r="C42" s="264">
        <f ca="1">C32</f>
        <v>7899</v>
      </c>
      <c r="D42" s="317">
        <f ca="1">C33</f>
        <v>1256</v>
      </c>
      <c r="E42" s="317">
        <f ca="1">C34</f>
        <v>2762</v>
      </c>
      <c r="F42" s="318">
        <f ca="1">C35</f>
        <v>184</v>
      </c>
      <c r="G42" s="311"/>
      <c r="H42" s="311"/>
      <c r="I42" s="319"/>
      <c r="J42" s="2031"/>
      <c r="K42" s="1271" t="s">
        <v>361</v>
      </c>
      <c r="L42" s="2048" t="s">
        <v>362</v>
      </c>
      <c r="M42" s="1272" t="s">
        <v>363</v>
      </c>
      <c r="N42" s="2049" t="s">
        <v>364</v>
      </c>
      <c r="O42" s="2050" t="s">
        <v>365</v>
      </c>
      <c r="P42" s="2029"/>
      <c r="V42" s="2029"/>
    </row>
    <row r="43" spans="1:26" ht="30">
      <c r="A43" s="3294" t="s">
        <v>2736</v>
      </c>
      <c r="B43" s="3295"/>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6033</v>
      </c>
      <c r="M43" s="1275">
        <f>C18</f>
        <v>0.6</v>
      </c>
      <c r="N43" s="1276">
        <f ca="1">IF(N42="测算结果/万元",G19,G20)</f>
        <v>7899</v>
      </c>
      <c r="O43" s="1277">
        <f ca="1">IF(O42="最终结果/万元",C32,C33)</f>
        <v>7899</v>
      </c>
      <c r="P43" s="2029"/>
      <c r="V43" s="2029"/>
    </row>
    <row r="44" spans="1:26" ht="30.75" thickBot="1">
      <c r="A44" s="3283" t="str">
        <f>IF(OR(项目基本情况!E8="抵押价格",项目基本情况!E8="已注销及未注销"),"3.抵押价格","——")</f>
        <v>3.抵押价格</v>
      </c>
      <c r="B44" s="3284"/>
      <c r="C44" s="264">
        <f ca="1">IF(A44="——","——",C42-C43)</f>
        <v>7899</v>
      </c>
      <c r="D44" s="317">
        <f ca="1">ROUND(C44*10000/'数据-汇总表'!E3,0)</f>
        <v>1256</v>
      </c>
      <c r="E44" s="317">
        <f ca="1">ROUND(C44*10000/'数据-汇总表'!D3,0)</f>
        <v>2762</v>
      </c>
      <c r="F44" s="318">
        <f ca="1">ROUND(C44/('数据-汇总表'!D3/666.67),0)</f>
        <v>184</v>
      </c>
      <c r="G44" s="311"/>
      <c r="H44" s="311"/>
      <c r="I44" s="319"/>
      <c r="J44" s="2031"/>
      <c r="K44" s="1278" t="str">
        <f>D4</f>
        <v>剩余法-待开发</v>
      </c>
      <c r="L44" s="1279">
        <f ca="1">IF(L42="估价结果/万元",D19,D20)</f>
        <v>10699</v>
      </c>
      <c r="M44" s="1280">
        <f>D18</f>
        <v>0.4</v>
      </c>
      <c r="N44" s="1281"/>
      <c r="O44" s="1282"/>
      <c r="P44" s="2029"/>
      <c r="V44" s="2029"/>
    </row>
    <row r="45" spans="1:26" ht="15">
      <c r="A45" s="3289" t="str">
        <f>IF(项目基本情况!E8="已注销及未注销","4.抵押担保权已注销时的抵押价格",IF(项目基本情况!E8="已注销","3.抵押担保权已注销时的抵押价格","——"))</f>
        <v>——</v>
      </c>
      <c r="B45" s="329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5" t="str">
        <f>IF(项目基本情况!E9="抵押净值",IF(A45="——","4.抵押净值","5.抵押净值"),"——")</f>
        <v>——</v>
      </c>
      <c r="B46" s="328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0" t="s">
        <v>374</v>
      </c>
      <c r="B63" s="3331"/>
      <c r="C63" s="3332"/>
      <c r="D63" s="341">
        <f ca="1">ROUND(C42*F63,0)</f>
        <v>4739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1" t="s">
        <v>378</v>
      </c>
      <c r="B64" s="3292"/>
      <c r="C64" s="3292"/>
      <c r="D64" s="3292"/>
      <c r="E64" s="3292"/>
      <c r="F64" s="3292"/>
      <c r="G64" s="329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7" t="s">
        <v>386</v>
      </c>
      <c r="B66" s="3288"/>
      <c r="C66" s="3288"/>
      <c r="D66" s="261">
        <f ca="1">IF(H66="情况1",0,IF(H66="情况2",D70,IF(H66="情况3",D71,IF(H66="情况4",D72))))</f>
        <v>286</v>
      </c>
      <c r="E66" s="993" t="str">
        <f>IF(H66="情况4","(销售额-原购置价)×税（费）率","销售额×税（费）率")</f>
        <v>销售额×税（费）率</v>
      </c>
      <c r="F66" s="350">
        <f>IF(H66="情况1","免征",'数据-取费表'!B41)</f>
        <v>6.3840000000000008E-2</v>
      </c>
      <c r="G66" s="351" t="s">
        <v>387</v>
      </c>
      <c r="H66" s="191" t="s">
        <v>388</v>
      </c>
      <c r="I66" s="1288"/>
      <c r="J66" s="2035"/>
      <c r="K66" s="1291">
        <v>1</v>
      </c>
      <c r="L66" s="3345" t="s">
        <v>385</v>
      </c>
      <c r="M66" s="3346"/>
      <c r="N66" s="2483"/>
      <c r="O66" s="2484"/>
      <c r="P66" s="2485"/>
      <c r="Q66" s="2029"/>
      <c r="R66" s="2029"/>
      <c r="S66" s="2029"/>
      <c r="T66" s="2029"/>
      <c r="U66" s="2029"/>
      <c r="V66" s="2029"/>
    </row>
    <row r="67" spans="1:22" ht="25.5" customHeight="1">
      <c r="A67" s="352" t="s">
        <v>390</v>
      </c>
      <c r="B67" s="3278" t="s">
        <v>391</v>
      </c>
      <c r="C67" s="3278"/>
      <c r="D67" s="353">
        <v>0</v>
      </c>
      <c r="E67" s="41" t="s">
        <v>392</v>
      </c>
      <c r="F67" s="62" t="s">
        <v>21</v>
      </c>
      <c r="G67" s="3333"/>
      <c r="H67" s="311"/>
      <c r="I67" s="1292"/>
      <c r="J67" s="2036"/>
      <c r="K67" s="1977">
        <v>2</v>
      </c>
      <c r="L67" s="3344" t="s">
        <v>389</v>
      </c>
      <c r="M67" s="3344"/>
      <c r="N67" s="1325">
        <f>'数据-取费表'!B2</f>
        <v>43061</v>
      </c>
      <c r="O67" s="1325"/>
      <c r="P67" s="1325"/>
      <c r="Q67" s="2029"/>
      <c r="R67" s="2029"/>
      <c r="S67" s="2029"/>
      <c r="T67" s="2029"/>
      <c r="U67" s="2029"/>
      <c r="V67" s="2029"/>
    </row>
    <row r="68" spans="1:22" ht="25.5" customHeight="1">
      <c r="A68" s="354"/>
      <c r="B68" s="3278" t="s">
        <v>394</v>
      </c>
      <c r="C68" s="3278"/>
      <c r="D68" s="355"/>
      <c r="E68" s="77"/>
      <c r="F68" s="356"/>
      <c r="G68" s="3334"/>
      <c r="H68" s="311"/>
      <c r="I68" s="1292"/>
      <c r="J68" s="2036"/>
      <c r="K68" s="1977">
        <v>3</v>
      </c>
      <c r="L68" s="3344" t="s">
        <v>393</v>
      </c>
      <c r="M68" s="3344"/>
      <c r="N68" s="1293">
        <f ca="1">C42</f>
        <v>7899</v>
      </c>
      <c r="O68" s="1293"/>
      <c r="P68" s="1293"/>
      <c r="Q68" s="2029"/>
      <c r="R68" s="2029"/>
      <c r="S68" s="2029"/>
      <c r="T68" s="2029"/>
      <c r="U68" s="2029"/>
      <c r="V68" s="2029"/>
    </row>
    <row r="69" spans="1:22" ht="12" customHeight="1">
      <c r="A69" s="357"/>
      <c r="B69" s="3278" t="s">
        <v>395</v>
      </c>
      <c r="C69" s="3278"/>
      <c r="D69" s="358"/>
      <c r="E69" s="73"/>
      <c r="F69" s="356"/>
      <c r="G69" s="3335"/>
      <c r="H69" s="311"/>
      <c r="I69" s="1292"/>
      <c r="J69" s="2036"/>
      <c r="K69" s="1294">
        <v>4</v>
      </c>
      <c r="L69" s="3349" t="s">
        <v>2889</v>
      </c>
      <c r="M69" s="3350"/>
      <c r="N69" s="1295">
        <f ca="1">C44</f>
        <v>7899</v>
      </c>
      <c r="O69" s="1295"/>
      <c r="P69" s="1295"/>
      <c r="Q69" s="2029"/>
      <c r="R69" s="2029"/>
      <c r="S69" s="2029"/>
      <c r="T69" s="2029"/>
      <c r="U69" s="2029"/>
      <c r="V69" s="2029"/>
    </row>
    <row r="70" spans="1:22" ht="24" customHeight="1">
      <c r="A70" s="359" t="s">
        <v>396</v>
      </c>
      <c r="B70" s="3278" t="s">
        <v>397</v>
      </c>
      <c r="C70" s="3278"/>
      <c r="D70" s="358">
        <f ca="1">ROUND(D63*'数据-取费表'!B41/(1+'数据-取费表'!C42),0)</f>
        <v>286</v>
      </c>
      <c r="E70" s="17" t="s">
        <v>398</v>
      </c>
      <c r="F70" s="360">
        <f>'数据-取费表'!B41</f>
        <v>6.3840000000000008E-2</v>
      </c>
      <c r="G70" s="361"/>
      <c r="H70" s="311"/>
      <c r="I70" s="1292"/>
      <c r="J70" s="2036"/>
      <c r="K70" s="3089"/>
      <c r="L70" s="3090"/>
      <c r="M70" s="3090"/>
      <c r="N70" s="3091" t="s">
        <v>2894</v>
      </c>
      <c r="O70" s="3090"/>
      <c r="P70" s="3092"/>
      <c r="Q70" s="2029"/>
      <c r="R70" s="2029"/>
      <c r="S70" s="2029"/>
      <c r="T70" s="2029"/>
      <c r="U70" s="2029"/>
      <c r="V70" s="2029"/>
    </row>
    <row r="71" spans="1:22" ht="12" customHeight="1">
      <c r="A71" s="359" t="s">
        <v>404</v>
      </c>
      <c r="B71" s="3279" t="s">
        <v>405</v>
      </c>
      <c r="C71" s="3280"/>
      <c r="D71" s="358">
        <f ca="1">ROUND(D63*'数据-取费表'!B41/(1+'数据-取费表'!C42),0)</f>
        <v>286</v>
      </c>
      <c r="E71" s="17" t="s">
        <v>398</v>
      </c>
      <c r="F71" s="360">
        <f>'数据-取费表'!B41</f>
        <v>6.3840000000000008E-2</v>
      </c>
      <c r="G71" s="361"/>
      <c r="H71" s="311"/>
      <c r="I71" s="1292"/>
      <c r="J71" s="2036"/>
      <c r="K71" s="3088" t="s">
        <v>399</v>
      </c>
      <c r="L71" s="3351" t="s">
        <v>400</v>
      </c>
      <c r="M71" s="3351"/>
      <c r="N71" s="3088" t="s">
        <v>401</v>
      </c>
      <c r="O71" s="3088" t="s">
        <v>402</v>
      </c>
      <c r="P71" s="3088" t="s">
        <v>403</v>
      </c>
      <c r="Q71" s="2029"/>
      <c r="R71" s="2029"/>
      <c r="S71" s="2029"/>
      <c r="T71" s="2029"/>
      <c r="U71" s="2029"/>
      <c r="V71" s="2029"/>
    </row>
    <row r="72" spans="1:22" ht="12" customHeight="1">
      <c r="A72" s="359" t="s">
        <v>407</v>
      </c>
      <c r="B72" s="3279" t="s">
        <v>408</v>
      </c>
      <c r="C72" s="3280"/>
      <c r="D72" s="358">
        <f ca="1">C86</f>
        <v>159</v>
      </c>
      <c r="E72" s="73" t="s">
        <v>409</v>
      </c>
      <c r="F72" s="360">
        <f>'数据-取费表'!B41</f>
        <v>6.3840000000000008E-2</v>
      </c>
      <c r="G72" s="361"/>
      <c r="H72" s="1298"/>
      <c r="I72" s="1292"/>
      <c r="J72" s="2036"/>
      <c r="K72" s="1977">
        <v>1</v>
      </c>
      <c r="L72" s="3326" t="s">
        <v>406</v>
      </c>
      <c r="M72" s="3326"/>
      <c r="N72" s="1296">
        <f ca="1">D66</f>
        <v>286</v>
      </c>
      <c r="O72" s="1860" t="str">
        <f>E66</f>
        <v>销售额×税（费）率</v>
      </c>
      <c r="P72" s="1297">
        <f>F66</f>
        <v>6.3840000000000008E-2</v>
      </c>
      <c r="Q72" s="2029"/>
      <c r="R72" s="2029"/>
      <c r="S72" s="2029"/>
      <c r="T72" s="2029"/>
      <c r="U72" s="2029"/>
      <c r="V72" s="2029"/>
    </row>
    <row r="73" spans="1:22" ht="24" customHeight="1">
      <c r="A73" s="3320" t="s">
        <v>411</v>
      </c>
      <c r="B73" s="3288"/>
      <c r="C73" s="3288"/>
      <c r="D73" s="362">
        <f>IF(H73="个人住宅",0,ROUND(D63*I73,0))</f>
        <v>0</v>
      </c>
      <c r="E73" s="17" t="s">
        <v>412</v>
      </c>
      <c r="F73" s="360" t="str">
        <f>IF(H73="正常",I73,"免征")</f>
        <v>免征</v>
      </c>
      <c r="G73" s="361"/>
      <c r="H73" s="191" t="s">
        <v>2458</v>
      </c>
      <c r="I73" s="360">
        <f>'数据-取费表'!B49</f>
        <v>5.0000000000000001E-4</v>
      </c>
      <c r="J73" s="2036"/>
      <c r="K73" s="1977">
        <v>2</v>
      </c>
      <c r="L73" s="3326" t="s">
        <v>410</v>
      </c>
      <c r="M73" s="3326"/>
      <c r="N73" s="1296">
        <f t="shared" ref="N73:P74" si="1">D73</f>
        <v>0</v>
      </c>
      <c r="O73" s="1860" t="str">
        <f t="shared" si="1"/>
        <v>销售额×税（费）率</v>
      </c>
      <c r="P73" s="1297" t="str">
        <f t="shared" si="1"/>
        <v>免征</v>
      </c>
      <c r="Q73" s="2029"/>
      <c r="R73" s="2029"/>
      <c r="S73" s="2029"/>
      <c r="T73" s="2029"/>
      <c r="U73" s="2029"/>
      <c r="V73" s="2029"/>
    </row>
    <row r="74" spans="1:22" ht="24.75">
      <c r="A74" s="3320" t="s">
        <v>415</v>
      </c>
      <c r="B74" s="3288"/>
      <c r="C74" s="3288"/>
      <c r="D74" s="362">
        <f ca="1">IF(H74="个人住宅",D75,D76)</f>
        <v>1999</v>
      </c>
      <c r="E74" s="17" t="s">
        <v>416</v>
      </c>
      <c r="F74" s="360" t="str">
        <f>IF(H74="正常",F76,"免征")</f>
        <v>——</v>
      </c>
      <c r="G74" s="983" t="s">
        <v>417</v>
      </c>
      <c r="H74" s="363" t="s">
        <v>413</v>
      </c>
      <c r="I74" s="42"/>
      <c r="J74" s="2036"/>
      <c r="K74" s="1977">
        <v>3</v>
      </c>
      <c r="L74" s="3326" t="s">
        <v>414</v>
      </c>
      <c r="M74" s="3326"/>
      <c r="N74" s="1296">
        <f t="shared" ca="1" si="1"/>
        <v>1999</v>
      </c>
      <c r="O74" s="1860" t="str">
        <f t="shared" si="1"/>
        <v>增值额×税（费）率</v>
      </c>
      <c r="P74" s="1299" t="str">
        <f t="shared" si="1"/>
        <v>——</v>
      </c>
      <c r="Q74" s="2029"/>
      <c r="R74" s="2029"/>
      <c r="S74" s="2029"/>
      <c r="T74" s="2029"/>
      <c r="U74" s="2029"/>
      <c r="V74" s="2029"/>
    </row>
    <row r="75" spans="1:22" ht="24">
      <c r="A75" s="359" t="s">
        <v>418</v>
      </c>
      <c r="B75" s="3276" t="s">
        <v>419</v>
      </c>
      <c r="C75" s="3306"/>
      <c r="D75" s="364">
        <v>0</v>
      </c>
      <c r="E75" s="41" t="s">
        <v>420</v>
      </c>
      <c r="F75" s="365"/>
      <c r="G75" s="361"/>
      <c r="H75" s="42"/>
      <c r="I75" s="42"/>
      <c r="J75" s="2036"/>
      <c r="K75" s="3081">
        <f>IF(H77="非个人房产","",4)</f>
        <v>4</v>
      </c>
      <c r="L75" s="3326" t="str">
        <f>IF(H77="非个人房产","——","个人所得税")</f>
        <v>个人所得税</v>
      </c>
      <c r="M75" s="3326"/>
      <c r="N75" s="1300">
        <f ca="1">D77</f>
        <v>47</v>
      </c>
      <c r="O75" s="1873" t="str">
        <f>E77</f>
        <v>销售额×税（费）率</v>
      </c>
      <c r="P75" s="1301">
        <f>F77</f>
        <v>0.01</v>
      </c>
      <c r="Q75" s="2029"/>
      <c r="R75" s="2029"/>
      <c r="S75" s="2029"/>
      <c r="T75" s="2029"/>
      <c r="U75" s="2029"/>
      <c r="V75" s="2029"/>
    </row>
    <row r="76" spans="1:22" ht="24.75">
      <c r="A76" s="359" t="s">
        <v>396</v>
      </c>
      <c r="B76" s="3276" t="s">
        <v>422</v>
      </c>
      <c r="C76" s="3277"/>
      <c r="D76" s="362">
        <f ca="1">IF(H76="转让取得",C99,C115)</f>
        <v>1999</v>
      </c>
      <c r="E76" s="17" t="s">
        <v>423</v>
      </c>
      <c r="F76" s="53" t="s">
        <v>21</v>
      </c>
      <c r="G76" s="361"/>
      <c r="H76" s="363" t="s">
        <v>424</v>
      </c>
      <c r="I76" s="42"/>
      <c r="J76" s="2036"/>
      <c r="K76" s="3081" t="str">
        <f>IF(项目基本情况!K6="上海银行",IF(K75="",4,K75+1),"")</f>
        <v/>
      </c>
      <c r="L76" s="3337" t="str">
        <f>IF(项目基本情况!K6="上海银行","其他处置费用","")</f>
        <v/>
      </c>
      <c r="M76" s="3338"/>
      <c r="N76" s="1296" t="str">
        <f>IF(项目基本情况!K6="上海银行",N89,"")</f>
        <v/>
      </c>
      <c r="O76" s="3339" t="str">
        <f>IF(项目基本情况!K6="上海银行","包含处置中涉及的律师、诉讼、拍卖、评估等费用","")</f>
        <v/>
      </c>
      <c r="P76" s="3340"/>
      <c r="Q76" s="2029"/>
      <c r="R76" s="2029"/>
      <c r="S76" s="2029"/>
      <c r="T76" s="2029"/>
      <c r="U76" s="2029"/>
      <c r="V76" s="2029"/>
    </row>
    <row r="77" spans="1:22" ht="26.25" thickBot="1">
      <c r="A77" s="3328" t="s">
        <v>426</v>
      </c>
      <c r="B77" s="3329"/>
      <c r="C77" s="3329"/>
      <c r="D77" s="366">
        <f ca="1">IF(H77="非个人房产","——",IF(H77="个人住宅",0,ROUND(D63*I77,0)))</f>
        <v>47</v>
      </c>
      <c r="E77" s="367" t="str">
        <f>IF(H77="非个人房产","——","销售额×税（费）率")</f>
        <v>销售额×税（费）率</v>
      </c>
      <c r="F77" s="368">
        <f>IF(H77="非个人房产","——",IF(H77="个人住宅","免征",I77))</f>
        <v>0.01</v>
      </c>
      <c r="G77" s="984" t="s">
        <v>417</v>
      </c>
      <c r="H77" s="363" t="s">
        <v>2890</v>
      </c>
      <c r="I77" s="369">
        <v>0.01</v>
      </c>
      <c r="J77" s="2036"/>
      <c r="K77" s="3327">
        <f>IF(AND(K75="",K76=""),4,IF(项目基本情况!K6="上海银行",K76+1,K75+1))</f>
        <v>5</v>
      </c>
      <c r="L77" s="3326" t="s">
        <v>2891</v>
      </c>
      <c r="M77" s="3087" t="s">
        <v>421</v>
      </c>
      <c r="N77" s="1302"/>
      <c r="O77" s="1303">
        <f ca="1">SUMIF(N72:N76,"&lt;9e307")</f>
        <v>2332</v>
      </c>
      <c r="P77" s="1304"/>
      <c r="Q77" s="3085">
        <f ca="1">O77/N69</f>
        <v>0.295227243954931</v>
      </c>
      <c r="R77" s="2029"/>
      <c r="S77" s="2029"/>
      <c r="T77" s="2029"/>
      <c r="U77" s="2029"/>
      <c r="V77" s="2029"/>
    </row>
    <row r="78" spans="1:22" ht="12" customHeight="1">
      <c r="A78" s="1305"/>
      <c r="B78" s="311"/>
      <c r="C78" s="311"/>
      <c r="D78" s="311"/>
      <c r="E78" s="42"/>
      <c r="F78" s="42"/>
      <c r="G78" s="42"/>
      <c r="H78" s="1003"/>
      <c r="I78" s="311"/>
      <c r="J78" s="2036"/>
      <c r="K78" s="3327"/>
      <c r="L78" s="3326"/>
      <c r="M78" s="3087" t="s">
        <v>425</v>
      </c>
      <c r="N78" s="1302"/>
      <c r="O78" s="1303" t="str">
        <f ca="1">NUMBERSTRING(INT(O77*10000),2)&amp;"元整"</f>
        <v>贰仟叁佰叁拾贰万元整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47">
        <f>K77+1</f>
        <v>6</v>
      </c>
      <c r="L79" s="3326" t="s">
        <v>2892</v>
      </c>
      <c r="M79" s="3087" t="s">
        <v>421</v>
      </c>
      <c r="N79" s="1302"/>
      <c r="O79" s="1303">
        <f ca="1">N69-O77</f>
        <v>5567</v>
      </c>
      <c r="P79" s="1304"/>
      <c r="Q79" s="2029"/>
      <c r="R79" s="2029"/>
      <c r="S79" s="2029"/>
      <c r="T79" s="2029"/>
      <c r="U79" s="2029"/>
      <c r="V79" s="2029"/>
    </row>
    <row r="80" spans="1:22" ht="25.5">
      <c r="A80" s="3316" t="s">
        <v>428</v>
      </c>
      <c r="B80" s="3317"/>
      <c r="C80" s="994"/>
      <c r="D80" s="994" t="s">
        <v>429</v>
      </c>
      <c r="E80" s="370" t="s">
        <v>430</v>
      </c>
      <c r="F80" s="42"/>
      <c r="G80" s="42"/>
      <c r="H80" s="1003"/>
      <c r="I80" s="311"/>
      <c r="J80" s="2029"/>
      <c r="K80" s="3348"/>
      <c r="L80" s="3326"/>
      <c r="M80" s="3087" t="s">
        <v>425</v>
      </c>
      <c r="N80" s="1302"/>
      <c r="O80" s="1303" t="str">
        <f ca="1">NUMBERSTRING(INT(O79*10000),2)&amp;"元整"</f>
        <v>伍仟伍佰陆拾柒万元整</v>
      </c>
      <c r="P80" s="1304"/>
      <c r="Q80" s="2029"/>
      <c r="R80" s="2029"/>
      <c r="S80" s="2029"/>
      <c r="T80" s="2029"/>
      <c r="U80" s="2029"/>
      <c r="V80" s="2029"/>
    </row>
    <row r="81" spans="1:26" ht="13.5" thickBot="1">
      <c r="A81" s="381" t="s">
        <v>1825</v>
      </c>
      <c r="B81" s="371" t="s">
        <v>431</v>
      </c>
      <c r="C81" s="372">
        <f ca="1">ROUND((C82+C83)/(1+'数据-取费表'!C42),0)</f>
        <v>4488</v>
      </c>
      <c r="D81" s="373"/>
      <c r="E81" s="374"/>
      <c r="F81" s="42"/>
      <c r="G81" s="42"/>
      <c r="H81" s="1003"/>
      <c r="I81" s="311"/>
      <c r="J81" s="2029"/>
      <c r="K81" s="3081">
        <f>K79+1</f>
        <v>7</v>
      </c>
      <c r="L81" s="3324" t="s">
        <v>2893</v>
      </c>
      <c r="M81" s="3325"/>
      <c r="N81" s="1306"/>
      <c r="O81" s="1307">
        <f ca="1">ROUND(O79*10000/'数据-汇总表'!E3,0)</f>
        <v>885</v>
      </c>
      <c r="P81" s="1308"/>
      <c r="Q81" s="2029"/>
      <c r="R81" s="2029"/>
      <c r="S81" s="2029"/>
      <c r="T81" s="2029"/>
      <c r="U81" s="2029"/>
      <c r="V81" s="2029"/>
    </row>
    <row r="82" spans="1:26" ht="13.5" thickTop="1">
      <c r="A82" s="375" t="s">
        <v>1826</v>
      </c>
      <c r="B82" s="376" t="s">
        <v>432</v>
      </c>
      <c r="C82" s="377">
        <f ca="1">D63</f>
        <v>4739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36" t="s">
        <v>2880</v>
      </c>
      <c r="L83" s="3093" t="s">
        <v>2881</v>
      </c>
      <c r="M83" s="3083">
        <f ca="1">IF(N69&gt;10000,N69*0.5%,IF(AND(N69&gt;1000,N69&lt;=10000),N69*1%,IF(AND(N69&gt;100,N69&lt;=1000),N69*3%,IF(AND(N69&gt;10,N69&lt;=100),N69*5%,N69*8%))))</f>
        <v>78.989999999999995</v>
      </c>
      <c r="N83" s="53">
        <f ca="1">ROUND(M83,1)</f>
        <v>79</v>
      </c>
      <c r="O83" s="3086"/>
      <c r="P83" s="2029"/>
      <c r="Q83" s="2029"/>
      <c r="R83" s="2029"/>
      <c r="S83" s="2029"/>
      <c r="T83" s="2029"/>
      <c r="U83" s="2029"/>
      <c r="V83" s="2029"/>
    </row>
    <row r="84" spans="1:26" ht="12.75">
      <c r="A84" s="381" t="s">
        <v>1828</v>
      </c>
      <c r="B84" s="382" t="s">
        <v>434</v>
      </c>
      <c r="C84" s="383">
        <v>2000</v>
      </c>
      <c r="D84" s="384" t="s">
        <v>19</v>
      </c>
      <c r="E84" s="3128" t="s">
        <v>2945</v>
      </c>
      <c r="F84" s="42"/>
      <c r="G84" s="42"/>
      <c r="H84" s="1003"/>
      <c r="I84" s="311"/>
      <c r="J84" s="2029"/>
      <c r="K84" s="3336"/>
      <c r="L84" s="3093" t="s">
        <v>2882</v>
      </c>
      <c r="M84" s="3083">
        <f ca="1">IF(N69&gt;2000,N69*0.5%,IF(AND(N69&gt;1000,N69&lt;=2000),N69*0.6%,IF(AND(N69&gt;500,N69&lt;=1000),N69*0.7%,IF(AND(N69&gt;200,N69&lt;=500),N69*0.8%,IF(AND(N69&gt;100,N69&lt;=200),N69*0.9%,IF(AND(N69&gt;50,N69&lt;=100),N69*1%,IF(AND(N69&gt;20,N69&lt;=50),N69*1.5%,IF(AND(N69&gt;10,N69&lt;=20),N69*2%,IF(AND(N69&gt;1,N69&lt;=10),N69*2.5%)))))))))</f>
        <v>39.494999999999997</v>
      </c>
      <c r="N84" s="53">
        <f t="shared" ref="N84:N85" ca="1" si="2">ROUND(M84,1)</f>
        <v>39.5</v>
      </c>
      <c r="O84" s="2029" t="s">
        <v>2883</v>
      </c>
      <c r="P84" s="2029"/>
      <c r="Q84" s="2029"/>
      <c r="R84" s="2029"/>
      <c r="S84" s="2029"/>
      <c r="T84" s="2029"/>
      <c r="U84" s="2029"/>
      <c r="V84" s="2029"/>
    </row>
    <row r="85" spans="1:26" ht="12.75">
      <c r="A85" s="381" t="s">
        <v>1829</v>
      </c>
      <c r="B85" s="382" t="s">
        <v>435</v>
      </c>
      <c r="C85" s="385">
        <f ca="1">C81-C84</f>
        <v>2488</v>
      </c>
      <c r="D85" s="378" t="s">
        <v>19</v>
      </c>
      <c r="E85" s="379"/>
      <c r="F85" s="42"/>
      <c r="G85" s="42"/>
      <c r="H85" s="1003"/>
      <c r="I85" s="311"/>
      <c r="J85" s="2029"/>
      <c r="K85" s="3336"/>
      <c r="L85" s="3093" t="s">
        <v>2884</v>
      </c>
      <c r="M85" s="3083">
        <f ca="1">IF(N69&gt;1000,N69*0.1%,IF(AND(N69&gt;500,N69&lt;=1000),N69*0.5%,IF(AND(N69&gt;50,N69&lt;=500),N69*1%,IF(AND(N69&gt;1,N69&lt;=50),N69*1.5%))))</f>
        <v>7.899</v>
      </c>
      <c r="N85" s="53">
        <f t="shared" ca="1" si="2"/>
        <v>7.9</v>
      </c>
      <c r="O85" s="2029" t="s">
        <v>2883</v>
      </c>
      <c r="P85" s="2029"/>
      <c r="Q85" s="2029"/>
      <c r="R85" s="2029"/>
      <c r="S85" s="2029"/>
      <c r="T85" s="2029"/>
      <c r="U85" s="2029"/>
      <c r="V85" s="2029"/>
    </row>
    <row r="86" spans="1:26" ht="13.5" thickBot="1">
      <c r="A86" s="386" t="s">
        <v>1830</v>
      </c>
      <c r="B86" s="387" t="s">
        <v>436</v>
      </c>
      <c r="C86" s="388">
        <f ca="1">IF(C85&lt;=0,0,ROUND(C85*D86,0))</f>
        <v>159</v>
      </c>
      <c r="D86" s="389">
        <f>'数据-取费表'!B41</f>
        <v>6.3840000000000008E-2</v>
      </c>
      <c r="E86" s="390"/>
      <c r="F86" s="42"/>
      <c r="G86" s="42"/>
      <c r="H86" s="1003"/>
      <c r="I86" s="311"/>
      <c r="J86" s="2029"/>
      <c r="K86" s="3336"/>
      <c r="L86" s="3093" t="s">
        <v>2885</v>
      </c>
      <c r="M86" s="3083">
        <f ca="1">N69*0.5%</f>
        <v>39.494999999999997</v>
      </c>
      <c r="N86" s="53">
        <f ca="1">IF(M86&gt;0.5,0.5,ROUND(M86,0))</f>
        <v>0.5</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6"/>
      <c r="L87" s="3093" t="s">
        <v>2887</v>
      </c>
      <c r="M87" s="3083">
        <f ca="1">IF(N69&gt;=10000,(8.25+(N69-10000)*0.01%),IF(AND(N69&gt;=8000,N69&lt;10000),(7.85+(N69-8000)*0.02%),IF(AND(N69&gt;=5000,N69&lt;8000),(6.65+(N69-5000)*0.04%),IF(AND(N69&gt;=2000,N69&lt;5000),(4.25+(PN69-2000)*0.08%),IF(AND(N69&gt;=1000,N69&lt;2000),(2.75+(N69-1000)*0.15%),IF(AND(N69&gt;=100,N69&lt;1000),(0.5+(N69-100)*0.25%),IF(AND(N69&gt;0,N69&lt;100),N69*0.5%)))))))</f>
        <v>7.8096000000000005</v>
      </c>
      <c r="N87" s="53">
        <f ca="1">ROUND(M87*0.9,1)</f>
        <v>7</v>
      </c>
      <c r="O87" s="3086"/>
      <c r="P87" s="311"/>
      <c r="Q87" s="2029"/>
      <c r="R87" s="2029"/>
      <c r="S87" s="2029"/>
      <c r="T87" s="2029"/>
      <c r="U87" s="2029"/>
      <c r="V87" s="2029"/>
      <c r="W87" s="292"/>
      <c r="X87" s="292"/>
      <c r="Y87" s="292"/>
      <c r="Z87" s="292"/>
    </row>
    <row r="88" spans="1:26" s="1314" customFormat="1" ht="15" thickBot="1">
      <c r="A88" s="3318" t="s">
        <v>437</v>
      </c>
      <c r="B88" s="3319"/>
      <c r="C88" s="3319"/>
      <c r="D88" s="3319"/>
      <c r="E88" s="3319"/>
      <c r="F88" s="3319"/>
      <c r="G88" s="3319"/>
      <c r="H88" s="3319"/>
      <c r="I88" s="1315"/>
      <c r="J88" s="2037"/>
      <c r="K88" s="3336"/>
      <c r="L88" s="3093" t="s">
        <v>2888</v>
      </c>
      <c r="M88" s="3083">
        <f ca="1">IF(N69&gt;10000,N69*0.5%,IF(AND(N69&gt;5000,N69&lt;=10000),N69*1%,IF(AND(N69&gt;1000,N69&lt;=5000),N69*2%,IF(AND(N69&gt;200,N69&lt;=1000),N69*3%,N69*5%))))</f>
        <v>78.989999999999995</v>
      </c>
      <c r="N88" s="53">
        <f ca="1">ROUND(M88,1)</f>
        <v>79</v>
      </c>
      <c r="O88" s="3086"/>
      <c r="P88" s="11"/>
      <c r="Q88" s="2034"/>
      <c r="R88" s="2034"/>
      <c r="S88" s="2034"/>
      <c r="T88" s="2034"/>
      <c r="U88" s="2034"/>
      <c r="V88" s="2034"/>
      <c r="W88" s="2038"/>
      <c r="X88" s="2038"/>
      <c r="Y88" s="2038"/>
      <c r="Z88" s="2038"/>
    </row>
    <row r="89" spans="1:26" s="1314" customFormat="1" ht="14.25">
      <c r="A89" s="3316" t="s">
        <v>428</v>
      </c>
      <c r="B89" s="3317"/>
      <c r="C89" s="994"/>
      <c r="D89" s="994" t="s">
        <v>429</v>
      </c>
      <c r="E89" s="391" t="s">
        <v>438</v>
      </c>
      <c r="F89" s="392"/>
      <c r="G89" s="392"/>
      <c r="H89" s="393"/>
      <c r="I89" s="1316"/>
      <c r="J89" s="2039"/>
      <c r="K89" s="3336"/>
      <c r="L89" s="3093" t="s">
        <v>27</v>
      </c>
      <c r="M89" s="3084"/>
      <c r="N89" s="53">
        <f ca="1">ROUND(SUM(N83:N88),0)</f>
        <v>213</v>
      </c>
      <c r="O89" s="3094">
        <f ca="1">N89/N69</f>
        <v>2.6965438663121913E-2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4488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2616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279" t="s">
        <v>447</v>
      </c>
      <c r="F94" s="3278"/>
      <c r="G94" s="3278"/>
      <c r="H94" s="331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2431</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35</v>
      </c>
      <c r="D96" s="406">
        <f>'数据-取费表'!B43</f>
        <v>7.8400000000000015E-3</v>
      </c>
      <c r="E96" s="3307" t="s">
        <v>2430</v>
      </c>
      <c r="F96" s="3308"/>
      <c r="G96" s="3308"/>
      <c r="H96" s="330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1872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0.7155963302752294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618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8" t="s">
        <v>454</v>
      </c>
      <c r="B101" s="3319"/>
      <c r="C101" s="3319"/>
      <c r="D101" s="3319"/>
      <c r="E101" s="3319"/>
      <c r="F101" s="3319"/>
      <c r="G101" s="3319"/>
      <c r="H101" s="331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6" t="s">
        <v>428</v>
      </c>
      <c r="B102" s="331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4488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730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310" t="s">
        <v>462</v>
      </c>
      <c r="F109" s="3308"/>
      <c r="G109" s="3308"/>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310" t="s">
        <v>464</v>
      </c>
      <c r="F110" s="3308"/>
      <c r="G110" s="3308"/>
      <c r="H110" s="330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35</v>
      </c>
      <c r="D111" s="406">
        <f>'数据-取费表'!B43</f>
        <v>7.8400000000000015E-3</v>
      </c>
      <c r="E111" s="3307" t="s">
        <v>2430</v>
      </c>
      <c r="F111" s="3308"/>
      <c r="G111" s="3308"/>
      <c r="H111" s="330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310" t="s">
        <v>2455</v>
      </c>
      <c r="F112" s="3308"/>
      <c r="G112" s="3308"/>
      <c r="H112" s="330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3758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5.1479452054794521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1999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5" zoomScale="80" zoomScaleNormal="95" zoomScaleSheetLayoutView="80" workbookViewId="0">
      <selection activeCell="M40" sqref="M4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6033</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959</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2110</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141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361" t="s">
        <v>523</v>
      </c>
      <c r="D6" s="3362"/>
      <c r="E6" s="3361" t="s">
        <v>524</v>
      </c>
      <c r="F6" s="3362"/>
      <c r="G6" s="3361" t="s">
        <v>525</v>
      </c>
      <c r="H6" s="3362"/>
      <c r="I6" s="3361" t="s">
        <v>526</v>
      </c>
      <c r="J6" s="3362"/>
      <c r="K6" s="514" t="s">
        <v>527</v>
      </c>
      <c r="L6" s="2134"/>
      <c r="M6" s="2133"/>
      <c r="N6" s="2133"/>
      <c r="O6" s="2135"/>
      <c r="P6" s="3363" t="s">
        <v>528</v>
      </c>
      <c r="Q6" s="3364"/>
      <c r="R6" s="3369" t="s">
        <v>524</v>
      </c>
      <c r="S6" s="3370"/>
      <c r="T6" s="3369" t="s">
        <v>525</v>
      </c>
      <c r="U6" s="3370"/>
      <c r="V6" s="3356" t="s">
        <v>526</v>
      </c>
      <c r="W6" s="3356"/>
      <c r="X6" s="1568"/>
      <c r="Y6" s="3369" t="s">
        <v>528</v>
      </c>
      <c r="Z6" s="3370"/>
      <c r="AA6" s="3358" t="s">
        <v>524</v>
      </c>
      <c r="AB6" s="3359" t="s">
        <v>525</v>
      </c>
      <c r="AC6" s="3358" t="s">
        <v>526</v>
      </c>
    </row>
    <row r="7" spans="1:30" ht="20.25">
      <c r="A7" s="515"/>
      <c r="B7" s="516"/>
      <c r="C7" s="3379" t="s">
        <v>2932</v>
      </c>
      <c r="D7" s="3378"/>
      <c r="E7" s="3377" t="s">
        <v>3180</v>
      </c>
      <c r="F7" s="3378"/>
      <c r="G7" s="3377" t="s">
        <v>3182</v>
      </c>
      <c r="H7" s="3378"/>
      <c r="I7" s="3377" t="s">
        <v>3184</v>
      </c>
      <c r="J7" s="3378"/>
      <c r="K7" s="514"/>
      <c r="L7" s="2134"/>
      <c r="M7" s="2133"/>
      <c r="N7" s="2133"/>
      <c r="O7" s="2135"/>
      <c r="P7" s="3365"/>
      <c r="Q7" s="3366"/>
      <c r="R7" s="3371"/>
      <c r="S7" s="3372"/>
      <c r="T7" s="3371"/>
      <c r="U7" s="3372"/>
      <c r="V7" s="3356"/>
      <c r="W7" s="3356"/>
      <c r="X7" s="1568"/>
      <c r="Y7" s="3371"/>
      <c r="Z7" s="3372"/>
      <c r="AA7" s="3359"/>
      <c r="AB7" s="3359"/>
      <c r="AC7" s="3359"/>
    </row>
    <row r="8" spans="1:30" ht="21" thickBot="1">
      <c r="A8" s="515"/>
      <c r="B8" s="516"/>
      <c r="C8" s="3380" t="s">
        <v>2936</v>
      </c>
      <c r="D8" s="3381"/>
      <c r="E8" s="3382" t="s">
        <v>3181</v>
      </c>
      <c r="F8" s="3381"/>
      <c r="G8" s="3375" t="s">
        <v>3183</v>
      </c>
      <c r="H8" s="3376"/>
      <c r="I8" s="3375" t="s">
        <v>3183</v>
      </c>
      <c r="J8" s="3376"/>
      <c r="K8" s="514" t="s">
        <v>529</v>
      </c>
      <c r="L8" s="2134"/>
      <c r="M8" s="2133"/>
      <c r="N8" s="2133"/>
      <c r="O8" s="2135"/>
      <c r="P8" s="3367"/>
      <c r="Q8" s="3368"/>
      <c r="R8" s="3371"/>
      <c r="S8" s="3372"/>
      <c r="T8" s="3373"/>
      <c r="U8" s="3374"/>
      <c r="V8" s="3356"/>
      <c r="W8" s="3356"/>
      <c r="X8" s="1568"/>
      <c r="Y8" s="3373"/>
      <c r="Z8" s="3374"/>
      <c r="AA8" s="3360"/>
      <c r="AB8" s="3360"/>
      <c r="AC8" s="3360"/>
    </row>
    <row r="9" spans="1:30" s="1220" customFormat="1" ht="21" thickBot="1">
      <c r="A9" s="2939"/>
      <c r="B9" s="2946" t="s">
        <v>530</v>
      </c>
      <c r="C9" s="2938">
        <f>'数据-取费表'!B2</f>
        <v>43061</v>
      </c>
      <c r="D9" s="520">
        <v>100</v>
      </c>
      <c r="E9" s="521">
        <v>43027</v>
      </c>
      <c r="F9" s="522">
        <f>SUMIF(72:72,YEAR(E9)&amp;"-"&amp;INT((MONTH(E9)+2)/3),73:73)</f>
        <v>100</v>
      </c>
      <c r="G9" s="523">
        <v>42923</v>
      </c>
      <c r="H9" s="520">
        <f>SUMIF(72:72,YEAR(G9)&amp;"-"&amp;INT((MONTH(G9)+2)/3),73:73)</f>
        <v>98</v>
      </c>
      <c r="I9" s="523">
        <v>42923</v>
      </c>
      <c r="J9" s="520">
        <f>SUMIF(72:72,YEAR(I9)&amp;"-"&amp;INT((MONTH(I9)+2)/3),73:73)</f>
        <v>98</v>
      </c>
      <c r="K9" s="524"/>
      <c r="L9" s="2136"/>
      <c r="M9" s="2133"/>
      <c r="N9" s="2133"/>
      <c r="O9" s="2137"/>
      <c r="P9" s="3388" t="s">
        <v>531</v>
      </c>
      <c r="Q9" s="3390"/>
      <c r="R9" s="1569" t="s">
        <v>8</v>
      </c>
      <c r="S9" s="1570">
        <f t="shared" ref="S9:S17" si="0">F9</f>
        <v>100</v>
      </c>
      <c r="T9" s="1569" t="s">
        <v>8</v>
      </c>
      <c r="U9" s="1570">
        <f t="shared" ref="U9:U17" si="1">H9</f>
        <v>98</v>
      </c>
      <c r="V9" s="1569" t="s">
        <v>8</v>
      </c>
      <c r="W9" s="1570">
        <f t="shared" ref="W9:W17" si="2">J9</f>
        <v>98</v>
      </c>
      <c r="X9" s="1571"/>
      <c r="Y9" s="3388" t="s">
        <v>531</v>
      </c>
      <c r="Z9" s="3389"/>
      <c r="AA9" s="1572">
        <f>D9/F9</f>
        <v>1</v>
      </c>
      <c r="AB9" s="1572">
        <f>D9/H9</f>
        <v>1.0204081632653061</v>
      </c>
      <c r="AC9" s="1572">
        <f>D9/J9</f>
        <v>1.0204081632653061</v>
      </c>
    </row>
    <row r="10" spans="1:30" s="1220" customFormat="1" ht="21" thickBot="1">
      <c r="A10" s="2940"/>
      <c r="B10" s="2947" t="s">
        <v>532</v>
      </c>
      <c r="C10" s="856" t="s">
        <v>533</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88" t="s">
        <v>534</v>
      </c>
      <c r="Q10" s="3389"/>
      <c r="R10" s="1569" t="s">
        <v>8</v>
      </c>
      <c r="S10" s="1570">
        <f t="shared" si="0"/>
        <v>100</v>
      </c>
      <c r="T10" s="1569" t="s">
        <v>8</v>
      </c>
      <c r="U10" s="1570">
        <f t="shared" si="1"/>
        <v>100</v>
      </c>
      <c r="V10" s="1569" t="s">
        <v>8</v>
      </c>
      <c r="W10" s="1570">
        <f t="shared" si="2"/>
        <v>100</v>
      </c>
      <c r="X10" s="1571"/>
      <c r="Y10" s="3388" t="s">
        <v>534</v>
      </c>
      <c r="Z10" s="3389"/>
      <c r="AA10" s="1572">
        <f t="shared" ref="AA10:AA47" si="3">D10/F10</f>
        <v>1</v>
      </c>
      <c r="AB10" s="1572">
        <f t="shared" ref="AB10:AB47" si="4">D10/H10</f>
        <v>1</v>
      </c>
      <c r="AC10" s="1572">
        <f t="shared" ref="AC10:AC47" si="5">D10/J10</f>
        <v>1</v>
      </c>
    </row>
    <row r="11" spans="1:30" s="1220" customFormat="1" ht="28.5">
      <c r="A11" s="2941"/>
      <c r="B11" s="2948" t="s">
        <v>2762</v>
      </c>
      <c r="C11" s="2935" t="s">
        <v>3009</v>
      </c>
      <c r="D11" s="254">
        <v>100</v>
      </c>
      <c r="E11" s="526" t="s">
        <v>3034</v>
      </c>
      <c r="F11" s="254">
        <f>SUMIF(77:77,E11,78:78)-SUMIF(77:77,C11,78:78)+100</f>
        <v>100</v>
      </c>
      <c r="G11" s="526" t="s">
        <v>3034</v>
      </c>
      <c r="H11" s="254">
        <f>SUMIF(77:77,G11,78:78)-SUMIF(77:77,C11,78:78)+100</f>
        <v>100</v>
      </c>
      <c r="I11" s="526" t="s">
        <v>3034</v>
      </c>
      <c r="J11" s="254">
        <f>SUMIF(77:77,I11,78:78)-SUMIF(77:77,C11,78:78)+100</f>
        <v>100</v>
      </c>
      <c r="K11" s="524"/>
      <c r="L11" s="2136"/>
      <c r="M11" s="2133"/>
      <c r="N11" s="2133"/>
      <c r="O11" s="2138"/>
      <c r="P11" s="3355" t="s">
        <v>536</v>
      </c>
      <c r="Q11" s="1151" t="str">
        <f t="shared" ref="Q11:Q17" si="6">B11</f>
        <v>用途</v>
      </c>
      <c r="R11" s="1569" t="s">
        <v>8</v>
      </c>
      <c r="S11" s="1570">
        <f t="shared" si="0"/>
        <v>100</v>
      </c>
      <c r="T11" s="1569" t="s">
        <v>8</v>
      </c>
      <c r="U11" s="1570">
        <f t="shared" si="1"/>
        <v>100</v>
      </c>
      <c r="V11" s="1569" t="s">
        <v>8</v>
      </c>
      <c r="W11" s="1570">
        <f t="shared" si="2"/>
        <v>100</v>
      </c>
      <c r="X11" s="1571"/>
      <c r="Y11" s="3301" t="s">
        <v>537</v>
      </c>
      <c r="Z11" s="1150" t="str">
        <f t="shared" ref="Z11:Z17" si="7">Q11</f>
        <v>用途</v>
      </c>
      <c r="AA11" s="1572">
        <f t="shared" si="3"/>
        <v>1</v>
      </c>
      <c r="AB11" s="1572">
        <f t="shared" si="4"/>
        <v>1</v>
      </c>
      <c r="AC11" s="1572">
        <f t="shared" si="5"/>
        <v>1</v>
      </c>
    </row>
    <row r="12" spans="1:30" s="1338" customFormat="1" ht="28.5">
      <c r="A12" s="2942"/>
      <c r="B12" s="2947" t="s">
        <v>2763</v>
      </c>
      <c r="C12" s="910" t="str">
        <f>项目基本情况!D20</f>
        <v>住宅66.31年、商业36.29年</v>
      </c>
      <c r="D12" s="255">
        <v>100</v>
      </c>
      <c r="E12" s="529" t="s">
        <v>3036</v>
      </c>
      <c r="F12" s="255">
        <f>ROUND(100/'数据-取费表'!G16,0)</f>
        <v>101</v>
      </c>
      <c r="G12" s="530" t="s">
        <v>3036</v>
      </c>
      <c r="H12" s="255">
        <f>ROUND(100/'数据-取费表'!G16,0)</f>
        <v>101</v>
      </c>
      <c r="I12" s="530" t="s">
        <v>3036</v>
      </c>
      <c r="J12" s="255">
        <f>ROUND(100/'数据-取费表'!G16,0)</f>
        <v>101</v>
      </c>
      <c r="K12" s="531"/>
      <c r="L12" s="2139"/>
      <c r="M12" s="2133"/>
      <c r="N12" s="2133"/>
      <c r="O12" s="2140"/>
      <c r="P12" s="3355"/>
      <c r="Q12" s="1151" t="str">
        <f t="shared" si="6"/>
        <v>土地使用年限（年）</v>
      </c>
      <c r="R12" s="1569" t="s">
        <v>8</v>
      </c>
      <c r="S12" s="1570">
        <f t="shared" si="0"/>
        <v>101</v>
      </c>
      <c r="T12" s="1569" t="s">
        <v>8</v>
      </c>
      <c r="U12" s="1570">
        <f t="shared" si="1"/>
        <v>101</v>
      </c>
      <c r="V12" s="1569" t="s">
        <v>8</v>
      </c>
      <c r="W12" s="1570">
        <f t="shared" si="2"/>
        <v>101</v>
      </c>
      <c r="X12" s="1571"/>
      <c r="Y12" s="3301"/>
      <c r="Z12" s="1150" t="str">
        <f t="shared" si="7"/>
        <v>土地使用年限（年）</v>
      </c>
      <c r="AA12" s="1572">
        <f t="shared" si="3"/>
        <v>0.99009900990099009</v>
      </c>
      <c r="AB12" s="1572">
        <f t="shared" si="4"/>
        <v>0.99009900990099009</v>
      </c>
      <c r="AC12" s="1572">
        <f t="shared" si="5"/>
        <v>0.99009900990099009</v>
      </c>
    </row>
    <row r="13" spans="1:30" ht="21" thickBot="1">
      <c r="A13" s="2943"/>
      <c r="B13" s="2947" t="s">
        <v>2764</v>
      </c>
      <c r="C13" s="534">
        <v>2.2000000000000002</v>
      </c>
      <c r="D13" s="255">
        <v>100</v>
      </c>
      <c r="E13" s="533">
        <v>2.8</v>
      </c>
      <c r="F13" s="255">
        <f>LOOKUP(E13,82:82,83:83)-LOOKUP(C13,82:82,83:83)+100</f>
        <v>100</v>
      </c>
      <c r="G13" s="534">
        <v>1.2</v>
      </c>
      <c r="H13" s="255">
        <f>LOOKUP(G13,82:82,83:83)-LOOKUP(C13,82:82,83:83)+100</f>
        <v>101</v>
      </c>
      <c r="I13" s="533">
        <v>1.2</v>
      </c>
      <c r="J13" s="255">
        <f>LOOKUP(I13,82:82,83:83)-LOOKUP(C13,82:82,83:83)+100</f>
        <v>101</v>
      </c>
      <c r="K13" s="535">
        <v>1</v>
      </c>
      <c r="L13" s="2141"/>
      <c r="M13" s="2133"/>
      <c r="N13" s="2133"/>
      <c r="O13" s="2142"/>
      <c r="P13" s="3355"/>
      <c r="Q13" s="1151" t="str">
        <f t="shared" si="6"/>
        <v>容积率</v>
      </c>
      <c r="R13" s="1569" t="s">
        <v>8</v>
      </c>
      <c r="S13" s="1570">
        <f t="shared" si="0"/>
        <v>100</v>
      </c>
      <c r="T13" s="1569" t="s">
        <v>8</v>
      </c>
      <c r="U13" s="1570">
        <f t="shared" si="1"/>
        <v>101</v>
      </c>
      <c r="V13" s="1569" t="s">
        <v>8</v>
      </c>
      <c r="W13" s="1570">
        <f t="shared" si="2"/>
        <v>101</v>
      </c>
      <c r="X13" s="1571"/>
      <c r="Y13" s="3301"/>
      <c r="Z13" s="1150" t="str">
        <f t="shared" si="7"/>
        <v>容积率</v>
      </c>
      <c r="AA13" s="1572">
        <f t="shared" si="3"/>
        <v>1</v>
      </c>
      <c r="AB13" s="1572">
        <f t="shared" si="4"/>
        <v>0.99009900990099009</v>
      </c>
      <c r="AC13" s="1572">
        <f t="shared" si="5"/>
        <v>0.99009900990099009</v>
      </c>
    </row>
    <row r="14" spans="1:30" s="1220" customFormat="1" ht="20.25" hidden="1">
      <c r="A14" s="2940"/>
      <c r="B14" s="2949" t="s">
        <v>2765</v>
      </c>
      <c r="C14" s="293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5"/>
      <c r="Q14" s="1151" t="str">
        <f t="shared" si="6"/>
        <v>配建</v>
      </c>
      <c r="R14" s="1569" t="s">
        <v>8</v>
      </c>
      <c r="S14" s="1570">
        <f t="shared" si="0"/>
        <v>100</v>
      </c>
      <c r="T14" s="1569" t="s">
        <v>8</v>
      </c>
      <c r="U14" s="1570">
        <f t="shared" si="1"/>
        <v>100</v>
      </c>
      <c r="V14" s="1569" t="s">
        <v>8</v>
      </c>
      <c r="W14" s="1570">
        <f t="shared" si="2"/>
        <v>100</v>
      </c>
      <c r="X14" s="1571"/>
      <c r="Y14" s="3301"/>
      <c r="Z14" s="1150" t="str">
        <f t="shared" si="7"/>
        <v>配建</v>
      </c>
      <c r="AA14" s="1572">
        <f>D14/F14</f>
        <v>1</v>
      </c>
      <c r="AB14" s="1572">
        <f>D14/H14</f>
        <v>1</v>
      </c>
      <c r="AC14" s="1572">
        <f>D14/J14</f>
        <v>1</v>
      </c>
    </row>
    <row r="15" spans="1:30" ht="20.25" hidden="1">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5"/>
      <c r="Q15" s="1151">
        <f t="shared" si="6"/>
        <v>111</v>
      </c>
      <c r="R15" s="1569" t="s">
        <v>8</v>
      </c>
      <c r="S15" s="1570">
        <f t="shared" si="0"/>
        <v>100</v>
      </c>
      <c r="T15" s="1569" t="s">
        <v>8</v>
      </c>
      <c r="U15" s="1570">
        <f t="shared" si="1"/>
        <v>100</v>
      </c>
      <c r="V15" s="1569" t="s">
        <v>8</v>
      </c>
      <c r="W15" s="1570">
        <f t="shared" si="2"/>
        <v>100</v>
      </c>
      <c r="X15" s="1571"/>
      <c r="Y15" s="3301"/>
      <c r="Z15" s="1150">
        <f t="shared" si="7"/>
        <v>111</v>
      </c>
      <c r="AA15" s="1572">
        <f>D15/F15</f>
        <v>1</v>
      </c>
      <c r="AB15" s="1572">
        <f>D15/H15</f>
        <v>1</v>
      </c>
      <c r="AC15" s="1572">
        <f>D15/J15</f>
        <v>1</v>
      </c>
    </row>
    <row r="16" spans="1:30" ht="21" hidden="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5"/>
      <c r="Q16" s="1151">
        <f t="shared" si="6"/>
        <v>111</v>
      </c>
      <c r="R16" s="1569" t="s">
        <v>8</v>
      </c>
      <c r="S16" s="1570">
        <f t="shared" si="0"/>
        <v>100</v>
      </c>
      <c r="T16" s="1569" t="s">
        <v>8</v>
      </c>
      <c r="U16" s="1570">
        <f t="shared" si="1"/>
        <v>100</v>
      </c>
      <c r="V16" s="1569" t="s">
        <v>8</v>
      </c>
      <c r="W16" s="1570">
        <f t="shared" si="2"/>
        <v>100</v>
      </c>
      <c r="X16" s="1571"/>
      <c r="Y16" s="3301"/>
      <c r="Z16" s="1150">
        <f t="shared" si="7"/>
        <v>111</v>
      </c>
      <c r="AA16" s="1572">
        <f>D16/F16</f>
        <v>1</v>
      </c>
      <c r="AB16" s="1572">
        <f>D16/H16</f>
        <v>1</v>
      </c>
      <c r="AC16" s="1572">
        <f>D16/J16</f>
        <v>1</v>
      </c>
    </row>
    <row r="17" spans="1:29" ht="99.75">
      <c r="A17" s="2937"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97</v>
      </c>
      <c r="I17" s="552"/>
      <c r="J17" s="549">
        <f>SUMIF(90:90,I18,91:91)-SUMIF(90:90,C18,91:91)+100</f>
        <v>97</v>
      </c>
      <c r="K17" s="535">
        <v>3</v>
      </c>
      <c r="L17" s="2143"/>
      <c r="M17" s="2133"/>
      <c r="N17" s="2133"/>
      <c r="O17" s="2142"/>
      <c r="P17" s="3391" t="s">
        <v>541</v>
      </c>
      <c r="Q17" s="1573" t="str">
        <f t="shared" si="6"/>
        <v>居住社区成熟度</v>
      </c>
      <c r="R17" s="1574" t="s">
        <v>8</v>
      </c>
      <c r="S17" s="1575">
        <f t="shared" si="0"/>
        <v>100</v>
      </c>
      <c r="T17" s="1574" t="s">
        <v>8</v>
      </c>
      <c r="U17" s="1575">
        <f t="shared" si="1"/>
        <v>97</v>
      </c>
      <c r="V17" s="1574" t="s">
        <v>8</v>
      </c>
      <c r="W17" s="1575">
        <f t="shared" si="2"/>
        <v>97</v>
      </c>
      <c r="X17" s="1568"/>
      <c r="Y17" s="3391" t="s">
        <v>541</v>
      </c>
      <c r="Z17" s="1576" t="str">
        <f t="shared" si="7"/>
        <v>居住社区成熟度</v>
      </c>
      <c r="AA17" s="1577">
        <f t="shared" si="3"/>
        <v>1</v>
      </c>
      <c r="AB17" s="1577">
        <f t="shared" si="4"/>
        <v>1.0309278350515463</v>
      </c>
      <c r="AC17" s="1577">
        <f t="shared" si="5"/>
        <v>1.0309278350515463</v>
      </c>
    </row>
    <row r="18" spans="1:29" ht="20.25">
      <c r="A18" s="532"/>
      <c r="B18" s="553"/>
      <c r="C18" s="554" t="s">
        <v>3022</v>
      </c>
      <c r="D18" s="557"/>
      <c r="E18" s="558" t="s">
        <v>3022</v>
      </c>
      <c r="F18" s="555"/>
      <c r="G18" s="556" t="s">
        <v>3024</v>
      </c>
      <c r="H18" s="559"/>
      <c r="I18" s="558" t="s">
        <v>3024</v>
      </c>
      <c r="J18" s="555"/>
      <c r="K18" s="531"/>
      <c r="L18" s="2143"/>
      <c r="M18" s="2133"/>
      <c r="N18" s="2133"/>
      <c r="O18" s="2142"/>
      <c r="P18" s="3392"/>
      <c r="Q18" s="1573"/>
      <c r="R18" s="1574"/>
      <c r="S18" s="1575"/>
      <c r="T18" s="1574"/>
      <c r="U18" s="1575"/>
      <c r="V18" s="1574"/>
      <c r="W18" s="1575"/>
      <c r="X18" s="1568"/>
      <c r="Y18" s="3392"/>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92"/>
      <c r="Q19" s="1573" t="str">
        <f>B19</f>
        <v>商业繁华度</v>
      </c>
      <c r="R19" s="1574" t="s">
        <v>8</v>
      </c>
      <c r="S19" s="1575">
        <f>F19</f>
        <v>100</v>
      </c>
      <c r="T19" s="1574" t="s">
        <v>8</v>
      </c>
      <c r="U19" s="1575">
        <f>H19</f>
        <v>100</v>
      </c>
      <c r="V19" s="1574" t="s">
        <v>8</v>
      </c>
      <c r="W19" s="1575">
        <f>J19</f>
        <v>100</v>
      </c>
      <c r="X19" s="1568"/>
      <c r="Y19" s="3392"/>
      <c r="Z19" s="1576" t="str">
        <f>Q19</f>
        <v>商业繁华度</v>
      </c>
      <c r="AA19" s="1577">
        <f t="shared" si="3"/>
        <v>1</v>
      </c>
      <c r="AB19" s="1577">
        <f t="shared" si="4"/>
        <v>1</v>
      </c>
      <c r="AC19" s="1577">
        <f t="shared" si="5"/>
        <v>1</v>
      </c>
    </row>
    <row r="20" spans="1:29" ht="20.25">
      <c r="A20" s="532"/>
      <c r="B20" s="566"/>
      <c r="C20" s="567" t="s">
        <v>3024</v>
      </c>
      <c r="D20" s="563"/>
      <c r="E20" s="569" t="s">
        <v>3024</v>
      </c>
      <c r="F20" s="559"/>
      <c r="G20" s="568" t="s">
        <v>3024</v>
      </c>
      <c r="H20" s="555"/>
      <c r="I20" s="569" t="s">
        <v>3024</v>
      </c>
      <c r="J20" s="555"/>
      <c r="K20" s="531"/>
      <c r="L20" s="2143"/>
      <c r="M20" s="2133"/>
      <c r="N20" s="2133"/>
      <c r="O20" s="2142"/>
      <c r="P20" s="3392"/>
      <c r="Q20" s="1573"/>
      <c r="R20" s="1574"/>
      <c r="S20" s="1575"/>
      <c r="T20" s="1574"/>
      <c r="U20" s="1575"/>
      <c r="V20" s="1574"/>
      <c r="W20" s="1575"/>
      <c r="X20" s="1568"/>
      <c r="Y20" s="3392"/>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2"/>
      <c r="Q21" s="1573" t="str">
        <f>B21</f>
        <v>办公集聚程度</v>
      </c>
      <c r="R21" s="1574" t="s">
        <v>8</v>
      </c>
      <c r="S21" s="1575">
        <f>F21</f>
        <v>100</v>
      </c>
      <c r="T21" s="1574" t="s">
        <v>8</v>
      </c>
      <c r="U21" s="1575">
        <f>H21</f>
        <v>100</v>
      </c>
      <c r="V21" s="1574" t="s">
        <v>8</v>
      </c>
      <c r="W21" s="1575">
        <f>J21</f>
        <v>100</v>
      </c>
      <c r="X21" s="1568"/>
      <c r="Y21" s="339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92"/>
      <c r="Q22" s="1573"/>
      <c r="R22" s="1574"/>
      <c r="S22" s="1575"/>
      <c r="T22" s="1574"/>
      <c r="U22" s="1575"/>
      <c r="V22" s="1574"/>
      <c r="W22" s="1575"/>
      <c r="X22" s="1568"/>
      <c r="Y22" s="3392"/>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97</v>
      </c>
      <c r="I23" s="564"/>
      <c r="J23" s="559">
        <f>SUMIF(96:96,I24,97:97)-SUMIF(96:96,C24,97:97)+100</f>
        <v>97</v>
      </c>
      <c r="K23" s="535">
        <v>3</v>
      </c>
      <c r="L23" s="2143"/>
      <c r="M23" s="2133"/>
      <c r="N23" s="2133"/>
      <c r="O23" s="2142"/>
      <c r="P23" s="3392"/>
      <c r="Q23" s="1573" t="str">
        <f>B23</f>
        <v>交通便捷度</v>
      </c>
      <c r="R23" s="1574" t="s">
        <v>8</v>
      </c>
      <c r="S23" s="1575">
        <f>F23</f>
        <v>100</v>
      </c>
      <c r="T23" s="1574" t="s">
        <v>8</v>
      </c>
      <c r="U23" s="1575">
        <f>H23</f>
        <v>97</v>
      </c>
      <c r="V23" s="1574" t="s">
        <v>8</v>
      </c>
      <c r="W23" s="1575">
        <f>J23</f>
        <v>97</v>
      </c>
      <c r="X23" s="1568"/>
      <c r="Y23" s="3392"/>
      <c r="Z23" s="1576" t="str">
        <f>Q23</f>
        <v>交通便捷度</v>
      </c>
      <c r="AA23" s="1577">
        <f t="shared" si="3"/>
        <v>1</v>
      </c>
      <c r="AB23" s="1577">
        <f t="shared" si="4"/>
        <v>1.0309278350515463</v>
      </c>
      <c r="AC23" s="1577">
        <f t="shared" si="5"/>
        <v>1.0309278350515463</v>
      </c>
    </row>
    <row r="24" spans="1:29" ht="20.25">
      <c r="A24" s="532"/>
      <c r="B24" s="578"/>
      <c r="C24" s="554" t="s">
        <v>3022</v>
      </c>
      <c r="D24" s="557"/>
      <c r="E24" s="558" t="s">
        <v>3022</v>
      </c>
      <c r="F24" s="555"/>
      <c r="G24" s="556" t="s">
        <v>3024</v>
      </c>
      <c r="H24" s="555"/>
      <c r="I24" s="558" t="s">
        <v>3024</v>
      </c>
      <c r="J24" s="555"/>
      <c r="K24" s="531"/>
      <c r="L24" s="2143"/>
      <c r="M24" s="2133"/>
      <c r="N24" s="2133"/>
      <c r="O24" s="2142"/>
      <c r="P24" s="3392"/>
      <c r="Q24" s="1573"/>
      <c r="R24" s="1574"/>
      <c r="S24" s="1575"/>
      <c r="T24" s="1574"/>
      <c r="U24" s="1575"/>
      <c r="V24" s="1574"/>
      <c r="W24" s="1575"/>
      <c r="X24" s="1568"/>
      <c r="Y24" s="3392"/>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2"/>
      <c r="Q25" s="1573" t="str">
        <f t="shared" ref="Q25:Q39" si="8">B25</f>
        <v>区域土地利用方向</v>
      </c>
      <c r="R25" s="1574" t="s">
        <v>8</v>
      </c>
      <c r="S25" s="1575">
        <f>F25</f>
        <v>100</v>
      </c>
      <c r="T25" s="1574" t="s">
        <v>8</v>
      </c>
      <c r="U25" s="1575">
        <f>H25</f>
        <v>100</v>
      </c>
      <c r="V25" s="1574" t="s">
        <v>8</v>
      </c>
      <c r="W25" s="1575">
        <f>J25</f>
        <v>100</v>
      </c>
      <c r="X25" s="1568"/>
      <c r="Y25" s="3392"/>
      <c r="Z25" s="1576" t="str">
        <f>Q25</f>
        <v>区域土地利用方向</v>
      </c>
      <c r="AA25" s="1577">
        <f t="shared" si="3"/>
        <v>1</v>
      </c>
      <c r="AB25" s="1577">
        <f t="shared" si="4"/>
        <v>1</v>
      </c>
      <c r="AC25" s="1577">
        <f t="shared" si="5"/>
        <v>1</v>
      </c>
    </row>
    <row r="26" spans="1:29" ht="20.25">
      <c r="A26" s="515"/>
      <c r="B26" s="1007"/>
      <c r="C26" s="554" t="s">
        <v>3022</v>
      </c>
      <c r="D26" s="557"/>
      <c r="E26" s="558" t="s">
        <v>3022</v>
      </c>
      <c r="F26" s="555"/>
      <c r="G26" s="556" t="s">
        <v>3022</v>
      </c>
      <c r="H26" s="555"/>
      <c r="I26" s="558" t="s">
        <v>3022</v>
      </c>
      <c r="J26" s="555"/>
      <c r="K26" s="531"/>
      <c r="L26" s="2143"/>
      <c r="M26" s="2133"/>
      <c r="N26" s="2133"/>
      <c r="O26" s="2142"/>
      <c r="P26" s="3392"/>
      <c r="Q26" s="1573"/>
      <c r="R26" s="1574"/>
      <c r="S26" s="1575"/>
      <c r="T26" s="1574"/>
      <c r="U26" s="1575"/>
      <c r="V26" s="1574"/>
      <c r="W26" s="1575"/>
      <c r="X26" s="1568"/>
      <c r="Y26" s="3392"/>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97</v>
      </c>
      <c r="I27" s="564"/>
      <c r="J27" s="559">
        <f>SUMIF(100:100,I28,101:101)-SUMIF(100:100,C28,101:101)+100</f>
        <v>97</v>
      </c>
      <c r="K27" s="535">
        <v>3</v>
      </c>
      <c r="L27" s="2143"/>
      <c r="M27" s="2133"/>
      <c r="N27" s="2133"/>
      <c r="O27" s="2142"/>
      <c r="P27" s="3392"/>
      <c r="Q27" s="1573" t="str">
        <f t="shared" si="8"/>
        <v>自然及人文环境状况</v>
      </c>
      <c r="R27" s="1574" t="s">
        <v>8</v>
      </c>
      <c r="S27" s="1575">
        <f>F27</f>
        <v>100</v>
      </c>
      <c r="T27" s="1574" t="s">
        <v>8</v>
      </c>
      <c r="U27" s="1575">
        <f>H27</f>
        <v>97</v>
      </c>
      <c r="V27" s="1574" t="s">
        <v>8</v>
      </c>
      <c r="W27" s="1575">
        <f>J27</f>
        <v>97</v>
      </c>
      <c r="X27" s="1568"/>
      <c r="Y27" s="3392"/>
      <c r="Z27" s="1576" t="str">
        <f>Q27</f>
        <v>自然及人文环境状况</v>
      </c>
      <c r="AA27" s="1577">
        <f t="shared" si="3"/>
        <v>1</v>
      </c>
      <c r="AB27" s="1577">
        <f t="shared" si="4"/>
        <v>1.0309278350515463</v>
      </c>
      <c r="AC27" s="1577">
        <f t="shared" si="5"/>
        <v>1.0309278350515463</v>
      </c>
    </row>
    <row r="28" spans="1:29" ht="20.25">
      <c r="A28" s="515"/>
      <c r="B28" s="566"/>
      <c r="C28" s="554" t="s">
        <v>3022</v>
      </c>
      <c r="D28" s="557"/>
      <c r="E28" s="576" t="s">
        <v>3022</v>
      </c>
      <c r="F28" s="555"/>
      <c r="G28" s="554" t="s">
        <v>3024</v>
      </c>
      <c r="H28" s="555"/>
      <c r="I28" s="576" t="s">
        <v>3024</v>
      </c>
      <c r="J28" s="555"/>
      <c r="K28" s="531"/>
      <c r="L28" s="2143"/>
      <c r="M28" s="2133"/>
      <c r="N28" s="2133"/>
      <c r="O28" s="2142"/>
      <c r="P28" s="3392"/>
      <c r="Q28" s="1573"/>
      <c r="R28" s="1574"/>
      <c r="S28" s="1575"/>
      <c r="T28" s="1574"/>
      <c r="U28" s="1575"/>
      <c r="V28" s="1574"/>
      <c r="W28" s="1575"/>
      <c r="X28" s="1568"/>
      <c r="Y28" s="3392"/>
      <c r="Z28" s="1576"/>
      <c r="AA28" s="1577">
        <v>1</v>
      </c>
      <c r="AB28" s="1577">
        <v>1</v>
      </c>
      <c r="AC28" s="1577">
        <v>1</v>
      </c>
    </row>
    <row r="29" spans="1:29" s="1220" customFormat="1" ht="42.75">
      <c r="A29" s="577"/>
      <c r="B29" s="2616" t="s">
        <v>2552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92"/>
      <c r="Q29" s="1151" t="str">
        <f t="shared" si="8"/>
        <v>公共配套设施</v>
      </c>
      <c r="R29" s="1569" t="s">
        <v>8</v>
      </c>
      <c r="S29" s="1570">
        <f>F29</f>
        <v>100</v>
      </c>
      <c r="T29" s="1569" t="s">
        <v>8</v>
      </c>
      <c r="U29" s="1570">
        <f>H29</f>
        <v>100</v>
      </c>
      <c r="V29" s="1569" t="s">
        <v>8</v>
      </c>
      <c r="W29" s="1570">
        <f>J29</f>
        <v>100</v>
      </c>
      <c r="X29" s="1571"/>
      <c r="Y29" s="3392"/>
      <c r="Z29" s="1150" t="str">
        <f>Q29</f>
        <v>公共配套设施</v>
      </c>
      <c r="AA29" s="1577">
        <f>D29/F29</f>
        <v>1</v>
      </c>
      <c r="AB29" s="1577">
        <f>D29/H29</f>
        <v>1</v>
      </c>
      <c r="AC29" s="1577">
        <f>D29/J29</f>
        <v>1</v>
      </c>
    </row>
    <row r="30" spans="1:29" s="1220" customFormat="1" ht="20.25">
      <c r="A30" s="577"/>
      <c r="B30" s="566"/>
      <c r="C30" s="579" t="s">
        <v>3024</v>
      </c>
      <c r="D30" s="557"/>
      <c r="E30" s="576" t="s">
        <v>3024</v>
      </c>
      <c r="F30" s="555"/>
      <c r="G30" s="554" t="s">
        <v>3024</v>
      </c>
      <c r="H30" s="555"/>
      <c r="I30" s="576" t="s">
        <v>3024</v>
      </c>
      <c r="J30" s="555"/>
      <c r="K30" s="531"/>
      <c r="L30" s="2136"/>
      <c r="M30" s="2133"/>
      <c r="N30" s="2133"/>
      <c r="O30" s="2138"/>
      <c r="P30" s="3392"/>
      <c r="Q30" s="1151"/>
      <c r="R30" s="1569"/>
      <c r="S30" s="1570"/>
      <c r="T30" s="1569"/>
      <c r="U30" s="1570"/>
      <c r="V30" s="1569"/>
      <c r="W30" s="1570"/>
      <c r="X30" s="1571"/>
      <c r="Y30" s="3392"/>
      <c r="Z30" s="1150"/>
      <c r="AA30" s="1577">
        <v>1</v>
      </c>
      <c r="AB30" s="1577">
        <v>1</v>
      </c>
      <c r="AC30" s="1577">
        <v>1</v>
      </c>
    </row>
    <row r="31" spans="1:29" s="1220" customFormat="1" ht="28.5">
      <c r="A31" s="577"/>
      <c r="B31" s="2616" t="s">
        <v>2553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92"/>
      <c r="Q31" s="2603" t="str">
        <f t="shared" ref="Q31" si="9">B31</f>
        <v>基础设施水平</v>
      </c>
      <c r="R31" s="1569" t="s">
        <v>8</v>
      </c>
      <c r="S31" s="1570">
        <f>F31</f>
        <v>100</v>
      </c>
      <c r="T31" s="1569" t="s">
        <v>8</v>
      </c>
      <c r="U31" s="1570">
        <f>H31</f>
        <v>100</v>
      </c>
      <c r="V31" s="1569" t="s">
        <v>8</v>
      </c>
      <c r="W31" s="1570">
        <f>J31</f>
        <v>100</v>
      </c>
      <c r="X31" s="1571"/>
      <c r="Y31" s="3392"/>
      <c r="Z31" s="2600" t="str">
        <f>Q31</f>
        <v>基础设施水平</v>
      </c>
      <c r="AA31" s="1577">
        <f>D31/F31</f>
        <v>1</v>
      </c>
      <c r="AB31" s="1577">
        <f>D31/H31</f>
        <v>1</v>
      </c>
      <c r="AC31" s="1577">
        <f>D31/J31</f>
        <v>1</v>
      </c>
    </row>
    <row r="32" spans="1:29" s="1220" customFormat="1" ht="20.25">
      <c r="A32" s="577"/>
      <c r="B32" s="566"/>
      <c r="C32" s="579" t="s">
        <v>3029</v>
      </c>
      <c r="D32" s="557"/>
      <c r="E32" s="2617" t="s">
        <v>3029</v>
      </c>
      <c r="F32" s="555"/>
      <c r="G32" s="579" t="s">
        <v>3029</v>
      </c>
      <c r="H32" s="555"/>
      <c r="I32" s="579" t="s">
        <v>3029</v>
      </c>
      <c r="J32" s="555"/>
      <c r="K32" s="531"/>
      <c r="L32" s="2136"/>
      <c r="M32" s="2133"/>
      <c r="N32" s="2133"/>
      <c r="O32" s="2138"/>
      <c r="P32" s="3392"/>
      <c r="Q32" s="2603"/>
      <c r="R32" s="1569"/>
      <c r="S32" s="1570"/>
      <c r="T32" s="1569"/>
      <c r="U32" s="1570"/>
      <c r="V32" s="1569"/>
      <c r="W32" s="1570"/>
      <c r="X32" s="1571"/>
      <c r="Y32" s="3392"/>
      <c r="Z32" s="2600"/>
      <c r="AA32" s="1577">
        <v>1</v>
      </c>
      <c r="AB32" s="1577">
        <v>1</v>
      </c>
      <c r="AC32" s="1577">
        <v>1</v>
      </c>
    </row>
    <row r="33" spans="1:29" ht="20.25">
      <c r="A33" s="532"/>
      <c r="B33" s="566" t="s">
        <v>548</v>
      </c>
      <c r="C33" s="580" t="s">
        <v>3037</v>
      </c>
      <c r="D33" s="575">
        <v>100</v>
      </c>
      <c r="E33" s="583" t="s">
        <v>3037</v>
      </c>
      <c r="F33" s="540">
        <f>SUMIF(106:106,E33,107:107)-SUMIF(106:106,C33,107:107)+100</f>
        <v>100</v>
      </c>
      <c r="G33" s="580" t="s">
        <v>3037</v>
      </c>
      <c r="H33" s="540">
        <f>SUMIF(106:106,G33,107:107)-SUMIF(106:106,C33,107:107)+100</f>
        <v>100</v>
      </c>
      <c r="I33" s="580" t="s">
        <v>3037</v>
      </c>
      <c r="J33" s="540">
        <f>SUMIF(106:106,I33,107:107)-SUMIF(106:106,C33,107:107)+100</f>
        <v>100</v>
      </c>
      <c r="K33" s="535"/>
      <c r="L33" s="2143"/>
      <c r="M33" s="2133"/>
      <c r="N33" s="2133"/>
      <c r="O33" s="2142"/>
      <c r="P33" s="339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2"/>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92"/>
      <c r="Q34" s="1573" t="str">
        <f t="shared" si="8"/>
        <v>毗邻道路的类型与等级</v>
      </c>
      <c r="R34" s="1574" t="s">
        <v>8</v>
      </c>
      <c r="S34" s="1575">
        <f t="shared" si="10"/>
        <v>100</v>
      </c>
      <c r="T34" s="1574" t="s">
        <v>8</v>
      </c>
      <c r="U34" s="1575">
        <f t="shared" si="11"/>
        <v>100</v>
      </c>
      <c r="V34" s="1574" t="s">
        <v>8</v>
      </c>
      <c r="W34" s="1575">
        <f t="shared" si="12"/>
        <v>100</v>
      </c>
      <c r="X34" s="1568"/>
      <c r="Y34" s="3392"/>
      <c r="Z34" s="1576" t="str">
        <f t="shared" si="13"/>
        <v>毗邻道路的类型与等级</v>
      </c>
      <c r="AA34" s="1577">
        <f t="shared" si="3"/>
        <v>1</v>
      </c>
      <c r="AB34" s="1577">
        <f t="shared" si="4"/>
        <v>1</v>
      </c>
      <c r="AC34" s="1577">
        <f t="shared" si="5"/>
        <v>1</v>
      </c>
    </row>
    <row r="35" spans="1:29" ht="21" thickBot="1">
      <c r="A35" s="532"/>
      <c r="B35" s="566"/>
      <c r="C35" s="554" t="s">
        <v>3013</v>
      </c>
      <c r="D35" s="557"/>
      <c r="E35" s="576" t="s">
        <v>3013</v>
      </c>
      <c r="F35" s="555"/>
      <c r="G35" s="554" t="s">
        <v>3013</v>
      </c>
      <c r="H35" s="555"/>
      <c r="I35" s="576" t="s">
        <v>3013</v>
      </c>
      <c r="J35" s="555"/>
      <c r="K35" s="581"/>
      <c r="L35" s="2143"/>
      <c r="M35" s="2133"/>
      <c r="N35" s="2133"/>
      <c r="O35" s="2142"/>
      <c r="P35" s="3392"/>
      <c r="Q35" s="1573"/>
      <c r="R35" s="1574"/>
      <c r="S35" s="1575"/>
      <c r="T35" s="1574"/>
      <c r="U35" s="1575"/>
      <c r="V35" s="1574"/>
      <c r="W35" s="1575"/>
      <c r="X35" s="1568"/>
      <c r="Y35" s="3392"/>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2"/>
      <c r="Q36" s="1573" t="str">
        <f t="shared" si="8"/>
        <v>土地级别</v>
      </c>
      <c r="R36" s="1574" t="s">
        <v>8</v>
      </c>
      <c r="S36" s="1575">
        <f t="shared" si="10"/>
        <v>100</v>
      </c>
      <c r="T36" s="1574" t="s">
        <v>8</v>
      </c>
      <c r="U36" s="1575">
        <f t="shared" si="11"/>
        <v>100</v>
      </c>
      <c r="V36" s="1574" t="s">
        <v>8</v>
      </c>
      <c r="W36" s="1575">
        <f t="shared" si="12"/>
        <v>100</v>
      </c>
      <c r="X36" s="1568"/>
      <c r="Y36" s="339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2"/>
      <c r="Q37" s="1573">
        <f t="shared" si="8"/>
        <v>111</v>
      </c>
      <c r="R37" s="1574" t="s">
        <v>8</v>
      </c>
      <c r="S37" s="1575">
        <f t="shared" si="10"/>
        <v>100</v>
      </c>
      <c r="T37" s="1574" t="s">
        <v>8</v>
      </c>
      <c r="U37" s="1575">
        <f t="shared" si="11"/>
        <v>100</v>
      </c>
      <c r="V37" s="1574" t="s">
        <v>8</v>
      </c>
      <c r="W37" s="1575">
        <f t="shared" si="12"/>
        <v>100</v>
      </c>
      <c r="X37" s="1568"/>
      <c r="Y37" s="339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3" t="s">
        <v>551</v>
      </c>
      <c r="Q38" s="1573">
        <f t="shared" si="8"/>
        <v>111</v>
      </c>
      <c r="R38" s="1574" t="s">
        <v>8</v>
      </c>
      <c r="S38" s="1575">
        <f t="shared" si="10"/>
        <v>100</v>
      </c>
      <c r="T38" s="1574" t="s">
        <v>8</v>
      </c>
      <c r="U38" s="1575">
        <f t="shared" si="11"/>
        <v>100</v>
      </c>
      <c r="V38" s="1574" t="s">
        <v>8</v>
      </c>
      <c r="W38" s="1575">
        <f t="shared" si="12"/>
        <v>100</v>
      </c>
      <c r="X38" s="1568"/>
      <c r="Y38" s="3394"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4"/>
      <c r="Q39" s="1573">
        <f t="shared" si="8"/>
        <v>111</v>
      </c>
      <c r="R39" s="1578" t="s">
        <v>8</v>
      </c>
      <c r="S39" s="1579">
        <f t="shared" si="10"/>
        <v>100</v>
      </c>
      <c r="T39" s="1578" t="s">
        <v>8</v>
      </c>
      <c r="U39" s="1579">
        <f t="shared" si="11"/>
        <v>100</v>
      </c>
      <c r="V39" s="1578" t="s">
        <v>8</v>
      </c>
      <c r="W39" s="1579">
        <f t="shared" si="12"/>
        <v>100</v>
      </c>
      <c r="X39" s="1580"/>
      <c r="Y39" s="3394"/>
      <c r="Z39" s="1581">
        <f t="shared" si="13"/>
        <v>111</v>
      </c>
      <c r="AA39" s="1577">
        <f t="shared" si="3"/>
        <v>1</v>
      </c>
      <c r="AB39" s="1577">
        <f t="shared" si="4"/>
        <v>1</v>
      </c>
      <c r="AC39" s="1577">
        <f t="shared" si="5"/>
        <v>1</v>
      </c>
    </row>
    <row r="40" spans="1:29" ht="20.25">
      <c r="A40" s="2934" t="s">
        <v>2761</v>
      </c>
      <c r="B40" s="595" t="s">
        <v>553</v>
      </c>
      <c r="C40" s="596">
        <f>'数据-基础表'!A3</f>
        <v>28593.8</v>
      </c>
      <c r="D40" s="597">
        <v>100</v>
      </c>
      <c r="E40" s="596">
        <v>41094.160000000003</v>
      </c>
      <c r="F40" s="597">
        <f>LOOKUP(E40,119:119,120:120)-LOOKUP(C40,119:119,120:120)+100</f>
        <v>100</v>
      </c>
      <c r="G40" s="596">
        <v>40015.440000000002</v>
      </c>
      <c r="H40" s="597">
        <f>LOOKUP(G40,119:119,120:120)-LOOKUP(C40,119:119,120:120)+100</f>
        <v>100</v>
      </c>
      <c r="I40" s="598">
        <v>33347.06</v>
      </c>
      <c r="J40" s="597">
        <f>LOOKUP(I40,119:119,120:120)-LOOKUP(C40,119:119,120:120)+100</f>
        <v>100</v>
      </c>
      <c r="K40" s="581"/>
      <c r="L40" s="2143"/>
      <c r="M40" s="2133"/>
      <c r="N40" s="2133"/>
      <c r="O40" s="2142"/>
      <c r="P40" s="3394"/>
      <c r="Q40" s="1573" t="str">
        <f>B40</f>
        <v>宗地面积</v>
      </c>
      <c r="R40" s="1574" t="s">
        <v>8</v>
      </c>
      <c r="S40" s="1575">
        <f t="shared" si="10"/>
        <v>100</v>
      </c>
      <c r="T40" s="1574" t="s">
        <v>8</v>
      </c>
      <c r="U40" s="1575">
        <f t="shared" si="11"/>
        <v>100</v>
      </c>
      <c r="V40" s="1574" t="s">
        <v>8</v>
      </c>
      <c r="W40" s="1575">
        <f t="shared" si="12"/>
        <v>100</v>
      </c>
      <c r="X40" s="1568"/>
      <c r="Y40" s="3394"/>
      <c r="Z40" s="1576" t="str">
        <f t="shared" si="13"/>
        <v>宗地面积</v>
      </c>
      <c r="AA40" s="1577">
        <f t="shared" si="3"/>
        <v>1</v>
      </c>
      <c r="AB40" s="1577">
        <f t="shared" si="4"/>
        <v>1</v>
      </c>
      <c r="AC40" s="1577">
        <f t="shared" si="5"/>
        <v>1</v>
      </c>
    </row>
    <row r="41" spans="1:29" ht="20.25">
      <c r="A41" s="594"/>
      <c r="B41" s="527" t="s">
        <v>554</v>
      </c>
      <c r="C41" s="599" t="s">
        <v>3018</v>
      </c>
      <c r="D41" s="540">
        <v>100</v>
      </c>
      <c r="E41" s="599" t="s">
        <v>3018</v>
      </c>
      <c r="F41" s="540">
        <f>SUMIF(121:121,E41,122:122)-SUMIF(121:121,C41,122:122)+100</f>
        <v>100</v>
      </c>
      <c r="G41" s="599" t="s">
        <v>3018</v>
      </c>
      <c r="H41" s="540">
        <f>SUMIF(121:121,G41,122:122)-SUMIF(121:121,C41,122:122)+100</f>
        <v>100</v>
      </c>
      <c r="I41" s="599" t="s">
        <v>3018</v>
      </c>
      <c r="J41" s="540">
        <f>SUMIF(121:121,I41,122:122)-SUMIF(121:121,C41,122:122)+100</f>
        <v>100</v>
      </c>
      <c r="K41" s="584"/>
      <c r="L41" s="2143"/>
      <c r="M41" s="2133"/>
      <c r="N41" s="2133"/>
      <c r="O41" s="2142"/>
      <c r="P41" s="3394"/>
      <c r="Q41" s="1573" t="str">
        <f t="shared" ref="Q41:Q47" si="14">B41</f>
        <v>宗地形状</v>
      </c>
      <c r="R41" s="1574" t="s">
        <v>8</v>
      </c>
      <c r="S41" s="1575">
        <f t="shared" si="10"/>
        <v>100</v>
      </c>
      <c r="T41" s="1574" t="s">
        <v>8</v>
      </c>
      <c r="U41" s="1575">
        <f t="shared" si="11"/>
        <v>100</v>
      </c>
      <c r="V41" s="1574" t="s">
        <v>8</v>
      </c>
      <c r="W41" s="1575">
        <f t="shared" si="12"/>
        <v>100</v>
      </c>
      <c r="X41" s="1568"/>
      <c r="Y41" s="3394"/>
      <c r="Z41" s="1576" t="str">
        <f t="shared" si="13"/>
        <v>宗地形状</v>
      </c>
      <c r="AA41" s="1577">
        <f t="shared" si="3"/>
        <v>1</v>
      </c>
      <c r="AB41" s="1577">
        <f t="shared" si="4"/>
        <v>1</v>
      </c>
      <c r="AC41" s="1577">
        <f t="shared" si="5"/>
        <v>1</v>
      </c>
    </row>
    <row r="42" spans="1:29" ht="20.25">
      <c r="A42" s="594"/>
      <c r="B42" s="527" t="s">
        <v>555</v>
      </c>
      <c r="C42" s="599" t="s">
        <v>3022</v>
      </c>
      <c r="D42" s="540">
        <v>100</v>
      </c>
      <c r="E42" s="599" t="s">
        <v>3022</v>
      </c>
      <c r="F42" s="540">
        <f>SUMIF(123:123,E42,124:124)-SUMIF(123:123,C42,124:124)+100</f>
        <v>100</v>
      </c>
      <c r="G42" s="599" t="s">
        <v>3022</v>
      </c>
      <c r="H42" s="540">
        <f>SUMIF(123:123,G42,124:124)-SUMIF(123:123,C42,124:124)+100</f>
        <v>100</v>
      </c>
      <c r="I42" s="599" t="s">
        <v>3022</v>
      </c>
      <c r="J42" s="540">
        <f>SUMIF(123:123,I42,124:124)-SUMIF(123:123,C42,124:124)+100</f>
        <v>100</v>
      </c>
      <c r="K42" s="584"/>
      <c r="L42" s="2143"/>
      <c r="M42" s="2133"/>
      <c r="N42" s="2133"/>
      <c r="O42" s="2142"/>
      <c r="P42" s="3394"/>
      <c r="Q42" s="1573" t="str">
        <f t="shared" si="14"/>
        <v>临街宽度及深度</v>
      </c>
      <c r="R42" s="1574" t="s">
        <v>8</v>
      </c>
      <c r="S42" s="1575">
        <f t="shared" si="10"/>
        <v>100</v>
      </c>
      <c r="T42" s="1574" t="s">
        <v>8</v>
      </c>
      <c r="U42" s="1575">
        <f t="shared" si="11"/>
        <v>100</v>
      </c>
      <c r="V42" s="1574" t="s">
        <v>8</v>
      </c>
      <c r="W42" s="1575">
        <f t="shared" si="12"/>
        <v>100</v>
      </c>
      <c r="X42" s="1568"/>
      <c r="Y42" s="3394"/>
      <c r="Z42" s="1576" t="str">
        <f t="shared" si="13"/>
        <v>临街宽度及深度</v>
      </c>
      <c r="AA42" s="1577">
        <f t="shared" si="3"/>
        <v>1</v>
      </c>
      <c r="AB42" s="1577">
        <f t="shared" si="4"/>
        <v>1</v>
      </c>
      <c r="AC42" s="1577">
        <f t="shared" si="5"/>
        <v>1</v>
      </c>
    </row>
    <row r="43" spans="1:29" s="1220" customFormat="1" ht="20.25">
      <c r="A43" s="600"/>
      <c r="B43" s="1896" t="s">
        <v>2426</v>
      </c>
      <c r="C43" s="601" t="s">
        <v>3029</v>
      </c>
      <c r="D43" s="255">
        <v>100</v>
      </c>
      <c r="E43" s="601" t="s">
        <v>3029</v>
      </c>
      <c r="F43" s="540">
        <f>SUMIF(125:125,E43,126:126)-SUMIF(125:125,C43,126:126)+100</f>
        <v>100</v>
      </c>
      <c r="G43" s="601" t="s">
        <v>3029</v>
      </c>
      <c r="H43" s="540">
        <f>SUMIF(125:125,G43,126:126)-SUMIF(125:125,C43,126:126)+100</f>
        <v>100</v>
      </c>
      <c r="I43" s="601" t="s">
        <v>3029</v>
      </c>
      <c r="J43" s="540">
        <f>SUMIF(125:125,I43,126:126)-SUMIF(125:125,C43,126:126)+100</f>
        <v>100</v>
      </c>
      <c r="K43" s="584"/>
      <c r="L43" s="2136"/>
      <c r="M43" s="2133"/>
      <c r="N43" s="2133"/>
      <c r="O43" s="2138"/>
      <c r="P43" s="3394"/>
      <c r="Q43" s="1573" t="str">
        <f t="shared" si="14"/>
        <v>宗地开发程度</v>
      </c>
      <c r="R43" s="1569" t="s">
        <v>8</v>
      </c>
      <c r="S43" s="1570">
        <f t="shared" si="10"/>
        <v>100</v>
      </c>
      <c r="T43" s="1569" t="s">
        <v>8</v>
      </c>
      <c r="U43" s="1570">
        <f t="shared" si="11"/>
        <v>100</v>
      </c>
      <c r="V43" s="1569" t="s">
        <v>8</v>
      </c>
      <c r="W43" s="1570">
        <f t="shared" si="12"/>
        <v>100</v>
      </c>
      <c r="X43" s="1571"/>
      <c r="Y43" s="3394"/>
      <c r="Z43" s="1150" t="str">
        <f t="shared" si="13"/>
        <v>宗地开发程度</v>
      </c>
      <c r="AA43" s="1572">
        <f t="shared" si="3"/>
        <v>1</v>
      </c>
      <c r="AB43" s="1572">
        <f t="shared" si="4"/>
        <v>1</v>
      </c>
      <c r="AC43" s="1572">
        <f t="shared" si="5"/>
        <v>1</v>
      </c>
    </row>
    <row r="44" spans="1:29" ht="21" thickBot="1">
      <c r="A44" s="594"/>
      <c r="B44" s="527" t="s">
        <v>556</v>
      </c>
      <c r="C44" s="599" t="s">
        <v>3022</v>
      </c>
      <c r="D44" s="540">
        <v>100</v>
      </c>
      <c r="E44" s="599" t="s">
        <v>3022</v>
      </c>
      <c r="F44" s="540">
        <f>SUMIF(127:127,E44,128:128)-SUMIF(127:127,C44,128:128)+100</f>
        <v>100</v>
      </c>
      <c r="G44" s="599" t="s">
        <v>3022</v>
      </c>
      <c r="H44" s="540">
        <f>SUMIF(127:127,G44,128:128)-SUMIF(127:127,C44,128:128)+100</f>
        <v>100</v>
      </c>
      <c r="I44" s="599" t="s">
        <v>3022</v>
      </c>
      <c r="J44" s="540">
        <f>SUMIF(127:127,I44,128:128)-SUMIF(127:127,C44,128:128)+100</f>
        <v>100</v>
      </c>
      <c r="K44" s="584"/>
      <c r="L44" s="2143"/>
      <c r="M44" s="2133"/>
      <c r="N44" s="2133"/>
      <c r="O44" s="2142"/>
      <c r="P44" s="3394" t="s">
        <v>551</v>
      </c>
      <c r="Q44" s="1573" t="str">
        <f t="shared" si="14"/>
        <v>工程地质条件</v>
      </c>
      <c r="R44" s="1574" t="s">
        <v>8</v>
      </c>
      <c r="S44" s="1575">
        <f t="shared" si="10"/>
        <v>100</v>
      </c>
      <c r="T44" s="1574" t="s">
        <v>8</v>
      </c>
      <c r="U44" s="1575">
        <f t="shared" si="11"/>
        <v>100</v>
      </c>
      <c r="V44" s="1574" t="s">
        <v>8</v>
      </c>
      <c r="W44" s="1575">
        <f t="shared" si="12"/>
        <v>100</v>
      </c>
      <c r="X44" s="1568"/>
      <c r="Y44" s="3394"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4"/>
      <c r="Q45" s="1573">
        <f t="shared" si="14"/>
        <v>111</v>
      </c>
      <c r="R45" s="1574" t="s">
        <v>8</v>
      </c>
      <c r="S45" s="1575">
        <f t="shared" si="10"/>
        <v>100</v>
      </c>
      <c r="T45" s="1574" t="s">
        <v>8</v>
      </c>
      <c r="U45" s="1575">
        <f t="shared" si="11"/>
        <v>100</v>
      </c>
      <c r="V45" s="1574" t="s">
        <v>8</v>
      </c>
      <c r="W45" s="1575">
        <f t="shared" si="12"/>
        <v>100</v>
      </c>
      <c r="X45" s="1568"/>
      <c r="Y45" s="3394"/>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4"/>
      <c r="Q46" s="1573">
        <f t="shared" si="14"/>
        <v>111</v>
      </c>
      <c r="R46" s="1574" t="s">
        <v>8</v>
      </c>
      <c r="S46" s="1575">
        <f t="shared" si="10"/>
        <v>100</v>
      </c>
      <c r="T46" s="1574" t="s">
        <v>8</v>
      </c>
      <c r="U46" s="1575">
        <f t="shared" si="11"/>
        <v>100</v>
      </c>
      <c r="V46" s="1574" t="s">
        <v>8</v>
      </c>
      <c r="W46" s="1575">
        <f t="shared" si="12"/>
        <v>100</v>
      </c>
      <c r="X46" s="1568"/>
      <c r="Y46" s="3394"/>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4"/>
      <c r="Q47" s="1573">
        <f t="shared" si="14"/>
        <v>111</v>
      </c>
      <c r="R47" s="1578" t="s">
        <v>8</v>
      </c>
      <c r="S47" s="1579">
        <f t="shared" si="10"/>
        <v>100</v>
      </c>
      <c r="T47" s="1578" t="s">
        <v>8</v>
      </c>
      <c r="U47" s="1579">
        <f t="shared" si="11"/>
        <v>100</v>
      </c>
      <c r="V47" s="1578" t="s">
        <v>8</v>
      </c>
      <c r="W47" s="1579">
        <f t="shared" si="12"/>
        <v>100</v>
      </c>
      <c r="X47" s="1580"/>
      <c r="Y47" s="3394"/>
      <c r="Z47" s="1581">
        <f t="shared" si="13"/>
        <v>111</v>
      </c>
      <c r="AA47" s="1577">
        <f t="shared" si="3"/>
        <v>1</v>
      </c>
      <c r="AB47" s="1577">
        <f t="shared" si="4"/>
        <v>1</v>
      </c>
      <c r="AC47" s="1577">
        <f t="shared" si="5"/>
        <v>1</v>
      </c>
    </row>
    <row r="48" spans="1:29" ht="20.25">
      <c r="A48" s="607" t="s">
        <v>557</v>
      </c>
      <c r="B48" s="608" t="s">
        <v>3038</v>
      </c>
      <c r="C48" s="609" t="s">
        <v>1</v>
      </c>
      <c r="D48" s="610"/>
      <c r="E48" s="611">
        <v>1077</v>
      </c>
      <c r="F48" s="612"/>
      <c r="G48" s="613">
        <v>821</v>
      </c>
      <c r="H48" s="614"/>
      <c r="I48" s="611">
        <v>831</v>
      </c>
      <c r="J48" s="614"/>
      <c r="K48" s="1340"/>
      <c r="L48" s="2145"/>
      <c r="M48" s="2133"/>
      <c r="N48" s="2133"/>
      <c r="O48" s="2146"/>
      <c r="P48" s="3355" t="str">
        <f>A48</f>
        <v>成交单价</v>
      </c>
      <c r="Q48" s="3355"/>
      <c r="R48" s="3356">
        <f>E48</f>
        <v>1077</v>
      </c>
      <c r="S48" s="3356"/>
      <c r="T48" s="3356">
        <f>G48</f>
        <v>821</v>
      </c>
      <c r="U48" s="3356"/>
      <c r="V48" s="3356">
        <f>I48</f>
        <v>831</v>
      </c>
      <c r="W48" s="3356"/>
      <c r="X48" s="1560"/>
      <c r="Y48" s="1582"/>
      <c r="Z48" s="1560"/>
      <c r="AA48" s="1560"/>
      <c r="AB48" s="1560"/>
      <c r="AC48" s="1560"/>
    </row>
    <row r="49" spans="1:29" ht="21" thickBot="1">
      <c r="A49" s="615" t="s">
        <v>2699</v>
      </c>
      <c r="B49" s="616"/>
      <c r="C49" s="617">
        <f>R50</f>
        <v>959</v>
      </c>
      <c r="D49" s="618"/>
      <c r="E49" s="617">
        <f>R49</f>
        <v>1066</v>
      </c>
      <c r="F49" s="619"/>
      <c r="G49" s="620">
        <f>T49</f>
        <v>900</v>
      </c>
      <c r="H49" s="618"/>
      <c r="I49" s="617">
        <f>V49</f>
        <v>911</v>
      </c>
      <c r="J49" s="618"/>
      <c r="K49" s="1341"/>
      <c r="L49" s="2145"/>
      <c r="M49" s="2133"/>
      <c r="N49" s="2133"/>
      <c r="O49" s="2146"/>
      <c r="P49" s="3355" t="str">
        <f>A49</f>
        <v>比较价格（元/平方米）</v>
      </c>
      <c r="Q49" s="3355"/>
      <c r="R49" s="3357">
        <f>ROUND(PRODUCT(R48,AA9:AA47),0)</f>
        <v>1066</v>
      </c>
      <c r="S49" s="3357"/>
      <c r="T49" s="3357">
        <f>ROUND(PRODUCT(T48,AB9:AB47),0)</f>
        <v>900</v>
      </c>
      <c r="U49" s="3357"/>
      <c r="V49" s="3357">
        <f>ROUND(PRODUCT(V48,AC9:AC47),0)</f>
        <v>911</v>
      </c>
      <c r="W49" s="3357"/>
      <c r="X49" s="1560"/>
      <c r="Y49" s="1560"/>
      <c r="Z49" s="1560"/>
      <c r="AA49" s="1560"/>
      <c r="AB49" s="1560"/>
      <c r="AC49" s="1560"/>
    </row>
    <row r="50" spans="1:29" ht="21" thickBot="1">
      <c r="A50" s="621" t="s">
        <v>2938</v>
      </c>
      <c r="B50" s="622"/>
      <c r="C50" s="623">
        <f>R50</f>
        <v>959</v>
      </c>
      <c r="D50" s="623"/>
      <c r="E50" s="623"/>
      <c r="F50" s="623"/>
      <c r="G50" s="623"/>
      <c r="H50" s="623"/>
      <c r="I50" s="623"/>
      <c r="J50" s="623"/>
      <c r="K50" s="1342"/>
      <c r="L50" s="2145"/>
      <c r="M50" s="2133"/>
      <c r="N50" s="2133"/>
      <c r="O50" s="2146"/>
      <c r="P50" s="3352" t="str">
        <f>A50</f>
        <v>估价对象XX用房的比较价格（楼面单价，元/平方米）</v>
      </c>
      <c r="Q50" s="3353"/>
      <c r="R50" s="3354">
        <f>ROUND(AVERAGE(R49:V49),0)</f>
        <v>959</v>
      </c>
      <c r="S50" s="3354"/>
      <c r="T50" s="3354"/>
      <c r="U50" s="3354"/>
      <c r="V50" s="3354"/>
      <c r="W50" s="3354"/>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1.0318949343339545E-2</v>
      </c>
      <c r="F53" s="627" t="str">
        <f>IF(OR(E53&gt;=0.3,E53&lt;=-0.3),"超过30%","")</f>
        <v/>
      </c>
      <c r="G53" s="626">
        <f>IF(G48&lt;G49,G49/G48-1,G48/G49-1)</f>
        <v>9.6224116930572423E-2</v>
      </c>
      <c r="H53" s="627" t="str">
        <f>IF(OR(G53&gt;=0.3,G53&lt;=-0.3),"超过30%","")</f>
        <v/>
      </c>
      <c r="I53" s="626">
        <f>IF(I48&lt;I49,I49/I48-1,I48/I49-1)</f>
        <v>9.6269554753309228E-2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0.18444444444444441</v>
      </c>
      <c r="F54" s="627" t="str">
        <f>IF(OR(E54&gt;=0.2,E54&lt;=-0.2),"超过20%","")</f>
        <v/>
      </c>
      <c r="G54" s="626">
        <f>IF(G49&lt;I49,I49/G49-1,G49/I49-1)</f>
        <v>1.2222222222222134E-2</v>
      </c>
      <c r="H54" s="627" t="str">
        <f>IF(OR(G54&gt;=0.2,G54&lt;=-0.2),"超过20%","")</f>
        <v/>
      </c>
      <c r="I54" s="626">
        <f>IF(I49&lt;E49,E49/I49-1,I49/E49-1)</f>
        <v>0.17014270032930856</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0.31181485992691838</v>
      </c>
      <c r="F55" s="627" t="str">
        <f>IF(OR(E55&gt;=0.3,E55&lt;=-0.3),"超过30%","")</f>
        <v>超过30%</v>
      </c>
      <c r="G55" s="626">
        <f>IF(G48&lt;I48,I48/G48-1,G48/I48-1)</f>
        <v>1.2180267965895331E-2</v>
      </c>
      <c r="H55" s="627" t="str">
        <f>IF(OR(G55&gt;=0.3,G55&lt;=-0.3),"超过30%","")</f>
        <v/>
      </c>
      <c r="I55" s="626">
        <f>IF(I48&lt;E48,E48/I48-1,I48/E48-1)</f>
        <v>0.29602888086642598</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2295</v>
      </c>
      <c r="E57" s="631" t="s">
        <v>563</v>
      </c>
      <c r="F57" s="632" t="s">
        <v>564</v>
      </c>
      <c r="G57" s="3383" t="s">
        <v>2283</v>
      </c>
      <c r="H57" s="3384"/>
      <c r="I57" s="1556" t="s">
        <v>1724</v>
      </c>
      <c r="J57" s="1556" t="str">
        <f>项目基本情况!F41</f>
        <v>湖北省天门市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959</v>
      </c>
      <c r="C58" s="635">
        <v>1</v>
      </c>
      <c r="D58" s="2229">
        <v>1</v>
      </c>
      <c r="E58" s="635">
        <f>'数据-汇总表'!E8+'数据-汇总表'!E9</f>
        <v>62906.36</v>
      </c>
      <c r="F58" s="636">
        <f t="shared" ref="F58:F67" si="15">ROUND(B58*E58/10000,0)</f>
        <v>6033</v>
      </c>
      <c r="G58" s="3385"/>
      <c r="H58" s="338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387" t="s">
        <v>2284</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38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38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38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2284</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2285</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62906.36</v>
      </c>
      <c r="F68" s="644">
        <f>IF(B48="楼面地价",SUM(F58:F67),ROUND(C50*E68/10000,0))</f>
        <v>6033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2017-11-1</v>
      </c>
      <c r="D70" s="2826">
        <f>EDATE(C70,-3)</f>
        <v>42948</v>
      </c>
      <c r="E70" s="2826">
        <f t="shared" ref="E70:N70" si="18">EDATE(D70,-3)</f>
        <v>42856</v>
      </c>
      <c r="F70" s="2826">
        <f t="shared" si="18"/>
        <v>42767</v>
      </c>
      <c r="G70" s="2826">
        <f t="shared" si="18"/>
        <v>42675</v>
      </c>
      <c r="H70" s="2826">
        <f t="shared" si="18"/>
        <v>42583</v>
      </c>
      <c r="I70" s="2826">
        <f t="shared" si="18"/>
        <v>42491</v>
      </c>
      <c r="J70" s="2826">
        <f t="shared" si="18"/>
        <v>42401</v>
      </c>
      <c r="K70" s="2826">
        <f t="shared" si="18"/>
        <v>42309</v>
      </c>
      <c r="L70" s="2826">
        <f t="shared" si="18"/>
        <v>42217</v>
      </c>
      <c r="M70" s="2826">
        <f t="shared" si="18"/>
        <v>42125</v>
      </c>
      <c r="N70" s="2826">
        <f t="shared" si="18"/>
        <v>42036</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2536</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2653</v>
      </c>
      <c r="B73" s="479" t="str">
        <f>"北京市平均增长率"&amp;TEXT(SUMIF(基准地价!N21:N25,A73,基准地价!P21:P25),"0.00%")</f>
        <v>北京市平均增长率2.49%</v>
      </c>
      <c r="C73" s="894">
        <v>100</v>
      </c>
      <c r="D73" s="730">
        <v>98</v>
      </c>
      <c r="E73" s="730">
        <v>96</v>
      </c>
      <c r="F73" s="730">
        <v>94</v>
      </c>
      <c r="G73" s="730">
        <v>92</v>
      </c>
      <c r="H73" s="730">
        <v>90</v>
      </c>
      <c r="I73" s="730"/>
      <c r="J73" s="730"/>
      <c r="K73" s="730"/>
      <c r="L73" s="730"/>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2652</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27">
      <c r="A77" s="664" t="s">
        <v>578</v>
      </c>
      <c r="B77" s="665" t="s">
        <v>535</v>
      </c>
      <c r="C77" s="3171" t="s">
        <v>3010</v>
      </c>
      <c r="D77" s="3171" t="s">
        <v>3035</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2</v>
      </c>
      <c r="E82" s="541">
        <v>4</v>
      </c>
      <c r="F82" s="541">
        <v>6</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2552</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2554</v>
      </c>
      <c r="C104" s="2623" t="s">
        <v>2555</v>
      </c>
      <c r="D104" s="2623" t="s">
        <v>2556</v>
      </c>
      <c r="E104" s="2623" t="s">
        <v>2557</v>
      </c>
      <c r="F104" s="2623" t="s">
        <v>2558</v>
      </c>
      <c r="G104" s="2623"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172" t="s">
        <v>3011</v>
      </c>
      <c r="D108" s="3172" t="s">
        <v>3012</v>
      </c>
      <c r="E108" s="3172" t="s">
        <v>3014</v>
      </c>
      <c r="F108" s="3172" t="s">
        <v>3015</v>
      </c>
      <c r="G108" s="3172" t="s">
        <v>3016</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0(含)-100000</v>
      </c>
      <c r="D118" s="704" t="str">
        <f t="shared" si="25"/>
        <v>100000(含)-200000</v>
      </c>
      <c r="E118" s="704" t="str">
        <f t="shared" si="25"/>
        <v>200000(含)-300000</v>
      </c>
      <c r="F118" s="704" t="str">
        <f t="shared" si="25"/>
        <v>300000(含)-400000</v>
      </c>
      <c r="G118" s="704" t="str">
        <f t="shared" si="25"/>
        <v>400000(含)-500000</v>
      </c>
      <c r="H118" s="704" t="str">
        <f t="shared" si="25"/>
        <v>500000(含)-</v>
      </c>
      <c r="I118" s="704" t="str">
        <f t="shared" si="25"/>
        <v>(含)-</v>
      </c>
      <c r="J118" s="3120" t="str">
        <f t="shared" si="25"/>
        <v>(含)-</v>
      </c>
      <c r="K118" s="3120" t="str">
        <f t="shared" si="25"/>
        <v>(含)-</v>
      </c>
      <c r="L118" s="3121" t="str">
        <f t="shared" si="25"/>
        <v>(含)-</v>
      </c>
      <c r="M118" s="3122"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100000</v>
      </c>
      <c r="E119" s="730">
        <v>200000</v>
      </c>
      <c r="F119" s="730">
        <v>300000</v>
      </c>
      <c r="G119" s="730">
        <v>400000</v>
      </c>
      <c r="H119" s="730">
        <v>500000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73" t="s">
        <v>3017</v>
      </c>
      <c r="D121" s="3173" t="s">
        <v>3019</v>
      </c>
      <c r="E121" s="3173" t="s">
        <v>3020</v>
      </c>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72" t="s">
        <v>3021</v>
      </c>
      <c r="D123" s="3172" t="s">
        <v>3023</v>
      </c>
      <c r="E123" s="3172" t="s">
        <v>3025</v>
      </c>
      <c r="F123" s="3173" t="s">
        <v>3026</v>
      </c>
      <c r="G123" s="3173" t="s">
        <v>3027</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6" t="s">
        <v>3028</v>
      </c>
      <c r="D125" s="1376" t="s">
        <v>3030</v>
      </c>
      <c r="E125" s="1376" t="s">
        <v>3031</v>
      </c>
      <c r="F125" s="1376" t="s">
        <v>3032</v>
      </c>
      <c r="G125" s="1376" t="s">
        <v>3033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72" t="s">
        <v>3021</v>
      </c>
      <c r="D127" s="3172" t="s">
        <v>3023</v>
      </c>
      <c r="E127" s="3172" t="s">
        <v>3025</v>
      </c>
      <c r="F127" s="3173" t="s">
        <v>3026</v>
      </c>
      <c r="G127" s="3173" t="s">
        <v>3027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7" workbookViewId="0">
      <selection activeCell="C13" sqref="C1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8</v>
      </c>
    </row>
    <row r="2" spans="1:31" s="2042" customFormat="1" ht="18" customHeight="1">
      <c r="A2" s="2102" t="s">
        <v>467</v>
      </c>
      <c r="B2" s="2106">
        <f ca="1">C36</f>
        <v>10699</v>
      </c>
      <c r="C2" s="2105"/>
      <c r="D2" s="2105"/>
      <c r="E2" s="2105"/>
      <c r="F2" s="2105"/>
      <c r="G2" s="2105"/>
      <c r="H2" s="2105"/>
      <c r="I2" s="2105"/>
      <c r="J2" s="2105"/>
      <c r="K2" s="2105"/>
    </row>
    <row r="3" spans="1:31" s="2042" customFormat="1" ht="18" customHeight="1">
      <c r="A3" s="2107" t="s">
        <v>1686</v>
      </c>
      <c r="B3" s="2108">
        <f ca="1">ROUND(B2*10000/IF(B1="",'数据-汇总表'!E3,INDIRECT("'数据-取费表'!K"&amp;$K$1)),0)</f>
        <v>1701</v>
      </c>
      <c r="C3" s="2105"/>
      <c r="D3" s="2105"/>
      <c r="E3" s="2105"/>
      <c r="F3" s="2105"/>
      <c r="G3" s="2105"/>
      <c r="H3" s="2105"/>
      <c r="I3" s="2105"/>
      <c r="J3" s="2105"/>
      <c r="K3" s="2105"/>
    </row>
    <row r="4" spans="1:31" s="2042" customFormat="1" ht="18" customHeight="1">
      <c r="A4" s="426" t="s">
        <v>468</v>
      </c>
      <c r="B4" s="427">
        <f ca="1">ROUND(B2*10000/IF(B1="",'数据-汇总表'!D3,INDIRECT("'数据-取费表'!R"&amp;$K$1)),0)</f>
        <v>3742</v>
      </c>
      <c r="C4" s="428"/>
      <c r="D4" s="422"/>
      <c r="E4" s="422"/>
      <c r="F4" s="422"/>
      <c r="G4" s="422"/>
      <c r="H4" s="422"/>
      <c r="I4" s="422"/>
      <c r="J4" s="422"/>
      <c r="K4" s="422"/>
    </row>
    <row r="5" spans="1:31" s="2042" customFormat="1" ht="18" customHeight="1" thickBot="1">
      <c r="A5" s="429"/>
      <c r="B5" s="430">
        <f ca="1">ROUND(B2/(IF(B1="",'数据-汇总表'!D3,INDIRECT("'数据-取费表'!R"&amp;$K$1))/666.67),0)</f>
        <v>249</v>
      </c>
      <c r="C5" s="431" t="s">
        <v>469</v>
      </c>
      <c r="D5" s="422"/>
      <c r="E5" s="422"/>
      <c r="F5" s="422"/>
      <c r="G5" s="422"/>
      <c r="H5" s="422"/>
      <c r="I5" s="422"/>
      <c r="J5" s="422"/>
      <c r="K5" s="422"/>
    </row>
    <row r="6" spans="1:31" s="2112" customFormat="1" ht="16.5" customHeight="1">
      <c r="A6" s="2855" t="s">
        <v>1844</v>
      </c>
      <c r="B6" s="2856"/>
      <c r="C6" s="2857">
        <f ca="1">SUM(C10:K10)</f>
        <v>32486</v>
      </c>
      <c r="D6" s="2856"/>
      <c r="E6" s="2856"/>
      <c r="F6" s="2856"/>
      <c r="G6" s="2856"/>
      <c r="H6" s="2856"/>
      <c r="I6" s="2856"/>
      <c r="J6" s="2856"/>
      <c r="K6" s="2858"/>
    </row>
    <row r="7" spans="1:31" s="2114" customFormat="1" ht="15">
      <c r="A7" s="2859" t="s">
        <v>470</v>
      </c>
      <c r="B7" s="2860" t="s">
        <v>471</v>
      </c>
      <c r="C7" s="436" t="s">
        <v>924</v>
      </c>
      <c r="D7" s="436" t="s">
        <v>2988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56615.72</v>
      </c>
      <c r="D9" s="441">
        <f>SUMIF('数据-汇总表'!$C19:$C33,'剩余法-待开发'!D7,'数据-汇总表'!$E19:$E33)</f>
        <v>6290.64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6">
        <f>'不动产比较法-住宅'!B2</f>
        <v>25244</v>
      </c>
      <c r="D10" s="3056">
        <f ca="1">不动产收益法!B2</f>
        <v>7242</v>
      </c>
      <c r="E10" s="3056"/>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10191</v>
      </c>
      <c r="D13" s="2871"/>
      <c r="E13" s="2872"/>
      <c r="F13" s="2873"/>
      <c r="G13" s="2839"/>
      <c r="H13" s="2840"/>
      <c r="I13" s="2840"/>
      <c r="J13" s="2840"/>
      <c r="K13" s="2841"/>
    </row>
    <row r="14" spans="1:31" s="2117" customFormat="1" ht="13.5" customHeight="1">
      <c r="A14" s="2869" t="s">
        <v>1851</v>
      </c>
      <c r="B14" s="2870" t="s">
        <v>480</v>
      </c>
      <c r="C14" s="53">
        <f ca="1">ROUND(C13*F14,0)</f>
        <v>306</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453</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944</v>
      </c>
      <c r="D16" s="2871">
        <f ca="1">IF(B1="",'数据-汇总表'!E3,INDIRECT("'数据-取费表'!K"&amp;$K$1)+INDIRECT("'数据-取费表'!S"&amp;$K$1))</f>
        <v>62906.36</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153</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12047</v>
      </c>
      <c r="D18" s="2880"/>
      <c r="E18" s="468"/>
      <c r="F18" s="468"/>
      <c r="G18" s="2843" t="s">
        <v>2432</v>
      </c>
      <c r="H18" s="2844"/>
      <c r="I18" s="2844"/>
      <c r="J18" s="2844"/>
      <c r="K18" s="2845"/>
    </row>
    <row r="19" spans="1:14" s="2117" customFormat="1" ht="13.5" customHeight="1">
      <c r="A19" s="2877" t="s">
        <v>1856</v>
      </c>
      <c r="B19" s="2878" t="s">
        <v>488</v>
      </c>
      <c r="C19" s="2835">
        <f ca="1">ROUND(D19*E19/10000,0)</f>
        <v>0</v>
      </c>
      <c r="D19" s="2881">
        <f ca="1">D16</f>
        <v>62906.36</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189</v>
      </c>
      <c r="D20" s="2881"/>
      <c r="E20" s="2835"/>
      <c r="F20" s="2882"/>
      <c r="G20" s="3116"/>
      <c r="H20" s="2837"/>
      <c r="I20" s="2838" t="s">
        <v>2657</v>
      </c>
      <c r="J20" s="2844"/>
      <c r="K20" s="2845"/>
    </row>
    <row r="21" spans="1:14" s="2117" customFormat="1" ht="13.5" customHeight="1">
      <c r="A21" s="2869" t="s">
        <v>1858</v>
      </c>
      <c r="B21" s="2870" t="s">
        <v>491</v>
      </c>
      <c r="C21" s="53">
        <f ca="1">ROUND(D21*E21/10000,0)</f>
        <v>170</v>
      </c>
      <c r="D21" s="2871">
        <f ca="1">IF(B1="",'数据-汇总表'!E5,IF(INDIRECT("'数据-取费表'!c"&amp;$K$1)="住宅",INDIRECT("'数据-取费表'!k"&amp;$K$1),0))</f>
        <v>56615.72</v>
      </c>
      <c r="E21" s="53">
        <f>'数据-取费表'!B27</f>
        <v>30</v>
      </c>
      <c r="F21" s="2874"/>
      <c r="G21" s="26"/>
      <c r="H21" s="51"/>
      <c r="I21" s="51"/>
      <c r="J21" s="51"/>
      <c r="K21" s="2846"/>
    </row>
    <row r="22" spans="1:14" s="2117" customFormat="1" ht="13.5" customHeight="1">
      <c r="A22" s="2869" t="s">
        <v>1859</v>
      </c>
      <c r="B22" s="2870" t="s">
        <v>492</v>
      </c>
      <c r="C22" s="53">
        <f ca="1">ROUND(D22*E22/10000,0)</f>
        <v>19</v>
      </c>
      <c r="D22" s="2871">
        <f ca="1">IF(B1="",'数据-汇总表'!E6,IF(INDIRECT("'数据-取费表'!c"&amp;$K$1)="住宅",INDIRECT("'数据-取费表'!s"&amp;$K$1),INDIRECT("'数据-取费表'!k"&amp;$K$1)+INDIRECT("'数据-取费表'!s"&amp;$K$1)))</f>
        <v>6290.6399999999994</v>
      </c>
      <c r="E22" s="53">
        <f>'数据-取费表'!B28</f>
        <v>30</v>
      </c>
      <c r="F22" s="2874"/>
      <c r="G22" s="26"/>
      <c r="H22" s="51"/>
      <c r="I22" s="51"/>
      <c r="J22" s="51"/>
      <c r="K22" s="2846"/>
    </row>
    <row r="23" spans="1:14" s="2117" customFormat="1" ht="13.5" customHeight="1">
      <c r="A23" s="2877" t="s">
        <v>1860</v>
      </c>
      <c r="B23" s="3062" t="s">
        <v>2840</v>
      </c>
      <c r="C23" s="2879">
        <f ca="1">ROUND((C18+C19+C20)*F23,0)</f>
        <v>184</v>
      </c>
      <c r="D23" s="468"/>
      <c r="E23" s="468"/>
      <c r="F23" s="2883">
        <f>'数据-取费表'!B37</f>
        <v>1.4999999999999999E-2</v>
      </c>
      <c r="G23" s="2839" t="s">
        <v>2433</v>
      </c>
      <c r="H23" s="2840"/>
      <c r="I23" s="2840"/>
      <c r="J23" s="2840"/>
      <c r="K23" s="2841"/>
      <c r="L23" s="2119"/>
      <c r="M23" s="2119"/>
      <c r="N23" s="2119"/>
    </row>
    <row r="24" spans="1:14" s="2117" customFormat="1" ht="13.5" customHeight="1">
      <c r="A24" s="2877" t="s">
        <v>1861</v>
      </c>
      <c r="B24" s="3062" t="s">
        <v>2843</v>
      </c>
      <c r="C24" s="2879">
        <f ca="1">ROUND(C6*F24,0)</f>
        <v>650</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2" t="s">
        <v>2841</v>
      </c>
      <c r="C25" s="467">
        <f>ROUND(F25/(1+'数据-取费表'!C42),4)</f>
        <v>3.8399999999999997E-2</v>
      </c>
      <c r="D25" s="462" t="s">
        <v>2835</v>
      </c>
      <c r="E25" s="469"/>
      <c r="F25" s="2883">
        <f>'数据-取费表'!B48+'数据-取费表'!B49</f>
        <v>4.0500000000000001E-2</v>
      </c>
      <c r="G25" s="2847" t="s">
        <v>2291</v>
      </c>
      <c r="H25" s="2840"/>
      <c r="I25" s="2840"/>
      <c r="J25" s="2840"/>
      <c r="K25" s="2841"/>
    </row>
    <row r="26" spans="1:14" s="2119" customFormat="1" ht="13.5" customHeight="1">
      <c r="A26" s="2877" t="s">
        <v>1863</v>
      </c>
      <c r="B26" s="3063" t="s">
        <v>2842</v>
      </c>
      <c r="C26" s="2884">
        <f ca="1">C28</f>
        <v>463</v>
      </c>
      <c r="D26" s="467">
        <f ca="1">C27</f>
        <v>7.4899999999999994E-2</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7.4899999999999994E-2</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2844</v>
      </c>
      <c r="C28" s="2887">
        <f ca="1">ROUND(IF('数据-取费表'!B22&lt;=1,(C18+C19+C20+C23+C24)*F26*'数据-取费表'!B24/2,(C18+C19+C20+C23+C24)*(POWER((1+F26),'数据-取费表'!B24/2)-1)),0)</f>
        <v>463</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1964</v>
      </c>
      <c r="D29" s="468"/>
      <c r="E29" s="468"/>
      <c r="F29" s="3064">
        <f>'数据-取费表'!B41</f>
        <v>6.3840000000000008E-2</v>
      </c>
      <c r="G29" s="2848" t="s">
        <v>498</v>
      </c>
      <c r="H29" s="2840"/>
      <c r="I29" s="2840"/>
      <c r="J29" s="2840"/>
      <c r="K29" s="2841"/>
    </row>
    <row r="30" spans="1:14" s="2122" customFormat="1" ht="13.5" customHeight="1">
      <c r="A30" s="1636" t="s">
        <v>1865</v>
      </c>
      <c r="B30" s="2889" t="s">
        <v>500</v>
      </c>
      <c r="C30" s="2884">
        <f ca="1">C31</f>
        <v>15497</v>
      </c>
      <c r="D30" s="477">
        <f ca="1">C32</f>
        <v>0.1133</v>
      </c>
      <c r="E30" s="469" t="s">
        <v>495</v>
      </c>
      <c r="F30" s="471"/>
      <c r="G30" s="2839" t="s">
        <v>501</v>
      </c>
      <c r="H30" s="2840"/>
      <c r="I30" s="2840"/>
      <c r="J30" s="2840"/>
      <c r="K30" s="2841"/>
    </row>
    <row r="31" spans="1:14" s="2121" customFormat="1" ht="13.5" customHeight="1">
      <c r="A31" s="803" t="s">
        <v>1858</v>
      </c>
      <c r="B31" s="2885"/>
      <c r="C31" s="450">
        <f ca="1">C18+C19+C20+C23+C24+C26+C29</f>
        <v>15497</v>
      </c>
      <c r="D31" s="472"/>
      <c r="E31" s="473"/>
      <c r="F31" s="474"/>
      <c r="G31" s="261"/>
      <c r="H31" s="2842"/>
      <c r="I31" s="2842"/>
      <c r="J31" s="2842"/>
      <c r="K31" s="279"/>
    </row>
    <row r="32" spans="1:14" s="2121" customFormat="1" ht="13.5" customHeight="1">
      <c r="A32" s="803" t="s">
        <v>1859</v>
      </c>
      <c r="B32" s="2885"/>
      <c r="C32" s="53">
        <f ca="1">ROUND(C25+D26,4)</f>
        <v>0.1133</v>
      </c>
      <c r="D32" s="472"/>
      <c r="E32" s="473"/>
      <c r="F32" s="474"/>
      <c r="G32" s="261"/>
      <c r="H32" s="2842"/>
      <c r="I32" s="2842"/>
      <c r="J32" s="2842"/>
      <c r="K32" s="279"/>
    </row>
    <row r="33" spans="1:11" s="2123" customFormat="1" ht="13.5" customHeight="1">
      <c r="A33" s="3061" t="s">
        <v>2839</v>
      </c>
      <c r="B33" s="3059" t="s">
        <v>2837</v>
      </c>
      <c r="C33" s="478">
        <f ca="1">C35</f>
        <v>2745</v>
      </c>
      <c r="D33" s="467">
        <f ca="1">C34</f>
        <v>0.21809999999999999</v>
      </c>
      <c r="E33" s="469" t="s">
        <v>495</v>
      </c>
      <c r="F33" s="479">
        <f ca="1">IF(B1="",'数据-取费表'!Q16,INDIRECT("'数据-取费表'!q"&amp;$K$1))</f>
        <v>0.21</v>
      </c>
      <c r="G33" s="2843"/>
      <c r="H33" s="2844"/>
      <c r="I33" s="2844"/>
      <c r="J33" s="2844"/>
      <c r="K33" s="2845"/>
    </row>
    <row r="34" spans="1:11" s="2124" customFormat="1" ht="13.5" customHeight="1">
      <c r="A34" s="375" t="s">
        <v>1858</v>
      </c>
      <c r="B34" s="2890" t="s">
        <v>502</v>
      </c>
      <c r="C34" s="472">
        <f ca="1">ROUND((1+C25)*F33,4)</f>
        <v>0.21809999999999999</v>
      </c>
      <c r="D34" s="472"/>
      <c r="E34" s="473"/>
      <c r="F34" s="480"/>
      <c r="G34" s="261" t="s">
        <v>2292</v>
      </c>
      <c r="H34" s="2842"/>
      <c r="I34" s="2842"/>
      <c r="J34" s="2842"/>
      <c r="K34" s="279"/>
    </row>
    <row r="35" spans="1:11" s="2124" customFormat="1" ht="13.5" customHeight="1" thickBot="1">
      <c r="A35" s="1637" t="s">
        <v>1859</v>
      </c>
      <c r="B35" s="3060" t="s">
        <v>2845</v>
      </c>
      <c r="C35" s="1629">
        <f ca="1">ROUND((C18+C19+C20+C23+C24)*F33,0)</f>
        <v>2745</v>
      </c>
      <c r="D35" s="1630"/>
      <c r="E35" s="2891"/>
      <c r="F35" s="1631"/>
      <c r="G35" s="2849"/>
      <c r="H35" s="2850"/>
      <c r="I35" s="2850"/>
      <c r="J35" s="2850"/>
      <c r="K35" s="2851"/>
    </row>
    <row r="36" spans="1:11" s="2086" customFormat="1" ht="13.5" customHeight="1" thickBot="1">
      <c r="A36" s="284" t="s">
        <v>1846</v>
      </c>
      <c r="B36" s="2853"/>
      <c r="C36" s="2892">
        <f ca="1">ROUND((C6-C30-C33)/(1+D30+D33),0)</f>
        <v>10699</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7" t="str">
        <f>项目基本情况!B1</f>
        <v>湖北省天门市竟陵办事处东湖村出让国有建设用地使用权抵押价格预评估</v>
      </c>
      <c r="C37" s="3187"/>
      <c r="D37" s="3187"/>
      <c r="E37" s="3187"/>
      <c r="F37" s="3187"/>
      <c r="G37" s="3187"/>
      <c r="H37" s="3187"/>
      <c r="I37" s="3187"/>
    </row>
    <row r="38" spans="1:9">
      <c r="A38" s="1657"/>
      <c r="B38" s="1657"/>
    </row>
    <row r="39" spans="1:9">
      <c r="A39" s="1655" t="s">
        <v>1903</v>
      </c>
      <c r="B39" s="1655" t="s">
        <v>2048</v>
      </c>
    </row>
    <row r="40" spans="1:9">
      <c r="A40" s="1655"/>
      <c r="B40" s="1655" t="str">
        <f>项目基本情况!B5</f>
        <v>湖北天门汉旺房地产开发有限公司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梁津、王鹏</v>
      </c>
    </row>
    <row r="47" spans="1:9">
      <c r="A47" s="1655"/>
      <c r="B47" s="1655"/>
    </row>
    <row r="48" spans="1:9">
      <c r="A48" s="1655" t="s">
        <v>1903</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2658</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10191</v>
      </c>
      <c r="D13" s="451"/>
      <c r="E13" s="365"/>
      <c r="F13" s="452"/>
      <c r="G13" s="444"/>
      <c r="H13" s="447"/>
      <c r="I13" s="447"/>
      <c r="J13" s="447"/>
      <c r="K13" s="448"/>
    </row>
    <row r="14" spans="1:41" s="2117" customFormat="1" ht="13.5" customHeight="1">
      <c r="A14" s="1634" t="s">
        <v>1851</v>
      </c>
      <c r="B14" s="449" t="s">
        <v>480</v>
      </c>
      <c r="C14" s="53">
        <f ca="1">ROUND(C13*F14,0)</f>
        <v>306</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453</v>
      </c>
      <c r="D15" s="451"/>
      <c r="E15" s="365"/>
      <c r="F15" s="453">
        <f>'数据-取费表'!B34</f>
        <v>0.05</v>
      </c>
      <c r="G15" s="444" t="s">
        <v>503</v>
      </c>
      <c r="H15" s="447"/>
      <c r="I15" s="447"/>
      <c r="J15" s="447"/>
      <c r="K15" s="448"/>
    </row>
    <row r="16" spans="1:41" s="2118" customFormat="1" ht="13.5" customHeight="1">
      <c r="A16" s="1634" t="s">
        <v>1853</v>
      </c>
      <c r="B16" s="449" t="s">
        <v>484</v>
      </c>
      <c r="C16" s="53">
        <f ca="1">ROUND(D16*E16/10000,0)</f>
        <v>944</v>
      </c>
      <c r="D16" s="451">
        <f ca="1">IF(B1="",'数据-汇总表'!E3,INDIRECT("'数据-取费表'!K"&amp;$K$1)+INDIRECT("'数据-取费表'!S"&amp;$K$1))</f>
        <v>62906.36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153</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12047</v>
      </c>
      <c r="D18" s="461"/>
      <c r="E18" s="462"/>
      <c r="F18" s="462"/>
      <c r="G18" s="1327" t="s">
        <v>2434</v>
      </c>
      <c r="H18" s="447"/>
      <c r="I18" s="447"/>
      <c r="J18" s="447"/>
      <c r="K18" s="448"/>
    </row>
    <row r="19" spans="1:14" s="2120" customFormat="1" ht="13.5" customHeight="1">
      <c r="A19" s="1635" t="s">
        <v>1856</v>
      </c>
      <c r="B19" s="459" t="s">
        <v>493</v>
      </c>
      <c r="C19" s="460">
        <f ca="1">ROUND(C18*F19,0)</f>
        <v>181</v>
      </c>
      <c r="D19" s="462"/>
      <c r="E19" s="462"/>
      <c r="F19" s="466">
        <f>'数据-取费表'!B37</f>
        <v>1.4999999999999999E-2</v>
      </c>
      <c r="G19" s="444" t="s">
        <v>504</v>
      </c>
      <c r="H19" s="447"/>
      <c r="I19" s="447"/>
      <c r="J19" s="447"/>
      <c r="K19" s="448"/>
      <c r="L19" s="2122"/>
      <c r="M19" s="2122"/>
      <c r="N19" s="2122"/>
    </row>
    <row r="20" spans="1:14" s="2120" customFormat="1" ht="13.5" customHeight="1">
      <c r="A20" s="1635" t="s">
        <v>1857</v>
      </c>
      <c r="B20" s="459" t="s">
        <v>505</v>
      </c>
      <c r="C20" s="3057">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1860</v>
      </c>
      <c r="B21" s="461" t="s">
        <v>494</v>
      </c>
      <c r="C21" s="470">
        <f ca="1">C22</f>
        <v>433</v>
      </c>
      <c r="D21" s="467">
        <f ca="1">C23</f>
        <v>6.9999999999999999E-4</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4" t="s">
        <v>1850</v>
      </c>
      <c r="B22" s="1328" t="s">
        <v>2437</v>
      </c>
      <c r="C22" s="487">
        <f ca="1">ROUND(IF('数据-取费表'!B22&lt;=1,(C18+C19)*F21*'数据-取费表'!B20/2,(C18+C19)*(POWER((1+F21),'数据-取费表'!B20/2)-1)),0)</f>
        <v>433</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6.9999999999999999E-4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9" t="s">
        <v>2838</v>
      </c>
      <c r="C24" s="478">
        <f ca="1">C25</f>
        <v>2568</v>
      </c>
      <c r="D24" s="489">
        <f ca="1">C26</f>
        <v>4.1999999999999997E-3</v>
      </c>
      <c r="E24" s="469" t="s">
        <v>508</v>
      </c>
      <c r="F24" s="479">
        <f ca="1">IF(B1="",'数据-取费表'!Q16,INDIRECT("'数据-取费表'!q"&amp;$K$1))</f>
        <v>0.21</v>
      </c>
      <c r="G24" s="444"/>
      <c r="H24" s="447"/>
      <c r="I24" s="447"/>
      <c r="J24" s="447"/>
      <c r="K24" s="448"/>
    </row>
    <row r="25" spans="1:14" s="2121" customFormat="1" ht="13.5" customHeight="1">
      <c r="A25" s="1634" t="s">
        <v>1850</v>
      </c>
      <c r="B25" s="1328" t="s">
        <v>2438</v>
      </c>
      <c r="C25" s="490">
        <f ca="1">ROUND((C18+C19)*F24,0)</f>
        <v>2568</v>
      </c>
      <c r="D25" s="472"/>
      <c r="E25" s="473"/>
      <c r="F25" s="480"/>
      <c r="G25" s="1326" t="s">
        <v>2435</v>
      </c>
      <c r="H25" s="457"/>
      <c r="I25" s="457"/>
      <c r="J25" s="457"/>
      <c r="K25" s="458"/>
    </row>
    <row r="26" spans="1:14" s="2121" customFormat="1" ht="13.5" customHeight="1">
      <c r="A26" s="1634" t="s">
        <v>1851</v>
      </c>
      <c r="B26" s="1328" t="s">
        <v>510</v>
      </c>
      <c r="C26" s="491">
        <f ca="1">ROUND(F20*F24,4)</f>
        <v>4.1999999999999997E-3</v>
      </c>
      <c r="D26" s="472"/>
      <c r="E26" s="481"/>
      <c r="F26" s="480"/>
      <c r="G26" s="1326" t="s">
        <v>511</v>
      </c>
      <c r="H26" s="457"/>
      <c r="I26" s="457"/>
      <c r="J26" s="457"/>
      <c r="K26" s="458"/>
    </row>
    <row r="27" spans="1:14" s="2121" customFormat="1" ht="13.5" customHeight="1">
      <c r="A27" s="1638" t="s">
        <v>1869</v>
      </c>
      <c r="B27" s="459" t="s">
        <v>512</v>
      </c>
      <c r="C27" s="3058">
        <f>ROUND(F27/(1+'数据-取费表'!C42),4)</f>
        <v>6.0499999999999998E-2</v>
      </c>
      <c r="D27" s="462" t="s">
        <v>2836</v>
      </c>
      <c r="E27" s="462"/>
      <c r="F27" s="466">
        <f>'数据-取费表'!B41</f>
        <v>6.3840000000000008E-2</v>
      </c>
      <c r="G27" s="1961" t="s">
        <v>2293</v>
      </c>
      <c r="H27" s="447"/>
      <c r="I27" s="447"/>
      <c r="J27" s="447"/>
      <c r="K27" s="448"/>
    </row>
    <row r="28" spans="1:14" s="2122" customFormat="1" ht="13.5" customHeight="1">
      <c r="A28" s="1638" t="s">
        <v>1870</v>
      </c>
      <c r="B28" s="476" t="s">
        <v>513</v>
      </c>
      <c r="C28" s="470">
        <f ca="1">ROUND((C18+C19+C21+C24)/(1-C20-D21-D24-C27),0)</f>
        <v>16651</v>
      </c>
      <c r="D28" s="477"/>
      <c r="E28" s="469"/>
      <c r="F28" s="471"/>
      <c r="G28" s="1327" t="s">
        <v>2436</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6.3840000000000008E-2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361" t="s">
        <v>523</v>
      </c>
      <c r="D6" s="3362"/>
      <c r="E6" s="3398" t="s">
        <v>524</v>
      </c>
      <c r="F6" s="3399"/>
      <c r="G6" s="3361" t="s">
        <v>525</v>
      </c>
      <c r="H6" s="3362"/>
      <c r="I6" s="3361" t="s">
        <v>526</v>
      </c>
      <c r="J6" s="3362"/>
      <c r="K6" s="514" t="s">
        <v>527</v>
      </c>
      <c r="L6" s="2134"/>
      <c r="M6" s="2135"/>
      <c r="N6" s="2135"/>
      <c r="O6" s="2135"/>
      <c r="P6" s="3363" t="s">
        <v>528</v>
      </c>
      <c r="Q6" s="3364"/>
      <c r="R6" s="3369" t="s">
        <v>524</v>
      </c>
      <c r="S6" s="3370"/>
      <c r="T6" s="3369" t="s">
        <v>525</v>
      </c>
      <c r="U6" s="3370"/>
      <c r="V6" s="3356" t="s">
        <v>526</v>
      </c>
      <c r="W6" s="3356"/>
      <c r="X6" s="1568"/>
      <c r="Y6" s="3369" t="s">
        <v>528</v>
      </c>
      <c r="Z6" s="3370"/>
      <c r="AA6" s="3358" t="s">
        <v>524</v>
      </c>
      <c r="AB6" s="3359" t="s">
        <v>525</v>
      </c>
      <c r="AC6" s="3358" t="s">
        <v>526</v>
      </c>
    </row>
    <row r="7" spans="1:29" ht="15">
      <c r="A7" s="515"/>
      <c r="B7" s="516"/>
      <c r="C7" s="3379" t="s">
        <v>2932</v>
      </c>
      <c r="D7" s="3378"/>
      <c r="E7" s="3400" t="s">
        <v>2933</v>
      </c>
      <c r="F7" s="3401"/>
      <c r="G7" s="3379" t="s">
        <v>2934</v>
      </c>
      <c r="H7" s="3378"/>
      <c r="I7" s="3379" t="s">
        <v>2935</v>
      </c>
      <c r="J7" s="3378"/>
      <c r="K7" s="514"/>
      <c r="L7" s="2134"/>
      <c r="M7" s="2135"/>
      <c r="N7" s="2135"/>
      <c r="O7" s="2135"/>
      <c r="P7" s="3365"/>
      <c r="Q7" s="3366"/>
      <c r="R7" s="3371"/>
      <c r="S7" s="3372"/>
      <c r="T7" s="3371"/>
      <c r="U7" s="3372"/>
      <c r="V7" s="3356"/>
      <c r="W7" s="3356"/>
      <c r="X7" s="1568"/>
      <c r="Y7" s="3371"/>
      <c r="Z7" s="3372"/>
      <c r="AA7" s="3359"/>
      <c r="AB7" s="3359"/>
      <c r="AC7" s="3359"/>
    </row>
    <row r="8" spans="1:29" ht="15.75" thickBot="1">
      <c r="A8" s="517"/>
      <c r="B8" s="518"/>
      <c r="C8" s="3395" t="s">
        <v>2936</v>
      </c>
      <c r="D8" s="3376"/>
      <c r="E8" s="3396" t="s">
        <v>2936</v>
      </c>
      <c r="F8" s="3397"/>
      <c r="G8" s="3395" t="s">
        <v>2936</v>
      </c>
      <c r="H8" s="3376"/>
      <c r="I8" s="3395" t="s">
        <v>2936</v>
      </c>
      <c r="J8" s="3376"/>
      <c r="K8" s="514" t="s">
        <v>529</v>
      </c>
      <c r="L8" s="2134"/>
      <c r="M8" s="2135"/>
      <c r="N8" s="2135"/>
      <c r="O8" s="2135"/>
      <c r="P8" s="3367"/>
      <c r="Q8" s="3368"/>
      <c r="R8" s="3371"/>
      <c r="S8" s="3372"/>
      <c r="T8" s="3373"/>
      <c r="U8" s="3374"/>
      <c r="V8" s="3356"/>
      <c r="W8" s="3356"/>
      <c r="X8" s="1568"/>
      <c r="Y8" s="3373"/>
      <c r="Z8" s="3374"/>
      <c r="AA8" s="3360"/>
      <c r="AB8" s="3360"/>
      <c r="AC8" s="3360"/>
    </row>
    <row r="9" spans="1:29" s="1220" customFormat="1" ht="15.75" thickBot="1">
      <c r="A9" s="2939"/>
      <c r="B9" s="2946" t="s">
        <v>530</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8" t="s">
        <v>531</v>
      </c>
      <c r="Q9" s="3390"/>
      <c r="R9" s="1569" t="s">
        <v>8</v>
      </c>
      <c r="S9" s="1570">
        <f t="shared" ref="S9:S17" si="0">F9</f>
        <v>0</v>
      </c>
      <c r="T9" s="1569" t="s">
        <v>8</v>
      </c>
      <c r="U9" s="1570">
        <f t="shared" ref="U9:U17" si="1">H9</f>
        <v>0</v>
      </c>
      <c r="V9" s="1569" t="s">
        <v>8</v>
      </c>
      <c r="W9" s="1570">
        <f t="shared" ref="W9:W17" si="2">J9</f>
        <v>0</v>
      </c>
      <c r="X9" s="1571"/>
      <c r="Y9" s="3388" t="s">
        <v>531</v>
      </c>
      <c r="Z9" s="3389"/>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8" t="s">
        <v>534</v>
      </c>
      <c r="Q10" s="3389"/>
      <c r="R10" s="1569" t="s">
        <v>8</v>
      </c>
      <c r="S10" s="1570">
        <f t="shared" si="0"/>
        <v>0</v>
      </c>
      <c r="T10" s="1569" t="s">
        <v>8</v>
      </c>
      <c r="U10" s="1570">
        <f t="shared" si="1"/>
        <v>0</v>
      </c>
      <c r="V10" s="1569" t="s">
        <v>8</v>
      </c>
      <c r="W10" s="1570">
        <f t="shared" si="2"/>
        <v>0</v>
      </c>
      <c r="X10" s="1571"/>
      <c r="Y10" s="3388" t="s">
        <v>534</v>
      </c>
      <c r="Z10" s="3389"/>
      <c r="AA10" s="1572" t="e">
        <f t="shared" ref="AA10:AA42" si="3">D10/F10</f>
        <v>#DIV/0!</v>
      </c>
      <c r="AB10" s="1572" t="e">
        <f t="shared" ref="AB10:AB42" si="4">D10/H10</f>
        <v>#DIV/0!</v>
      </c>
      <c r="AC10" s="1572" t="e">
        <f t="shared" ref="AC10:AC42" si="5">D10/J10</f>
        <v>#DIV/0!</v>
      </c>
    </row>
    <row r="11" spans="1:29" s="1220" customFormat="1" ht="15">
      <c r="A11" s="2941"/>
      <c r="B11" s="2948" t="s">
        <v>2762</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5" t="s">
        <v>536</v>
      </c>
      <c r="Q11" s="1151" t="str">
        <f t="shared" ref="Q11:Q17" si="6">B11</f>
        <v>用途</v>
      </c>
      <c r="R11" s="1569" t="s">
        <v>8</v>
      </c>
      <c r="S11" s="1570">
        <f t="shared" si="0"/>
        <v>100</v>
      </c>
      <c r="T11" s="1569" t="s">
        <v>8</v>
      </c>
      <c r="U11" s="1570">
        <f t="shared" si="1"/>
        <v>100</v>
      </c>
      <c r="V11" s="1569" t="s">
        <v>8</v>
      </c>
      <c r="W11" s="1570">
        <f t="shared" si="2"/>
        <v>100</v>
      </c>
      <c r="X11" s="1571"/>
      <c r="Y11" s="3301" t="s">
        <v>537</v>
      </c>
      <c r="Z11" s="1150" t="str">
        <f t="shared" ref="Z11:Z17" si="7">Q11</f>
        <v>用途</v>
      </c>
      <c r="AA11" s="1572">
        <f t="shared" si="3"/>
        <v>1</v>
      </c>
      <c r="AB11" s="1572">
        <f t="shared" si="4"/>
        <v>1</v>
      </c>
      <c r="AC11" s="1572">
        <f t="shared" si="5"/>
        <v>1</v>
      </c>
    </row>
    <row r="12" spans="1:29" s="1338" customFormat="1" ht="27">
      <c r="A12" s="2942"/>
      <c r="B12" s="2947" t="s">
        <v>2763</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55"/>
      <c r="Q12" s="1151" t="str">
        <f t="shared" si="6"/>
        <v>土地使用年限（年）</v>
      </c>
      <c r="R12" s="1569" t="s">
        <v>8</v>
      </c>
      <c r="S12" s="1570">
        <f t="shared" si="0"/>
        <v>101</v>
      </c>
      <c r="T12" s="1569" t="s">
        <v>8</v>
      </c>
      <c r="U12" s="1570">
        <f t="shared" si="1"/>
        <v>101</v>
      </c>
      <c r="V12" s="1569" t="s">
        <v>8</v>
      </c>
      <c r="W12" s="1570">
        <f t="shared" si="2"/>
        <v>101</v>
      </c>
      <c r="X12" s="1571"/>
      <c r="Y12" s="3301"/>
      <c r="Z12" s="1150" t="str">
        <f t="shared" si="7"/>
        <v>土地使用年限（年）</v>
      </c>
      <c r="AA12" s="1572">
        <f t="shared" si="3"/>
        <v>0.99009900990099009</v>
      </c>
      <c r="AB12" s="1572">
        <f t="shared" si="4"/>
        <v>0.99009900990099009</v>
      </c>
      <c r="AC12" s="1572">
        <f t="shared" si="5"/>
        <v>0.99009900990099009</v>
      </c>
    </row>
    <row r="13" spans="1:29" ht="15">
      <c r="A13" s="2943"/>
      <c r="B13" s="2947"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5"/>
      <c r="Q13" s="1151" t="str">
        <f t="shared" si="6"/>
        <v>容积率</v>
      </c>
      <c r="R13" s="1569" t="s">
        <v>8</v>
      </c>
      <c r="S13" s="1570" t="e">
        <f t="shared" si="0"/>
        <v>#N/A</v>
      </c>
      <c r="T13" s="1569" t="s">
        <v>8</v>
      </c>
      <c r="U13" s="1570" t="e">
        <f t="shared" si="1"/>
        <v>#N/A</v>
      </c>
      <c r="V13" s="1569" t="s">
        <v>8</v>
      </c>
      <c r="W13" s="1570" t="e">
        <f t="shared" si="2"/>
        <v>#N/A</v>
      </c>
      <c r="X13" s="1571"/>
      <c r="Y13" s="330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5"/>
      <c r="Q15" s="1151">
        <f t="shared" si="6"/>
        <v>111</v>
      </c>
      <c r="R15" s="1569" t="s">
        <v>8</v>
      </c>
      <c r="S15" s="1570">
        <f t="shared" si="0"/>
        <v>100</v>
      </c>
      <c r="T15" s="1569" t="s">
        <v>8</v>
      </c>
      <c r="U15" s="1570">
        <f t="shared" si="1"/>
        <v>100</v>
      </c>
      <c r="V15" s="1569" t="s">
        <v>8</v>
      </c>
      <c r="W15" s="1570">
        <f t="shared" si="2"/>
        <v>100</v>
      </c>
      <c r="X15" s="1571"/>
      <c r="Y15" s="330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5"/>
      <c r="Q16" s="1151">
        <f t="shared" si="6"/>
        <v>111</v>
      </c>
      <c r="R16" s="1569" t="s">
        <v>8</v>
      </c>
      <c r="S16" s="1570">
        <f t="shared" si="0"/>
        <v>100</v>
      </c>
      <c r="T16" s="1569" t="s">
        <v>8</v>
      </c>
      <c r="U16" s="1570">
        <f t="shared" si="1"/>
        <v>100</v>
      </c>
      <c r="V16" s="1569" t="s">
        <v>8</v>
      </c>
      <c r="W16" s="1570">
        <f t="shared" si="2"/>
        <v>100</v>
      </c>
      <c r="X16" s="1571"/>
      <c r="Y16" s="3301"/>
      <c r="Z16" s="1150">
        <f t="shared" si="7"/>
        <v>111</v>
      </c>
      <c r="AA16" s="1572">
        <f t="shared" si="3"/>
        <v>1</v>
      </c>
      <c r="AB16" s="1572">
        <f t="shared" si="4"/>
        <v>1</v>
      </c>
      <c r="AC16" s="1572">
        <f t="shared" si="5"/>
        <v>1</v>
      </c>
    </row>
    <row r="17" spans="1:29" ht="57">
      <c r="A17" s="2937"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1" t="s">
        <v>541</v>
      </c>
      <c r="Q17" s="1573" t="str">
        <f t="shared" si="6"/>
        <v>产业集聚程度</v>
      </c>
      <c r="R17" s="1574" t="s">
        <v>8</v>
      </c>
      <c r="S17" s="1575">
        <f t="shared" si="0"/>
        <v>100</v>
      </c>
      <c r="T17" s="1574" t="s">
        <v>8</v>
      </c>
      <c r="U17" s="1575">
        <f t="shared" si="1"/>
        <v>100</v>
      </c>
      <c r="V17" s="1574" t="s">
        <v>8</v>
      </c>
      <c r="W17" s="1575">
        <f t="shared" si="2"/>
        <v>100</v>
      </c>
      <c r="X17" s="1568"/>
      <c r="Y17" s="3391"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2"/>
      <c r="Q18" s="1573"/>
      <c r="R18" s="1574"/>
      <c r="S18" s="1575"/>
      <c r="T18" s="1574"/>
      <c r="U18" s="1575"/>
      <c r="V18" s="1574"/>
      <c r="W18" s="1575"/>
      <c r="X18" s="1568"/>
      <c r="Y18" s="3392"/>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2"/>
      <c r="Q19" s="1573" t="str">
        <f>B19</f>
        <v>交通便捷度</v>
      </c>
      <c r="R19" s="1574" t="s">
        <v>8</v>
      </c>
      <c r="S19" s="1575">
        <f>F19</f>
        <v>100</v>
      </c>
      <c r="T19" s="1574" t="s">
        <v>8</v>
      </c>
      <c r="U19" s="1575">
        <f>H19</f>
        <v>100</v>
      </c>
      <c r="V19" s="1574" t="s">
        <v>8</v>
      </c>
      <c r="W19" s="1575">
        <f>J19</f>
        <v>100</v>
      </c>
      <c r="X19" s="1568"/>
      <c r="Y19" s="339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2"/>
      <c r="Q21" s="1573" t="str">
        <f t="shared" ref="Q21:Q35" si="8">B21</f>
        <v>区域土地利用方向</v>
      </c>
      <c r="R21" s="1574" t="s">
        <v>8</v>
      </c>
      <c r="S21" s="1575">
        <f>F21</f>
        <v>100</v>
      </c>
      <c r="T21" s="1574" t="s">
        <v>8</v>
      </c>
      <c r="U21" s="1575">
        <f>H21</f>
        <v>100</v>
      </c>
      <c r="V21" s="1574" t="s">
        <v>8</v>
      </c>
      <c r="W21" s="1575">
        <f>J21</f>
        <v>100</v>
      </c>
      <c r="X21" s="1568"/>
      <c r="Y21" s="339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2"/>
      <c r="Q22" s="1573"/>
      <c r="R22" s="1574"/>
      <c r="S22" s="1575"/>
      <c r="T22" s="1574"/>
      <c r="U22" s="1575"/>
      <c r="V22" s="1574"/>
      <c r="W22" s="1575"/>
      <c r="X22" s="1568"/>
      <c r="Y22" s="3392"/>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2"/>
      <c r="Q23" s="1573" t="str">
        <f t="shared" si="8"/>
        <v>环境状况</v>
      </c>
      <c r="R23" s="1574" t="s">
        <v>8</v>
      </c>
      <c r="S23" s="1575">
        <f>F23</f>
        <v>100</v>
      </c>
      <c r="T23" s="1574" t="s">
        <v>8</v>
      </c>
      <c r="U23" s="1575">
        <f>H23</f>
        <v>100</v>
      </c>
      <c r="V23" s="1574" t="s">
        <v>8</v>
      </c>
      <c r="W23" s="1575">
        <f>J23</f>
        <v>100</v>
      </c>
      <c r="X23" s="1568"/>
      <c r="Y23" s="339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2"/>
      <c r="Q24" s="1573"/>
      <c r="R24" s="1574"/>
      <c r="S24" s="1575"/>
      <c r="T24" s="1574"/>
      <c r="U24" s="1575"/>
      <c r="V24" s="1574"/>
      <c r="W24" s="1575"/>
      <c r="X24" s="1568"/>
      <c r="Y24" s="3392"/>
      <c r="Z24" s="1576"/>
      <c r="AA24" s="1577">
        <v>1</v>
      </c>
      <c r="AB24" s="1577">
        <v>1</v>
      </c>
      <c r="AC24" s="1577">
        <v>1</v>
      </c>
    </row>
    <row r="25" spans="1:29" s="1220" customFormat="1" ht="42.75">
      <c r="A25" s="577"/>
      <c r="B25" s="2618"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2"/>
      <c r="Q25" s="1151" t="str">
        <f t="shared" si="8"/>
        <v>公共配套设施</v>
      </c>
      <c r="R25" s="1569" t="s">
        <v>8</v>
      </c>
      <c r="S25" s="1570">
        <f>F25</f>
        <v>100</v>
      </c>
      <c r="T25" s="1569" t="s">
        <v>8</v>
      </c>
      <c r="U25" s="1570">
        <f>H25</f>
        <v>100</v>
      </c>
      <c r="V25" s="1569" t="s">
        <v>8</v>
      </c>
      <c r="W25" s="1570">
        <f>J25</f>
        <v>100</v>
      </c>
      <c r="X25" s="1571"/>
      <c r="Y25" s="3392"/>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392"/>
      <c r="Q26" s="1151"/>
      <c r="R26" s="1569"/>
      <c r="S26" s="1570"/>
      <c r="T26" s="1569"/>
      <c r="U26" s="1570"/>
      <c r="V26" s="1569"/>
      <c r="W26" s="1570"/>
      <c r="X26" s="1571"/>
      <c r="Y26" s="3392"/>
      <c r="Z26" s="1150"/>
      <c r="AA26" s="1572">
        <v>1</v>
      </c>
      <c r="AB26" s="1572">
        <v>1</v>
      </c>
      <c r="AC26" s="1572">
        <v>1</v>
      </c>
    </row>
    <row r="27" spans="1:29" s="1220" customFormat="1" ht="28.5">
      <c r="A27" s="577"/>
      <c r="B27" s="2618"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2"/>
      <c r="Q27" s="2603" t="str">
        <f t="shared" ref="Q27" si="9">B27</f>
        <v>基础设施水平</v>
      </c>
      <c r="R27" s="1569" t="s">
        <v>8</v>
      </c>
      <c r="S27" s="1570">
        <f>F27</f>
        <v>100</v>
      </c>
      <c r="T27" s="1569" t="s">
        <v>8</v>
      </c>
      <c r="U27" s="1570">
        <f>H27</f>
        <v>100</v>
      </c>
      <c r="V27" s="1569" t="s">
        <v>8</v>
      </c>
      <c r="W27" s="1570">
        <f>J27</f>
        <v>100</v>
      </c>
      <c r="X27" s="1571"/>
      <c r="Y27" s="3392"/>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392"/>
      <c r="Q28" s="2603"/>
      <c r="R28" s="1569"/>
      <c r="S28" s="1570"/>
      <c r="T28" s="1569"/>
      <c r="U28" s="1570"/>
      <c r="V28" s="1569"/>
      <c r="W28" s="1570"/>
      <c r="X28" s="1571"/>
      <c r="Y28" s="3392"/>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2"/>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2"/>
      <c r="Q30" s="1573" t="str">
        <f t="shared" si="8"/>
        <v>毗邻道路的类型与等级</v>
      </c>
      <c r="R30" s="1574" t="s">
        <v>8</v>
      </c>
      <c r="S30" s="1575">
        <f t="shared" si="10"/>
        <v>100</v>
      </c>
      <c r="T30" s="1574" t="s">
        <v>8</v>
      </c>
      <c r="U30" s="1575">
        <f t="shared" si="11"/>
        <v>100</v>
      </c>
      <c r="V30" s="1574" t="s">
        <v>8</v>
      </c>
      <c r="W30" s="1575">
        <f t="shared" si="12"/>
        <v>100</v>
      </c>
      <c r="X30" s="1568"/>
      <c r="Y30" s="339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392"/>
      <c r="Q31" s="1573"/>
      <c r="R31" s="1574"/>
      <c r="S31" s="1575"/>
      <c r="T31" s="1574"/>
      <c r="U31" s="1575"/>
      <c r="V31" s="1574"/>
      <c r="W31" s="1575"/>
      <c r="X31" s="1568"/>
      <c r="Y31" s="3392"/>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2"/>
      <c r="Q32" s="1573" t="str">
        <f t="shared" si="8"/>
        <v>土地级别</v>
      </c>
      <c r="R32" s="1574" t="s">
        <v>8</v>
      </c>
      <c r="S32" s="1575">
        <f t="shared" si="10"/>
        <v>100</v>
      </c>
      <c r="T32" s="1574" t="s">
        <v>8</v>
      </c>
      <c r="U32" s="1575">
        <f t="shared" si="11"/>
        <v>100</v>
      </c>
      <c r="V32" s="1574" t="s">
        <v>8</v>
      </c>
      <c r="W32" s="1575">
        <f t="shared" si="12"/>
        <v>100</v>
      </c>
      <c r="X32" s="1568"/>
      <c r="Y32" s="339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2"/>
      <c r="Q33" s="1573">
        <f t="shared" si="8"/>
        <v>111</v>
      </c>
      <c r="R33" s="1574" t="s">
        <v>8</v>
      </c>
      <c r="S33" s="1575">
        <f t="shared" si="10"/>
        <v>100</v>
      </c>
      <c r="T33" s="1574" t="s">
        <v>8</v>
      </c>
      <c r="U33" s="1575">
        <f t="shared" si="11"/>
        <v>100</v>
      </c>
      <c r="V33" s="1574" t="s">
        <v>8</v>
      </c>
      <c r="W33" s="1575">
        <f t="shared" si="12"/>
        <v>100</v>
      </c>
      <c r="X33" s="1568"/>
      <c r="Y33" s="339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3" t="s">
        <v>551</v>
      </c>
      <c r="Q34" s="1573">
        <f t="shared" si="8"/>
        <v>111</v>
      </c>
      <c r="R34" s="1574" t="s">
        <v>8</v>
      </c>
      <c r="S34" s="1575">
        <f t="shared" si="10"/>
        <v>100</v>
      </c>
      <c r="T34" s="1574" t="s">
        <v>8</v>
      </c>
      <c r="U34" s="1575">
        <f t="shared" si="11"/>
        <v>100</v>
      </c>
      <c r="V34" s="1574" t="s">
        <v>8</v>
      </c>
      <c r="W34" s="1575">
        <f t="shared" si="12"/>
        <v>100</v>
      </c>
      <c r="X34" s="1568"/>
      <c r="Y34" s="3394"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4"/>
      <c r="Q35" s="1573">
        <f t="shared" si="8"/>
        <v>111</v>
      </c>
      <c r="R35" s="1578" t="s">
        <v>8</v>
      </c>
      <c r="S35" s="1579">
        <f t="shared" si="10"/>
        <v>100</v>
      </c>
      <c r="T35" s="1578" t="s">
        <v>8</v>
      </c>
      <c r="U35" s="1579">
        <f t="shared" si="11"/>
        <v>100</v>
      </c>
      <c r="V35" s="1578" t="s">
        <v>8</v>
      </c>
      <c r="W35" s="1579">
        <f t="shared" si="12"/>
        <v>100</v>
      </c>
      <c r="X35" s="1580"/>
      <c r="Y35" s="3394"/>
      <c r="Z35" s="1581">
        <f t="shared" si="13"/>
        <v>111</v>
      </c>
      <c r="AA35" s="1577">
        <f t="shared" si="3"/>
        <v>1</v>
      </c>
      <c r="AB35" s="1577">
        <f t="shared" si="4"/>
        <v>1</v>
      </c>
      <c r="AC35" s="1577">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4"/>
      <c r="Q36" s="1573" t="str">
        <f>B36</f>
        <v>宗地面积</v>
      </c>
      <c r="R36" s="1574" t="s">
        <v>8</v>
      </c>
      <c r="S36" s="1575" t="e">
        <f t="shared" si="10"/>
        <v>#N/A</v>
      </c>
      <c r="T36" s="1574" t="s">
        <v>8</v>
      </c>
      <c r="U36" s="1575" t="e">
        <f t="shared" si="11"/>
        <v>#N/A</v>
      </c>
      <c r="V36" s="1574" t="s">
        <v>8</v>
      </c>
      <c r="W36" s="1575" t="e">
        <f t="shared" si="12"/>
        <v>#N/A</v>
      </c>
      <c r="X36" s="1568"/>
      <c r="Y36" s="3394"/>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4"/>
      <c r="Q37" s="1573" t="str">
        <f t="shared" ref="Q37:Q42" si="14">B37</f>
        <v>宗地形状</v>
      </c>
      <c r="R37" s="1574" t="s">
        <v>8</v>
      </c>
      <c r="S37" s="1575">
        <f t="shared" si="10"/>
        <v>100</v>
      </c>
      <c r="T37" s="1574" t="s">
        <v>8</v>
      </c>
      <c r="U37" s="1575">
        <f t="shared" si="11"/>
        <v>100</v>
      </c>
      <c r="V37" s="1574" t="s">
        <v>8</v>
      </c>
      <c r="W37" s="1575">
        <f t="shared" si="12"/>
        <v>100</v>
      </c>
      <c r="X37" s="1568"/>
      <c r="Y37" s="3394"/>
      <c r="Z37" s="1576" t="str">
        <f t="shared" si="13"/>
        <v>宗地形状</v>
      </c>
      <c r="AA37" s="1577">
        <f t="shared" si="3"/>
        <v>1</v>
      </c>
      <c r="AB37" s="1577">
        <f t="shared" si="4"/>
        <v>1</v>
      </c>
      <c r="AC37" s="1577">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4"/>
      <c r="Q38" s="1573" t="str">
        <f t="shared" si="14"/>
        <v>宗地开发程度</v>
      </c>
      <c r="R38" s="1569" t="s">
        <v>8</v>
      </c>
      <c r="S38" s="1570">
        <f t="shared" si="10"/>
        <v>100</v>
      </c>
      <c r="T38" s="1569" t="s">
        <v>8</v>
      </c>
      <c r="U38" s="1570">
        <f t="shared" si="11"/>
        <v>100</v>
      </c>
      <c r="V38" s="1569" t="s">
        <v>8</v>
      </c>
      <c r="W38" s="1570">
        <f t="shared" si="12"/>
        <v>100</v>
      </c>
      <c r="X38" s="1571"/>
      <c r="Y38" s="3394"/>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t="s">
        <v>602</v>
      </c>
      <c r="Q39" s="1573" t="str">
        <f t="shared" si="14"/>
        <v>工程地质条件</v>
      </c>
      <c r="R39" s="1574" t="s">
        <v>8</v>
      </c>
      <c r="S39" s="1575">
        <f t="shared" si="10"/>
        <v>100</v>
      </c>
      <c r="T39" s="1574" t="s">
        <v>8</v>
      </c>
      <c r="U39" s="1575">
        <f t="shared" si="11"/>
        <v>100</v>
      </c>
      <c r="V39" s="1574" t="s">
        <v>8</v>
      </c>
      <c r="W39" s="1575">
        <f t="shared" si="12"/>
        <v>100</v>
      </c>
      <c r="X39" s="1568"/>
      <c r="Y39" s="3394"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4"/>
      <c r="Q40" s="1573">
        <f t="shared" si="14"/>
        <v>111</v>
      </c>
      <c r="R40" s="1574" t="s">
        <v>8</v>
      </c>
      <c r="S40" s="1575">
        <f t="shared" si="10"/>
        <v>100</v>
      </c>
      <c r="T40" s="1574" t="s">
        <v>8</v>
      </c>
      <c r="U40" s="1575">
        <f t="shared" si="11"/>
        <v>100</v>
      </c>
      <c r="V40" s="1574" t="s">
        <v>8</v>
      </c>
      <c r="W40" s="1575">
        <f t="shared" si="12"/>
        <v>100</v>
      </c>
      <c r="X40" s="1568"/>
      <c r="Y40" s="339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4"/>
      <c r="Q41" s="1573">
        <f t="shared" si="14"/>
        <v>111</v>
      </c>
      <c r="R41" s="1574" t="s">
        <v>8</v>
      </c>
      <c r="S41" s="1575">
        <f t="shared" si="10"/>
        <v>100</v>
      </c>
      <c r="T41" s="1574" t="s">
        <v>8</v>
      </c>
      <c r="U41" s="1575">
        <f t="shared" si="11"/>
        <v>100</v>
      </c>
      <c r="V41" s="1574" t="s">
        <v>8</v>
      </c>
      <c r="W41" s="1575">
        <f t="shared" si="12"/>
        <v>100</v>
      </c>
      <c r="X41" s="1568"/>
      <c r="Y41" s="339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4"/>
      <c r="Q42" s="1573">
        <f t="shared" si="14"/>
        <v>111</v>
      </c>
      <c r="R42" s="1578" t="s">
        <v>8</v>
      </c>
      <c r="S42" s="1579">
        <f t="shared" si="10"/>
        <v>100</v>
      </c>
      <c r="T42" s="1578" t="s">
        <v>8</v>
      </c>
      <c r="U42" s="1579">
        <f t="shared" si="11"/>
        <v>100</v>
      </c>
      <c r="V42" s="1578" t="s">
        <v>8</v>
      </c>
      <c r="W42" s="1579">
        <f t="shared" si="12"/>
        <v>100</v>
      </c>
      <c r="X42" s="1580"/>
      <c r="Y42" s="3394"/>
      <c r="Z42" s="1581">
        <f t="shared" si="13"/>
        <v>111</v>
      </c>
      <c r="AA42" s="1577">
        <f t="shared" si="3"/>
        <v>1</v>
      </c>
      <c r="AB42" s="1577">
        <f t="shared" si="4"/>
        <v>1</v>
      </c>
      <c r="AC42" s="1577">
        <f t="shared" si="5"/>
        <v>1</v>
      </c>
    </row>
    <row r="43" spans="1:29" ht="15">
      <c r="A43" s="607" t="s">
        <v>557</v>
      </c>
      <c r="B43" s="608" t="s">
        <v>2937</v>
      </c>
      <c r="C43" s="609" t="s">
        <v>1</v>
      </c>
      <c r="D43" s="610"/>
      <c r="E43" s="611"/>
      <c r="F43" s="612"/>
      <c r="G43" s="613"/>
      <c r="H43" s="614"/>
      <c r="I43" s="611"/>
      <c r="J43" s="614"/>
      <c r="K43" s="1340"/>
      <c r="L43" s="2145"/>
      <c r="M43" s="2135"/>
      <c r="N43" s="2135"/>
      <c r="O43" s="2146"/>
      <c r="P43" s="3355" t="str">
        <f>A43</f>
        <v>成交单价</v>
      </c>
      <c r="Q43" s="3355"/>
      <c r="R43" s="3356">
        <f>E43</f>
        <v>0</v>
      </c>
      <c r="S43" s="3356"/>
      <c r="T43" s="3356">
        <f>G43</f>
        <v>0</v>
      </c>
      <c r="U43" s="3356"/>
      <c r="V43" s="3356">
        <f>I43</f>
        <v>0</v>
      </c>
      <c r="W43" s="3356"/>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5"/>
      <c r="M44" s="2135"/>
      <c r="N44" s="2135"/>
      <c r="O44" s="2146"/>
      <c r="P44" s="3355" t="str">
        <f>A44</f>
        <v>比较价格（元/平方米）</v>
      </c>
      <c r="Q44" s="3355"/>
      <c r="R44" s="3357" t="e">
        <f>ROUND(PRODUCT(R43,AA9:AA42),0)</f>
        <v>#DIV/0!</v>
      </c>
      <c r="S44" s="3357"/>
      <c r="T44" s="3357" t="e">
        <f>ROUND(PRODUCT(T43,AB9:AB42),0)</f>
        <v>#DIV/0!</v>
      </c>
      <c r="U44" s="3357"/>
      <c r="V44" s="3357" t="e">
        <f>ROUND(PRODUCT(V43,AC9:AC42),0)</f>
        <v>#DIV/0!</v>
      </c>
      <c r="W44" s="3357"/>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52" t="str">
        <f>A45</f>
        <v>估价对象XX用房的比较价格（楼面单价，元/平方米）</v>
      </c>
      <c r="Q45" s="3353"/>
      <c r="R45" s="3354" t="e">
        <f>ROUND(AVERAGE(R44:V44),0)</f>
        <v>#DIV/0!</v>
      </c>
      <c r="S45" s="3354"/>
      <c r="T45" s="3354"/>
      <c r="U45" s="3354"/>
      <c r="V45" s="3354"/>
      <c r="W45" s="3354"/>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2295</v>
      </c>
      <c r="E52" s="631" t="s">
        <v>563</v>
      </c>
      <c r="F52" s="1952" t="s">
        <v>564</v>
      </c>
      <c r="G52" s="3402" t="s">
        <v>2286</v>
      </c>
      <c r="H52" s="3403"/>
      <c r="I52" s="1953" t="s">
        <v>1949</v>
      </c>
      <c r="J52" s="1556" t="str">
        <f>项目基本情况!F41</f>
        <v>湖北省天门市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62906.36</v>
      </c>
      <c r="F53" s="1951" t="e">
        <f t="shared" ref="F53:F62" si="15">ROUND(B53*E53/10000,0)</f>
        <v>#DIV/0!</v>
      </c>
      <c r="G53" s="3404"/>
      <c r="H53" s="340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406" t="s">
        <v>2287</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40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40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40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28593.8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2017-11-1</v>
      </c>
      <c r="D65" s="2826">
        <f>EDATE(C65,-3)</f>
        <v>42948</v>
      </c>
      <c r="E65" s="2826">
        <f t="shared" ref="E65:N65" si="18">EDATE(D65,-3)</f>
        <v>42856</v>
      </c>
      <c r="F65" s="2826">
        <f t="shared" si="18"/>
        <v>42767</v>
      </c>
      <c r="G65" s="2826">
        <f t="shared" si="18"/>
        <v>42675</v>
      </c>
      <c r="H65" s="2826">
        <f t="shared" si="18"/>
        <v>42583</v>
      </c>
      <c r="I65" s="2826">
        <f t="shared" si="18"/>
        <v>42491</v>
      </c>
      <c r="J65" s="2826">
        <f t="shared" si="18"/>
        <v>42401</v>
      </c>
      <c r="K65" s="2826">
        <f t="shared" si="18"/>
        <v>42309</v>
      </c>
      <c r="L65" s="2826">
        <f t="shared" si="18"/>
        <v>42217</v>
      </c>
      <c r="M65" s="2826">
        <f t="shared" si="18"/>
        <v>42125</v>
      </c>
      <c r="N65" s="2826">
        <f t="shared" si="18"/>
        <v>42036</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2537</v>
      </c>
      <c r="B67" s="646"/>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2655</v>
      </c>
      <c r="B68" s="479" t="str">
        <f>"北京市平均增长率"&amp;TEXT(基准地价!P24,"0.00%")</f>
        <v>北京市平均增长率1.39%</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2552</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2554</v>
      </c>
      <c r="C95" s="2623" t="s">
        <v>2555</v>
      </c>
      <c r="D95" s="2623" t="s">
        <v>2556</v>
      </c>
      <c r="E95" s="2623" t="s">
        <v>2557</v>
      </c>
      <c r="F95" s="2623" t="s">
        <v>2558</v>
      </c>
      <c r="G95" s="2623"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2428</v>
      </c>
      <c r="D1" s="1522">
        <f>SUM(D29:D30,D33:D39)</f>
        <v>0</v>
      </c>
      <c r="E1" s="1407" t="s">
        <v>2429</v>
      </c>
      <c r="F1" s="2477"/>
      <c r="G1" s="1402"/>
      <c r="H1" s="1402"/>
      <c r="I1" s="1402"/>
      <c r="J1" s="1402"/>
      <c r="K1" s="1402"/>
      <c r="L1" s="1883" t="s">
        <v>2240</v>
      </c>
      <c r="M1" s="1884">
        <f>SUMPRODUCT((区片价!B5:B9=I2)*(区片价!C3:F3=E2)*(区片价!C5:F9))</f>
        <v>0</v>
      </c>
      <c r="N1" s="1885">
        <f>SUMPRODUCT((因素修正幅度!B5:B9=I2)*(因素修正幅度!C3:F3=E2)*(因素修正幅度!C5:F9))</f>
        <v>0</v>
      </c>
      <c r="O1" s="2190"/>
      <c r="P1" s="2190"/>
      <c r="Q1" s="2190"/>
      <c r="R1" s="2963" t="s">
        <v>2768</v>
      </c>
      <c r="S1" s="2963" t="s">
        <v>2769</v>
      </c>
      <c r="T1" s="2963" t="s">
        <v>2790</v>
      </c>
      <c r="U1" s="2963" t="s">
        <v>2791</v>
      </c>
      <c r="V1" s="2963" t="s">
        <v>2792</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2241</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2939</v>
      </c>
      <c r="G3" s="1039">
        <f>IF(F3="宗地容积率",'数据-汇总表'!I4,IF(F3="估价对象容积率",'数据-汇总表'!I6,'数据-汇总表'!I7))</f>
        <v>2.2000000000000002</v>
      </c>
      <c r="H3" s="1415" t="s">
        <v>930</v>
      </c>
      <c r="I3" s="1040">
        <v>8</v>
      </c>
      <c r="J3" s="1411" t="s">
        <v>931</v>
      </c>
      <c r="K3" s="1402"/>
      <c r="L3" s="1886" t="s">
        <v>2242</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2"/>
      <c r="L4" s="1886" t="s">
        <v>2243</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6" t="s">
        <v>2244</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2245</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0"/>
      <c r="AE6" s="1420"/>
      <c r="AF6" s="1420"/>
      <c r="AG6" s="1420"/>
      <c r="AH6" s="1420"/>
      <c r="AI6" s="1420"/>
      <c r="AJ6" s="1421"/>
    </row>
    <row r="7" spans="1:39" ht="24">
      <c r="A7" s="3416" t="str">
        <f>IF(E2="商业",IF(C8="不临58条商业街","",2),"")</f>
        <v/>
      </c>
      <c r="B7" s="1428" t="s">
        <v>933</v>
      </c>
      <c r="C7" s="1043" t="e">
        <f>IF(C8="不临58条商业街",1,ROUND(1+(1.6*E8+1.2*E9+0.8*E10+0.4*E11)*C9,4))</f>
        <v>#DIV/0!</v>
      </c>
      <c r="D7" s="1429" t="s">
        <v>934</v>
      </c>
      <c r="E7" s="1044"/>
      <c r="F7" s="1430"/>
      <c r="G7" s="1431"/>
      <c r="H7" s="1431"/>
      <c r="I7" s="1431"/>
      <c r="J7" s="1432"/>
      <c r="K7" s="1596"/>
      <c r="L7" s="1886" t="s">
        <v>2246</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2771</v>
      </c>
      <c r="X7" s="2954">
        <f>G2</f>
        <v>0</v>
      </c>
      <c r="Y7" s="2954" t="s">
        <v>2772</v>
      </c>
      <c r="Z7" s="2955">
        <f>G3</f>
        <v>2.2000000000000002</v>
      </c>
      <c r="AA7" s="2193"/>
      <c r="AB7" s="2193"/>
      <c r="AC7" s="2194"/>
      <c r="AD7" s="2956"/>
      <c r="AE7" s="2956"/>
      <c r="AF7" s="2956"/>
      <c r="AG7" s="2956"/>
      <c r="AH7" s="2956"/>
      <c r="AI7" s="2956"/>
      <c r="AJ7" s="2957"/>
    </row>
    <row r="8" spans="1:39" ht="15">
      <c r="A8" s="3417"/>
      <c r="B8" s="1415" t="s">
        <v>935</v>
      </c>
      <c r="C8" s="1530"/>
      <c r="D8" s="1045" t="s">
        <v>936</v>
      </c>
      <c r="E8" s="1046" t="e">
        <f>ROUND(C11/E7,4)</f>
        <v>#DIV/0!</v>
      </c>
      <c r="F8" s="1433" t="s">
        <v>937</v>
      </c>
      <c r="G8" s="1434"/>
      <c r="H8" s="1434"/>
      <c r="I8" s="1434"/>
      <c r="J8" s="1435"/>
      <c r="K8" s="1402"/>
      <c r="L8" s="1886" t="s">
        <v>2247</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08" t="s">
        <v>2789</v>
      </c>
      <c r="X8" s="3409"/>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417"/>
      <c r="B9" s="1415" t="s">
        <v>938</v>
      </c>
      <c r="C9" s="1047">
        <f>SUMIF(修正!C59:C119,C8,修正!E59:E119)</f>
        <v>0</v>
      </c>
      <c r="D9" s="1048" t="s">
        <v>939</v>
      </c>
      <c r="E9" s="1048" t="e">
        <f>ROUND(C11/E7,4)</f>
        <v>#DIV/0!</v>
      </c>
      <c r="F9" s="1433" t="s">
        <v>940</v>
      </c>
      <c r="G9" s="1434"/>
      <c r="H9" s="1434"/>
      <c r="I9" s="1434"/>
      <c r="J9" s="1435"/>
      <c r="K9" s="1402"/>
      <c r="L9" s="1886" t="s">
        <v>2248</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07" t="s">
        <v>2785</v>
      </c>
      <c r="X9" s="2958" t="s">
        <v>2786</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17"/>
      <c r="B10" s="1415" t="s">
        <v>941</v>
      </c>
      <c r="C10" s="1048">
        <f>SUMIF(修正!C59:C119,C8,修正!F59:F119)</f>
        <v>0</v>
      </c>
      <c r="D10" s="1048" t="s">
        <v>942</v>
      </c>
      <c r="E10" s="1048" t="e">
        <f>ROUND(C11/E7,4)</f>
        <v>#DIV/0!</v>
      </c>
      <c r="F10" s="1433" t="s">
        <v>943</v>
      </c>
      <c r="G10" s="1434"/>
      <c r="H10" s="1434"/>
      <c r="I10" s="1434"/>
      <c r="J10" s="1435"/>
      <c r="K10" s="1402"/>
      <c r="L10" s="1886" t="s">
        <v>2249</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07"/>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17"/>
      <c r="B11" s="1436" t="s">
        <v>944</v>
      </c>
      <c r="C11" s="1049">
        <f>C10/4</f>
        <v>0</v>
      </c>
      <c r="D11" s="1049" t="s">
        <v>945</v>
      </c>
      <c r="E11" s="1049" t="e">
        <f>ROUND(C11/E7,4)</f>
        <v>#DIV/0!</v>
      </c>
      <c r="F11" s="1437" t="s">
        <v>946</v>
      </c>
      <c r="G11" s="1438"/>
      <c r="H11" s="1438"/>
      <c r="I11" s="1438"/>
      <c r="J11" s="1439"/>
      <c r="K11" s="1402"/>
      <c r="L11" s="1886" t="s">
        <v>2250</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07" t="s">
        <v>2787</v>
      </c>
      <c r="X11" s="1048" t="s">
        <v>2772</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16" t="s">
        <v>1873</v>
      </c>
      <c r="B12" s="1440" t="s">
        <v>947</v>
      </c>
      <c r="C12" s="1043">
        <f>ROUND(C15*D15*E15*F15*G15*H15*I15*J15,4)</f>
        <v>1</v>
      </c>
      <c r="D12" s="1441" t="s">
        <v>948</v>
      </c>
      <c r="E12" s="1442"/>
      <c r="F12" s="1442"/>
      <c r="G12" s="1443"/>
      <c r="H12" s="1443"/>
      <c r="I12" s="1443"/>
      <c r="J12" s="1444"/>
      <c r="K12" s="1402"/>
      <c r="L12" s="1889" t="s">
        <v>2251</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07"/>
      <c r="X12" s="2961" t="s">
        <v>2788</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18"/>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4">
        <v>12</v>
      </c>
      <c r="S13" s="2953"/>
      <c r="T13" s="2964" t="e">
        <f t="shared" si="0"/>
        <v>#DIV/0!</v>
      </c>
      <c r="U13" s="2953"/>
      <c r="V13" s="2964" t="e">
        <f t="shared" si="1"/>
        <v>#DIV/0!</v>
      </c>
      <c r="W13" s="3407"/>
      <c r="X13" s="2961"/>
      <c r="Y13" s="2960">
        <f>(-0.163*(Y12^2)-0.59*Y12+7617)*(10^(-4))/Y11</f>
        <v>0.34622727272727272</v>
      </c>
      <c r="Z13" s="2960">
        <f t="shared" ref="Z13:AJ13" si="5">(-0.163*(Z12^2)-0.59*Z12+7617)*(10^(-4))/Z11</f>
        <v>0.34622727272727272</v>
      </c>
      <c r="AA13" s="2960">
        <f t="shared" si="5"/>
        <v>0.34622727272727272</v>
      </c>
      <c r="AB13" s="2960">
        <f t="shared" si="5"/>
        <v>0.34622727272727272</v>
      </c>
      <c r="AC13" s="2960">
        <f t="shared" si="5"/>
        <v>0.34622727272727272</v>
      </c>
      <c r="AD13" s="2960">
        <f t="shared" si="5"/>
        <v>0.34622727272727272</v>
      </c>
      <c r="AE13" s="2960">
        <f t="shared" si="5"/>
        <v>0.34622727272727272</v>
      </c>
      <c r="AF13" s="2960">
        <f t="shared" si="5"/>
        <v>0.34622727272727272</v>
      </c>
      <c r="AG13" s="2960">
        <f t="shared" si="5"/>
        <v>0.34622727272727272</v>
      </c>
      <c r="AH13" s="2960">
        <f t="shared" si="5"/>
        <v>0.34622727272727272</v>
      </c>
      <c r="AI13" s="2960">
        <f t="shared" si="5"/>
        <v>0.34622727272727272</v>
      </c>
      <c r="AJ13" s="2960">
        <f t="shared" si="5"/>
        <v>0.34622727272727272</v>
      </c>
    </row>
    <row r="14" spans="1:39" ht="12.75" customHeight="1" thickBot="1">
      <c r="A14" s="3418"/>
      <c r="B14" s="1452"/>
      <c r="C14" s="1453"/>
      <c r="D14" s="1454"/>
      <c r="E14" s="1454"/>
      <c r="F14" s="1455"/>
      <c r="G14" s="1456" t="s">
        <v>950</v>
      </c>
      <c r="H14" s="1457"/>
      <c r="I14" s="1458"/>
      <c r="J14" s="1459"/>
      <c r="K14" s="1402"/>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1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4">
        <v>14</v>
      </c>
      <c r="S15" s="2953"/>
      <c r="T15" s="2964" t="e">
        <f t="shared" si="0"/>
        <v>#DIV/0!</v>
      </c>
      <c r="U15" s="2953"/>
      <c r="V15" s="2964" t="e">
        <f t="shared" si="1"/>
        <v>#DIV/0!</v>
      </c>
      <c r="W15" s="2190"/>
      <c r="X15" s="2190"/>
      <c r="Y15" s="2190"/>
      <c r="Z15" s="2190"/>
      <c r="AA15" s="2190"/>
      <c r="AB15" s="2190"/>
      <c r="AC15" s="2191"/>
    </row>
    <row r="16" spans="1:39" ht="24">
      <c r="A16" s="341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1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43061</v>
      </c>
      <c r="H19" s="1476" t="s">
        <v>2940</v>
      </c>
      <c r="I19" s="2811" t="str">
        <f>IF(H19="季度增幅（自定义）",SUMIF(N21:N24,E2,O21:O24),"")</f>
        <v/>
      </c>
      <c r="J19" s="1472"/>
      <c r="K19" s="1482"/>
      <c r="L19" s="3067" t="s">
        <v>2847</v>
      </c>
      <c r="M19" s="3068">
        <f>ROUND(SUMIF(地价!B2:F2,E2,地价!B20:F20),0)</f>
        <v>0</v>
      </c>
      <c r="N19" s="2813" t="s">
        <v>1678</v>
      </c>
      <c r="O19" s="2812">
        <f>ROUNDDOWN(DATEDIF(E19,G19,"M")/3,0)</f>
        <v>15</v>
      </c>
      <c r="P19" s="1597"/>
      <c r="R19" s="2952"/>
      <c r="S19" s="2952"/>
      <c r="T19" s="2952"/>
      <c r="U19" s="2952"/>
      <c r="V19" s="295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2848</v>
      </c>
      <c r="M20" s="3070">
        <f>ROUND(SUMPRODUCT((地价!A5:A20=YEAR(G19)&amp;"-"&amp;ROUNDUP(MONTH(G19)/3,0))*(地价!B2:F2=E2)*(地价!B5:F20)),0)</f>
        <v>0</v>
      </c>
      <c r="N20" s="2816" t="s">
        <v>2651</v>
      </c>
      <c r="O20" s="2814" t="s">
        <v>2650</v>
      </c>
      <c r="P20" s="2815" t="s">
        <v>2656</v>
      </c>
      <c r="R20" s="2952"/>
      <c r="S20" s="2952"/>
      <c r="T20" s="2952"/>
      <c r="U20" s="2952"/>
      <c r="V20" s="2952"/>
      <c r="W20" s="2196"/>
      <c r="X20" s="2196"/>
      <c r="Y20" s="2196"/>
      <c r="Z20" s="2196"/>
      <c r="AA20" s="2196"/>
      <c r="AB20" s="2196"/>
      <c r="AC20" s="2196"/>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2"/>
      <c r="S24" s="2952"/>
      <c r="T24" s="2952"/>
      <c r="U24" s="2952"/>
      <c r="V24" s="2952"/>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4" t="s">
        <v>2654</v>
      </c>
      <c r="O25" s="2196"/>
      <c r="P25" s="1542">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2"/>
      <c r="S26" s="2952"/>
      <c r="T26" s="2952"/>
      <c r="U26" s="2952"/>
      <c r="V26" s="2952"/>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2"/>
      <c r="S27" s="2952"/>
      <c r="T27" s="2952"/>
      <c r="U27" s="2952"/>
      <c r="V27" s="2952"/>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2"/>
      <c r="S28" s="2952"/>
      <c r="T28" s="2952"/>
      <c r="U28" s="2952"/>
      <c r="V28" s="2952"/>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2"/>
      <c r="S29" s="2952"/>
      <c r="T29" s="2952"/>
      <c r="U29" s="2952"/>
      <c r="V29" s="2952"/>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2" t="s">
        <v>2967</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2252</v>
      </c>
      <c r="G46" s="2456" t="s">
        <v>1016</v>
      </c>
      <c r="H46" s="2439" t="s">
        <v>2420</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5" t="s">
        <v>2942</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4" t="s">
        <v>2941</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2253</v>
      </c>
      <c r="G57" s="2456" t="s">
        <v>1016</v>
      </c>
      <c r="H57" s="2439" t="s">
        <v>2420</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5" t="s">
        <v>2943</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4" t="s">
        <v>2941</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2254</v>
      </c>
      <c r="G68" s="2456" t="s">
        <v>1016</v>
      </c>
      <c r="H68" s="2439" t="s">
        <v>2420</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4" t="s">
        <v>2941</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2255</v>
      </c>
      <c r="G79" s="2456" t="s">
        <v>1016</v>
      </c>
      <c r="H79" s="2439" t="s">
        <v>2420</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4" t="s">
        <v>2941</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20" t="s">
        <v>1635</v>
      </c>
      <c r="B90" s="3420"/>
      <c r="C90" s="3420"/>
      <c r="D90" s="3420"/>
      <c r="E90" s="3420"/>
      <c r="F90" s="3420"/>
      <c r="G90" s="3420"/>
      <c r="H90" s="3420"/>
      <c r="I90" s="3420"/>
      <c r="J90" s="3420"/>
      <c r="K90" s="2475"/>
      <c r="L90" s="2475"/>
      <c r="M90" s="2475"/>
      <c r="N90" s="2475"/>
    </row>
    <row r="91" spans="1:40">
      <c r="A91" s="3421" t="s">
        <v>1445</v>
      </c>
      <c r="B91" s="3421" t="s">
        <v>1636</v>
      </c>
      <c r="C91" s="1140" t="s">
        <v>1637</v>
      </c>
      <c r="D91" s="1141"/>
      <c r="E91" s="1141"/>
      <c r="F91" s="1141"/>
      <c r="G91" s="1141"/>
      <c r="H91" s="1141"/>
      <c r="I91" s="1141"/>
      <c r="J91" s="1142"/>
      <c r="K91" s="1134"/>
      <c r="L91" s="1134"/>
      <c r="M91" s="1134"/>
      <c r="N91" s="1134"/>
    </row>
    <row r="92" spans="1:40">
      <c r="A92" s="3421"/>
      <c r="B92" s="342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10"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0" t="s">
        <v>1639</v>
      </c>
      <c r="B101" s="1147" t="s">
        <v>907</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11"/>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11"/>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11"/>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11"/>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11"/>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11"/>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11"/>
      <c r="B108" s="341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2"/>
      <c r="B109" s="3414"/>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15" t="s">
        <v>1641</v>
      </c>
      <c r="B110" s="3415"/>
      <c r="C110" s="3415"/>
      <c r="D110" s="3415"/>
      <c r="E110" s="3415"/>
      <c r="F110" s="3415"/>
      <c r="G110" s="3415"/>
      <c r="H110" s="3415"/>
      <c r="I110" s="3415"/>
      <c r="J110" s="3415"/>
      <c r="K110" s="2473"/>
      <c r="L110" s="2473"/>
      <c r="M110" s="2473"/>
      <c r="N110" s="2473"/>
    </row>
    <row r="112" spans="1:14" ht="12.75" thickBot="1"/>
    <row r="113" spans="1:13" ht="25.5" thickBot="1">
      <c r="A113" s="1016" t="s">
        <v>897</v>
      </c>
      <c r="B113" s="2476">
        <f>G3</f>
        <v>2.2000000000000002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902</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903</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904</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1" t="s">
        <v>1009</v>
      </c>
      <c r="B18" s="1154" t="s">
        <v>1448</v>
      </c>
      <c r="C18" s="1131" t="s">
        <v>1449</v>
      </c>
      <c r="D18" s="1132"/>
      <c r="E18" s="1154">
        <v>1</v>
      </c>
      <c r="F18" s="1133" t="s">
        <v>1450</v>
      </c>
      <c r="G18" s="1134"/>
      <c r="H18" s="1105"/>
      <c r="I18" s="1105"/>
    </row>
    <row r="19" spans="1:9" s="1600" customFormat="1" ht="19.5" customHeight="1">
      <c r="A19" s="3421"/>
      <c r="B19" s="3421" t="s">
        <v>1451</v>
      </c>
      <c r="C19" s="1131" t="s">
        <v>1452</v>
      </c>
      <c r="D19" s="1132"/>
      <c r="E19" s="1154">
        <v>0.9</v>
      </c>
      <c r="F19" s="1133" t="s">
        <v>1453</v>
      </c>
      <c r="G19" s="1134"/>
      <c r="H19" s="1105"/>
      <c r="I19" s="1105"/>
    </row>
    <row r="20" spans="1:9" s="1600" customFormat="1" ht="19.5" customHeight="1">
      <c r="A20" s="3421"/>
      <c r="B20" s="3421"/>
      <c r="C20" s="1131" t="s">
        <v>1454</v>
      </c>
      <c r="D20" s="1132"/>
      <c r="E20" s="1154">
        <v>1.1000000000000001</v>
      </c>
      <c r="F20" s="1133" t="s">
        <v>1455</v>
      </c>
      <c r="G20" s="1134"/>
      <c r="H20" s="1105"/>
      <c r="I20" s="1105"/>
    </row>
    <row r="21" spans="1:9" s="1600" customFormat="1" ht="19.5" customHeight="1">
      <c r="A21" s="3421"/>
      <c r="B21" s="3421"/>
      <c r="C21" s="1131" t="s">
        <v>1456</v>
      </c>
      <c r="D21" s="1132"/>
      <c r="E21" s="1154">
        <v>0.8</v>
      </c>
      <c r="F21" s="1133" t="s">
        <v>1457</v>
      </c>
      <c r="G21" s="1134"/>
      <c r="H21" s="1105"/>
      <c r="I21" s="1105"/>
    </row>
    <row r="22" spans="1:9" s="1600" customFormat="1" ht="19.5" customHeight="1">
      <c r="A22" s="3421"/>
      <c r="B22" s="3421"/>
      <c r="C22" s="1131" t="s">
        <v>1458</v>
      </c>
      <c r="D22" s="1132"/>
      <c r="E22" s="1154">
        <v>0.5</v>
      </c>
      <c r="F22" s="1133"/>
      <c r="G22" s="1134"/>
      <c r="H22" s="1105"/>
      <c r="I22" s="1105"/>
    </row>
    <row r="23" spans="1:9" s="1600" customFormat="1" ht="19.5" customHeight="1">
      <c r="A23" s="3421" t="s">
        <v>1031</v>
      </c>
      <c r="B23" s="1154" t="s">
        <v>1448</v>
      </c>
      <c r="C23" s="1131" t="s">
        <v>1459</v>
      </c>
      <c r="D23" s="1132"/>
      <c r="E23" s="1154">
        <v>1</v>
      </c>
      <c r="F23" s="1133" t="s">
        <v>1460</v>
      </c>
      <c r="G23" s="1134"/>
      <c r="H23" s="1105"/>
      <c r="I23" s="1105"/>
    </row>
    <row r="24" spans="1:9" s="1600" customFormat="1" ht="19.5" customHeight="1">
      <c r="A24" s="3421"/>
      <c r="B24" s="3421" t="s">
        <v>1451</v>
      </c>
      <c r="C24" s="1131" t="s">
        <v>1461</v>
      </c>
      <c r="D24" s="1132"/>
      <c r="E24" s="1154">
        <v>0.5</v>
      </c>
      <c r="F24" s="1133"/>
      <c r="G24" s="1134"/>
      <c r="H24" s="1105"/>
      <c r="I24" s="1105"/>
    </row>
    <row r="25" spans="1:9" s="1600" customFormat="1" ht="19.5" customHeight="1">
      <c r="A25" s="3421"/>
      <c r="B25" s="3421"/>
      <c r="C25" s="1131" t="s">
        <v>1462</v>
      </c>
      <c r="D25" s="1132"/>
      <c r="E25" s="1154">
        <v>1.1000000000000001</v>
      </c>
      <c r="F25" s="1133"/>
      <c r="G25" s="1134"/>
      <c r="H25" s="1105"/>
      <c r="I25" s="1105"/>
    </row>
    <row r="26" spans="1:9" s="1600" customFormat="1" ht="19.5" customHeight="1">
      <c r="A26" s="3421"/>
      <c r="B26" s="3421"/>
      <c r="C26" s="1131" t="s">
        <v>1463</v>
      </c>
      <c r="D26" s="1132"/>
      <c r="E26" s="1154">
        <v>1.1000000000000001</v>
      </c>
      <c r="F26" s="1133"/>
      <c r="G26" s="1134"/>
      <c r="H26" s="1105"/>
      <c r="I26" s="1105"/>
    </row>
    <row r="27" spans="1:9" s="1600" customFormat="1" ht="19.5" customHeight="1">
      <c r="A27" s="3421"/>
      <c r="B27" s="3421"/>
      <c r="C27" s="1131" t="s">
        <v>1464</v>
      </c>
      <c r="D27" s="1132"/>
      <c r="E27" s="1154">
        <v>0.9</v>
      </c>
      <c r="F27" s="1133" t="s">
        <v>1465</v>
      </c>
      <c r="G27" s="1134"/>
      <c r="H27" s="1105"/>
      <c r="I27" s="1105"/>
    </row>
    <row r="28" spans="1:9" s="1600" customFormat="1" ht="19.5" customHeight="1">
      <c r="A28" s="3421"/>
      <c r="B28" s="3421"/>
      <c r="C28" s="1131" t="s">
        <v>1466</v>
      </c>
      <c r="D28" s="1132"/>
      <c r="E28" s="1154">
        <v>0.9</v>
      </c>
      <c r="F28" s="1133" t="s">
        <v>1467</v>
      </c>
      <c r="G28" s="1134"/>
      <c r="H28" s="1105"/>
      <c r="I28" s="1105"/>
    </row>
    <row r="29" spans="1:9" s="1600" customFormat="1" ht="19.5" customHeight="1">
      <c r="A29" s="3421"/>
      <c r="B29" s="3421"/>
      <c r="C29" s="1131" t="s">
        <v>1468</v>
      </c>
      <c r="D29" s="1132"/>
      <c r="E29" s="1154">
        <v>0.9</v>
      </c>
      <c r="F29" s="1133" t="s">
        <v>1469</v>
      </c>
      <c r="G29" s="1134"/>
      <c r="H29" s="1105"/>
      <c r="I29" s="1105"/>
    </row>
    <row r="30" spans="1:9" s="1600" customFormat="1" ht="19.5" customHeight="1">
      <c r="A30" s="3421"/>
      <c r="B30" s="3421"/>
      <c r="C30" s="1131" t="s">
        <v>1470</v>
      </c>
      <c r="D30" s="1132"/>
      <c r="E30" s="1154">
        <v>0.9</v>
      </c>
      <c r="F30" s="1133" t="s">
        <v>1471</v>
      </c>
      <c r="G30" s="1134"/>
      <c r="H30" s="1105"/>
      <c r="I30" s="1105"/>
    </row>
    <row r="31" spans="1:9" s="1600" customFormat="1" ht="19.5" customHeight="1">
      <c r="A31" s="3421"/>
      <c r="B31" s="3421"/>
      <c r="C31" s="1131" t="s">
        <v>1472</v>
      </c>
      <c r="D31" s="1132"/>
      <c r="E31" s="1154">
        <v>0.8</v>
      </c>
      <c r="F31" s="1133" t="s">
        <v>1473</v>
      </c>
      <c r="G31" s="1134"/>
      <c r="H31" s="1105"/>
      <c r="I31" s="1105"/>
    </row>
    <row r="32" spans="1:9" s="1600" customFormat="1" ht="19.5" customHeight="1">
      <c r="A32" s="3421"/>
      <c r="B32" s="3421"/>
      <c r="C32" s="1131" t="s">
        <v>1474</v>
      </c>
      <c r="D32" s="1132"/>
      <c r="E32" s="1154">
        <v>0.8</v>
      </c>
      <c r="F32" s="1133" t="s">
        <v>1475</v>
      </c>
      <c r="G32" s="1134"/>
      <c r="H32" s="1105"/>
      <c r="I32" s="1105"/>
    </row>
    <row r="33" spans="1:9" s="1600" customFormat="1" ht="19.5" customHeight="1">
      <c r="A33" s="3421" t="s">
        <v>1476</v>
      </c>
      <c r="B33" s="1154" t="s">
        <v>1448</v>
      </c>
      <c r="C33" s="1131" t="s">
        <v>1477</v>
      </c>
      <c r="D33" s="1132"/>
      <c r="E33" s="1154">
        <v>1</v>
      </c>
      <c r="F33" s="1133" t="s">
        <v>1478</v>
      </c>
      <c r="G33" s="1134"/>
      <c r="H33" s="1105"/>
      <c r="I33" s="1105"/>
    </row>
    <row r="34" spans="1:9" s="1600" customFormat="1" ht="19.5" customHeight="1">
      <c r="A34" s="3421"/>
      <c r="B34" s="1154" t="s">
        <v>1451</v>
      </c>
      <c r="C34" s="1131" t="s">
        <v>1479</v>
      </c>
      <c r="D34" s="1132"/>
      <c r="E34" s="1154">
        <v>1.5</v>
      </c>
      <c r="F34" s="1133" t="s">
        <v>1480</v>
      </c>
      <c r="G34" s="1134"/>
      <c r="H34" s="1105"/>
      <c r="I34" s="1105"/>
    </row>
    <row r="35" spans="1:9" s="1600" customFormat="1" ht="19.5" customHeight="1">
      <c r="A35" s="3421" t="s">
        <v>1434</v>
      </c>
      <c r="B35" s="1154" t="s">
        <v>1448</v>
      </c>
      <c r="C35" s="1131" t="s">
        <v>1481</v>
      </c>
      <c r="D35" s="1132"/>
      <c r="E35" s="1154">
        <v>1</v>
      </c>
      <c r="F35" s="1133" t="s">
        <v>1482</v>
      </c>
      <c r="G35" s="1134"/>
      <c r="H35" s="1105"/>
      <c r="I35" s="1105"/>
    </row>
    <row r="36" spans="1:9" s="1600" customFormat="1" ht="19.5" customHeight="1">
      <c r="A36" s="3421"/>
      <c r="B36" s="3421" t="s">
        <v>1451</v>
      </c>
      <c r="C36" s="1131" t="s">
        <v>1483</v>
      </c>
      <c r="D36" s="1132"/>
      <c r="E36" s="1154">
        <v>1</v>
      </c>
      <c r="F36" s="1133" t="s">
        <v>1484</v>
      </c>
      <c r="G36" s="1134"/>
      <c r="H36" s="1105"/>
      <c r="I36" s="1105"/>
    </row>
    <row r="37" spans="1:9" s="1600" customFormat="1" ht="19.5" customHeight="1">
      <c r="A37" s="3421"/>
      <c r="B37" s="3421"/>
      <c r="C37" s="1131" t="s">
        <v>1485</v>
      </c>
      <c r="D37" s="1132"/>
      <c r="E37" s="1154">
        <v>1.5</v>
      </c>
      <c r="F37" s="1133" t="s">
        <v>1486</v>
      </c>
      <c r="G37" s="1134"/>
      <c r="H37" s="1105"/>
      <c r="I37" s="1105"/>
    </row>
    <row r="38" spans="1:9" s="1600" customFormat="1" ht="19.5" customHeight="1">
      <c r="A38" s="3421"/>
      <c r="B38" s="3421"/>
      <c r="C38" s="1131" t="s">
        <v>1487</v>
      </c>
      <c r="D38" s="1132"/>
      <c r="E38" s="1154">
        <v>1</v>
      </c>
      <c r="F38" s="1133" t="s">
        <v>1488</v>
      </c>
      <c r="G38" s="1134"/>
      <c r="H38" s="1105"/>
      <c r="I38" s="1105"/>
    </row>
    <row r="39" spans="1:9" s="1600" customFormat="1" ht="19.5" customHeight="1">
      <c r="A39" s="3421"/>
      <c r="B39" s="342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1" t="s">
        <v>1503</v>
      </c>
      <c r="C61" s="1068" t="s">
        <v>1504</v>
      </c>
      <c r="D61" s="1068" t="s">
        <v>1505</v>
      </c>
      <c r="E61" s="1139">
        <v>0.5</v>
      </c>
      <c r="F61" s="1154">
        <v>80</v>
      </c>
      <c r="H61" s="1105">
        <f>SUMIF(C59:C119,基准地价!C8,E59:E119)</f>
        <v>0</v>
      </c>
    </row>
    <row r="62" spans="1:8" s="1105" customFormat="1" ht="24">
      <c r="A62" s="1154">
        <v>2</v>
      </c>
      <c r="B62" s="3421"/>
      <c r="C62" s="1068" t="s">
        <v>1506</v>
      </c>
      <c r="D62" s="1068" t="s">
        <v>1507</v>
      </c>
      <c r="E62" s="1139">
        <v>0.5</v>
      </c>
      <c r="F62" s="1154">
        <v>80</v>
      </c>
    </row>
    <row r="63" spans="1:8" s="1105" customFormat="1" ht="36">
      <c r="A63" s="1154">
        <v>3</v>
      </c>
      <c r="B63" s="3421"/>
      <c r="C63" s="1068" t="s">
        <v>1508</v>
      </c>
      <c r="D63" s="1068" t="s">
        <v>1509</v>
      </c>
      <c r="E63" s="1139">
        <v>0.5</v>
      </c>
      <c r="F63" s="1154">
        <v>80</v>
      </c>
    </row>
    <row r="64" spans="1:8" s="1105" customFormat="1" ht="36">
      <c r="A64" s="1154">
        <v>4</v>
      </c>
      <c r="B64" s="3421"/>
      <c r="C64" s="1068" t="s">
        <v>1510</v>
      </c>
      <c r="D64" s="1068" t="s">
        <v>1511</v>
      </c>
      <c r="E64" s="1139">
        <v>0.4</v>
      </c>
      <c r="F64" s="1154">
        <v>60</v>
      </c>
    </row>
    <row r="65" spans="1:6" s="1105" customFormat="1" ht="36">
      <c r="A65" s="1154">
        <v>5</v>
      </c>
      <c r="B65" s="3421"/>
      <c r="C65" s="1068" t="s">
        <v>1512</v>
      </c>
      <c r="D65" s="1068" t="s">
        <v>1513</v>
      </c>
      <c r="E65" s="1139">
        <v>0.2</v>
      </c>
      <c r="F65" s="1154">
        <v>30</v>
      </c>
    </row>
    <row r="66" spans="1:6" s="1105" customFormat="1" ht="36">
      <c r="A66" s="1154">
        <v>6</v>
      </c>
      <c r="B66" s="3421"/>
      <c r="C66" s="1068" t="s">
        <v>1514</v>
      </c>
      <c r="D66" s="1068" t="s">
        <v>1515</v>
      </c>
      <c r="E66" s="1139">
        <v>0.3</v>
      </c>
      <c r="F66" s="1154">
        <v>50</v>
      </c>
    </row>
    <row r="67" spans="1:6" s="1105" customFormat="1" ht="36">
      <c r="A67" s="1154">
        <v>7</v>
      </c>
      <c r="B67" s="3421"/>
      <c r="C67" s="1068" t="s">
        <v>1516</v>
      </c>
      <c r="D67" s="1068" t="s">
        <v>1517</v>
      </c>
      <c r="E67" s="1139">
        <v>0.2</v>
      </c>
      <c r="F67" s="1154">
        <v>30</v>
      </c>
    </row>
    <row r="68" spans="1:6" s="1105" customFormat="1" ht="36">
      <c r="A68" s="1154">
        <v>8</v>
      </c>
      <c r="B68" s="3421"/>
      <c r="C68" s="1068" t="s">
        <v>1518</v>
      </c>
      <c r="D68" s="1068" t="s">
        <v>1519</v>
      </c>
      <c r="E68" s="1139">
        <v>0.2</v>
      </c>
      <c r="F68" s="1154">
        <v>30</v>
      </c>
    </row>
    <row r="69" spans="1:6" s="1105" customFormat="1" ht="36">
      <c r="A69" s="1154">
        <v>9</v>
      </c>
      <c r="B69" s="3421"/>
      <c r="C69" s="1068" t="s">
        <v>1520</v>
      </c>
      <c r="D69" s="1068" t="s">
        <v>1521</v>
      </c>
      <c r="E69" s="1139">
        <v>0.2</v>
      </c>
      <c r="F69" s="1154">
        <v>30</v>
      </c>
    </row>
    <row r="70" spans="1:6" s="1105" customFormat="1" ht="48">
      <c r="A70" s="1154">
        <v>10</v>
      </c>
      <c r="B70" s="3421"/>
      <c r="C70" s="1068" t="s">
        <v>1522</v>
      </c>
      <c r="D70" s="1068" t="s">
        <v>1523</v>
      </c>
      <c r="E70" s="1139">
        <v>0.2</v>
      </c>
      <c r="F70" s="1154">
        <v>30</v>
      </c>
    </row>
    <row r="71" spans="1:6" s="1105" customFormat="1" ht="48">
      <c r="A71" s="1154">
        <v>11</v>
      </c>
      <c r="B71" s="3421"/>
      <c r="C71" s="1068" t="s">
        <v>1524</v>
      </c>
      <c r="D71" s="1068" t="s">
        <v>1525</v>
      </c>
      <c r="E71" s="1139">
        <v>0.2</v>
      </c>
      <c r="F71" s="1154">
        <v>30</v>
      </c>
    </row>
    <row r="72" spans="1:6" s="1105" customFormat="1" ht="36">
      <c r="A72" s="1154">
        <v>12</v>
      </c>
      <c r="B72" s="3421"/>
      <c r="C72" s="1068" t="s">
        <v>1526</v>
      </c>
      <c r="D72" s="1068" t="s">
        <v>1527</v>
      </c>
      <c r="E72" s="1139">
        <v>0.5</v>
      </c>
      <c r="F72" s="1154">
        <v>80</v>
      </c>
    </row>
    <row r="73" spans="1:6" s="1105" customFormat="1" ht="24">
      <c r="A73" s="1154">
        <v>13</v>
      </c>
      <c r="B73" s="3421"/>
      <c r="C73" s="1068" t="s">
        <v>1528</v>
      </c>
      <c r="D73" s="1068" t="s">
        <v>1529</v>
      </c>
      <c r="E73" s="1139">
        <v>0.4</v>
      </c>
      <c r="F73" s="1154">
        <v>60</v>
      </c>
    </row>
    <row r="74" spans="1:6" s="1105" customFormat="1" ht="24">
      <c r="A74" s="1154">
        <v>14</v>
      </c>
      <c r="B74" s="3421"/>
      <c r="C74" s="1068" t="s">
        <v>1530</v>
      </c>
      <c r="D74" s="1068" t="s">
        <v>1531</v>
      </c>
      <c r="E74" s="1139">
        <v>0.2</v>
      </c>
      <c r="F74" s="1154">
        <v>30</v>
      </c>
    </row>
    <row r="75" spans="1:6" s="1105" customFormat="1" ht="24">
      <c r="A75" s="1154">
        <v>15</v>
      </c>
      <c r="B75" s="3421"/>
      <c r="C75" s="1068" t="s">
        <v>1532</v>
      </c>
      <c r="D75" s="1068" t="s">
        <v>1533</v>
      </c>
      <c r="E75" s="1139">
        <v>0.2</v>
      </c>
      <c r="F75" s="1154">
        <v>30</v>
      </c>
    </row>
    <row r="76" spans="1:6" s="1105" customFormat="1" ht="24">
      <c r="A76" s="1154">
        <v>16</v>
      </c>
      <c r="B76" s="3421" t="s">
        <v>1534</v>
      </c>
      <c r="C76" s="1068" t="s">
        <v>1535</v>
      </c>
      <c r="D76" s="1068" t="s">
        <v>1536</v>
      </c>
      <c r="E76" s="1139">
        <v>0.5</v>
      </c>
      <c r="F76" s="1154">
        <v>80</v>
      </c>
    </row>
    <row r="77" spans="1:6" s="1105" customFormat="1" ht="24">
      <c r="A77" s="1154">
        <v>17</v>
      </c>
      <c r="B77" s="3421"/>
      <c r="C77" s="1068" t="s">
        <v>1537</v>
      </c>
      <c r="D77" s="1068" t="s">
        <v>1538</v>
      </c>
      <c r="E77" s="1139">
        <v>0.5</v>
      </c>
      <c r="F77" s="1154">
        <v>80</v>
      </c>
    </row>
    <row r="78" spans="1:6" s="1105" customFormat="1" ht="24">
      <c r="A78" s="1154">
        <v>18</v>
      </c>
      <c r="B78" s="3421"/>
      <c r="C78" s="1068" t="s">
        <v>1539</v>
      </c>
      <c r="D78" s="1068" t="s">
        <v>1540</v>
      </c>
      <c r="E78" s="1139">
        <v>0.2</v>
      </c>
      <c r="F78" s="1154">
        <v>30</v>
      </c>
    </row>
    <row r="79" spans="1:6" s="1105" customFormat="1" ht="24">
      <c r="A79" s="1154">
        <v>19</v>
      </c>
      <c r="B79" s="3421"/>
      <c r="C79" s="1068" t="s">
        <v>1541</v>
      </c>
      <c r="D79" s="1068" t="s">
        <v>1542</v>
      </c>
      <c r="E79" s="1139">
        <v>0.5</v>
      </c>
      <c r="F79" s="1154">
        <v>80</v>
      </c>
    </row>
    <row r="80" spans="1:6" s="1105" customFormat="1" ht="36">
      <c r="A80" s="1154">
        <v>20</v>
      </c>
      <c r="B80" s="3421"/>
      <c r="C80" s="1068" t="s">
        <v>1543</v>
      </c>
      <c r="D80" s="1068" t="s">
        <v>1544</v>
      </c>
      <c r="E80" s="1139">
        <v>0.2</v>
      </c>
      <c r="F80" s="1154">
        <v>30</v>
      </c>
    </row>
    <row r="81" spans="1:6" s="1105" customFormat="1" ht="36">
      <c r="A81" s="1154">
        <v>21</v>
      </c>
      <c r="B81" s="3421"/>
      <c r="C81" s="1068" t="s">
        <v>1545</v>
      </c>
      <c r="D81" s="1068" t="s">
        <v>1546</v>
      </c>
      <c r="E81" s="1139">
        <v>0.2</v>
      </c>
      <c r="F81" s="1154">
        <v>30</v>
      </c>
    </row>
    <row r="82" spans="1:6" s="1105" customFormat="1" ht="48">
      <c r="A82" s="1154">
        <v>22</v>
      </c>
      <c r="B82" s="3421"/>
      <c r="C82" s="1068" t="s">
        <v>1547</v>
      </c>
      <c r="D82" s="1068" t="s">
        <v>1548</v>
      </c>
      <c r="E82" s="1139">
        <v>0.2</v>
      </c>
      <c r="F82" s="1154">
        <v>30</v>
      </c>
    </row>
    <row r="83" spans="1:6" s="1105" customFormat="1" ht="48">
      <c r="A83" s="1154">
        <v>23</v>
      </c>
      <c r="B83" s="3421"/>
      <c r="C83" s="1068" t="s">
        <v>1549</v>
      </c>
      <c r="D83" s="1068" t="s">
        <v>1550</v>
      </c>
      <c r="E83" s="1139">
        <v>0.2</v>
      </c>
      <c r="F83" s="1154">
        <v>30</v>
      </c>
    </row>
    <row r="84" spans="1:6" s="1105" customFormat="1" ht="36">
      <c r="A84" s="1154">
        <v>24</v>
      </c>
      <c r="B84" s="3421"/>
      <c r="C84" s="1068" t="s">
        <v>1551</v>
      </c>
      <c r="D84" s="1068" t="s">
        <v>1552</v>
      </c>
      <c r="E84" s="1139">
        <v>0.2</v>
      </c>
      <c r="F84" s="1154">
        <v>30</v>
      </c>
    </row>
    <row r="85" spans="1:6" s="1105" customFormat="1" ht="36">
      <c r="A85" s="1154">
        <v>25</v>
      </c>
      <c r="B85" s="3421"/>
      <c r="C85" s="1068" t="s">
        <v>1553</v>
      </c>
      <c r="D85" s="1068" t="s">
        <v>1554</v>
      </c>
      <c r="E85" s="1139">
        <v>0.5</v>
      </c>
      <c r="F85" s="1154">
        <v>80</v>
      </c>
    </row>
    <row r="86" spans="1:6" s="1105" customFormat="1" ht="36">
      <c r="A86" s="1154">
        <v>26</v>
      </c>
      <c r="B86" s="3421"/>
      <c r="C86" s="1068" t="s">
        <v>1555</v>
      </c>
      <c r="D86" s="1068" t="s">
        <v>1556</v>
      </c>
      <c r="E86" s="1139">
        <v>0.2</v>
      </c>
      <c r="F86" s="1154">
        <v>30</v>
      </c>
    </row>
    <row r="87" spans="1:6" s="1105" customFormat="1" ht="36">
      <c r="A87" s="1154">
        <v>27</v>
      </c>
      <c r="B87" s="3421"/>
      <c r="C87" s="1068" t="s">
        <v>1557</v>
      </c>
      <c r="D87" s="1068" t="s">
        <v>1558</v>
      </c>
      <c r="E87" s="1139">
        <v>0.2</v>
      </c>
      <c r="F87" s="1154">
        <v>30</v>
      </c>
    </row>
    <row r="88" spans="1:6" s="1105" customFormat="1" ht="36">
      <c r="A88" s="1154">
        <v>28</v>
      </c>
      <c r="B88" s="3421"/>
      <c r="C88" s="1068" t="s">
        <v>1559</v>
      </c>
      <c r="D88" s="1068" t="s">
        <v>1560</v>
      </c>
      <c r="E88" s="1139">
        <v>0.2</v>
      </c>
      <c r="F88" s="1154">
        <v>30</v>
      </c>
    </row>
    <row r="89" spans="1:6" s="1105" customFormat="1" ht="24">
      <c r="A89" s="1154">
        <v>29</v>
      </c>
      <c r="B89" s="3421"/>
      <c r="C89" s="1068" t="s">
        <v>1561</v>
      </c>
      <c r="D89" s="1068" t="s">
        <v>1562</v>
      </c>
      <c r="E89" s="1139">
        <v>0.2</v>
      </c>
      <c r="F89" s="1154">
        <v>30</v>
      </c>
    </row>
    <row r="90" spans="1:6" s="1105" customFormat="1" ht="24">
      <c r="A90" s="1154">
        <v>30</v>
      </c>
      <c r="B90" s="3421"/>
      <c r="C90" s="1068" t="s">
        <v>1563</v>
      </c>
      <c r="D90" s="1068" t="s">
        <v>1564</v>
      </c>
      <c r="E90" s="1139">
        <v>0.2</v>
      </c>
      <c r="F90" s="1154">
        <v>30</v>
      </c>
    </row>
    <row r="91" spans="1:6" s="1105" customFormat="1" ht="36">
      <c r="A91" s="1154">
        <v>31</v>
      </c>
      <c r="B91" s="3421"/>
      <c r="C91" s="1068" t="s">
        <v>1565</v>
      </c>
      <c r="D91" s="1068" t="s">
        <v>1566</v>
      </c>
      <c r="E91" s="1139">
        <v>0.2</v>
      </c>
      <c r="F91" s="1154">
        <v>30</v>
      </c>
    </row>
    <row r="92" spans="1:6" s="1105" customFormat="1" ht="24">
      <c r="A92" s="1154">
        <v>32</v>
      </c>
      <c r="B92" s="3421" t="s">
        <v>1567</v>
      </c>
      <c r="C92" s="1154" t="s">
        <v>1568</v>
      </c>
      <c r="D92" s="1068" t="s">
        <v>1569</v>
      </c>
      <c r="E92" s="1139">
        <v>0.2</v>
      </c>
      <c r="F92" s="1154">
        <v>30</v>
      </c>
    </row>
    <row r="93" spans="1:6" s="1105" customFormat="1" ht="36">
      <c r="A93" s="1154">
        <v>33</v>
      </c>
      <c r="B93" s="3421"/>
      <c r="C93" s="1154" t="s">
        <v>1570</v>
      </c>
      <c r="D93" s="1068" t="s">
        <v>1571</v>
      </c>
      <c r="E93" s="1139">
        <v>0.2</v>
      </c>
      <c r="F93" s="1154">
        <v>30</v>
      </c>
    </row>
    <row r="94" spans="1:6" s="1105" customFormat="1" ht="48">
      <c r="A94" s="1154">
        <v>34</v>
      </c>
      <c r="B94" s="3421"/>
      <c r="C94" s="1154" t="s">
        <v>1572</v>
      </c>
      <c r="D94" s="1068" t="s">
        <v>1573</v>
      </c>
      <c r="E94" s="1139">
        <v>0.2</v>
      </c>
      <c r="F94" s="1154">
        <v>30</v>
      </c>
    </row>
    <row r="95" spans="1:6" s="1105" customFormat="1" ht="36">
      <c r="A95" s="1154">
        <v>35</v>
      </c>
      <c r="B95" s="3421"/>
      <c r="C95" s="1154" t="s">
        <v>1574</v>
      </c>
      <c r="D95" s="1068" t="s">
        <v>1575</v>
      </c>
      <c r="E95" s="1139">
        <v>0.2</v>
      </c>
      <c r="F95" s="1154">
        <v>30</v>
      </c>
    </row>
    <row r="96" spans="1:6" s="1105" customFormat="1" ht="48">
      <c r="A96" s="1154">
        <v>36</v>
      </c>
      <c r="B96" s="3421"/>
      <c r="C96" s="1068" t="s">
        <v>1576</v>
      </c>
      <c r="D96" s="1068" t="s">
        <v>1577</v>
      </c>
      <c r="E96" s="1139">
        <v>0.2</v>
      </c>
      <c r="F96" s="1154">
        <v>30</v>
      </c>
    </row>
    <row r="97" spans="1:6" s="1105" customFormat="1" ht="36">
      <c r="A97" s="1154">
        <v>37</v>
      </c>
      <c r="B97" s="3421"/>
      <c r="C97" s="1154" t="s">
        <v>1578</v>
      </c>
      <c r="D97" s="1068" t="s">
        <v>1579</v>
      </c>
      <c r="E97" s="1139">
        <v>0.2</v>
      </c>
      <c r="F97" s="1154">
        <v>30</v>
      </c>
    </row>
    <row r="98" spans="1:6" s="1105" customFormat="1" ht="36">
      <c r="A98" s="1154">
        <v>38</v>
      </c>
      <c r="B98" s="3421"/>
      <c r="C98" s="1154" t="s">
        <v>1580</v>
      </c>
      <c r="D98" s="1068" t="s">
        <v>1581</v>
      </c>
      <c r="E98" s="1139">
        <v>0.2</v>
      </c>
      <c r="F98" s="1154">
        <v>30</v>
      </c>
    </row>
    <row r="99" spans="1:6" s="1105" customFormat="1" ht="36">
      <c r="A99" s="1154">
        <v>39</v>
      </c>
      <c r="B99" s="3421" t="s">
        <v>1582</v>
      </c>
      <c r="C99" s="1154" t="s">
        <v>1583</v>
      </c>
      <c r="D99" s="1068" t="s">
        <v>1584</v>
      </c>
      <c r="E99" s="1139">
        <v>0.3</v>
      </c>
      <c r="F99" s="1154">
        <v>50</v>
      </c>
    </row>
    <row r="100" spans="1:6" s="1105" customFormat="1" ht="24">
      <c r="A100" s="1154">
        <v>40</v>
      </c>
      <c r="B100" s="3421"/>
      <c r="C100" s="1154" t="s">
        <v>1585</v>
      </c>
      <c r="D100" s="1068" t="s">
        <v>1586</v>
      </c>
      <c r="E100" s="1139">
        <v>0.2</v>
      </c>
      <c r="F100" s="1154">
        <v>30</v>
      </c>
    </row>
    <row r="101" spans="1:6" s="1105" customFormat="1" ht="36">
      <c r="A101" s="1154">
        <v>41</v>
      </c>
      <c r="B101" s="342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1" t="s">
        <v>1597</v>
      </c>
      <c r="C105" s="1154" t="s">
        <v>1598</v>
      </c>
      <c r="D105" s="1068" t="s">
        <v>1599</v>
      </c>
      <c r="E105" s="1139">
        <v>0.2</v>
      </c>
      <c r="F105" s="1154">
        <v>30</v>
      </c>
    </row>
    <row r="106" spans="1:6" s="1105" customFormat="1" ht="36">
      <c r="A106" s="1154">
        <v>46</v>
      </c>
      <c r="B106" s="3421"/>
      <c r="C106" s="1154" t="s">
        <v>1600</v>
      </c>
      <c r="D106" s="1068" t="s">
        <v>1601</v>
      </c>
      <c r="E106" s="1139">
        <v>0.2</v>
      </c>
      <c r="F106" s="1154">
        <v>30</v>
      </c>
    </row>
    <row r="107" spans="1:6" s="1105" customFormat="1" ht="36">
      <c r="A107" s="1154">
        <v>47</v>
      </c>
      <c r="B107" s="3421" t="s">
        <v>1602</v>
      </c>
      <c r="C107" s="1154" t="s">
        <v>1603</v>
      </c>
      <c r="D107" s="1068" t="s">
        <v>1604</v>
      </c>
      <c r="E107" s="1139">
        <v>0.3</v>
      </c>
      <c r="F107" s="1154">
        <v>50</v>
      </c>
    </row>
    <row r="108" spans="1:6" s="1105" customFormat="1" ht="36">
      <c r="A108" s="1154">
        <v>48</v>
      </c>
      <c r="B108" s="342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1" t="s">
        <v>1613</v>
      </c>
      <c r="C111" s="1154" t="s">
        <v>1614</v>
      </c>
      <c r="D111" s="1068" t="s">
        <v>1615</v>
      </c>
      <c r="E111" s="1139">
        <v>0.2</v>
      </c>
      <c r="F111" s="1154">
        <v>30</v>
      </c>
    </row>
    <row r="112" spans="1:6" s="1105" customFormat="1" ht="24">
      <c r="A112" s="1154">
        <v>52</v>
      </c>
      <c r="B112" s="3421"/>
      <c r="C112" s="1154" t="s">
        <v>1616</v>
      </c>
      <c r="D112" s="1068" t="s">
        <v>1617</v>
      </c>
      <c r="E112" s="1139">
        <v>0.2</v>
      </c>
      <c r="F112" s="1154">
        <v>30</v>
      </c>
    </row>
    <row r="113" spans="1:14" s="1105" customFormat="1" ht="24">
      <c r="A113" s="1154">
        <v>53</v>
      </c>
      <c r="B113" s="342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1" t="s">
        <v>1626</v>
      </c>
      <c r="C116" s="1154" t="s">
        <v>1627</v>
      </c>
      <c r="D116" s="1068" t="s">
        <v>1628</v>
      </c>
      <c r="E116" s="1139">
        <v>0.2</v>
      </c>
      <c r="F116" s="1154">
        <v>30</v>
      </c>
    </row>
    <row r="117" spans="1:14" ht="36">
      <c r="A117" s="1154">
        <v>57</v>
      </c>
      <c r="B117" s="342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0" t="s">
        <v>1635</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5" t="s">
        <v>1041</v>
      </c>
      <c r="B1" s="3425"/>
      <c r="C1" s="3425"/>
      <c r="D1" s="3425"/>
      <c r="E1" s="3425"/>
      <c r="F1" s="342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6" t="s">
        <v>1054</v>
      </c>
      <c r="B2" s="3426"/>
      <c r="C2" s="3426"/>
      <c r="D2" s="3426"/>
      <c r="E2" s="3426"/>
      <c r="F2" s="342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2424</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2425</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9" t="s">
        <v>2081</v>
      </c>
      <c r="B1" s="3429"/>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2955</v>
      </c>
      <c r="B1" s="3137"/>
      <c r="C1" s="3137"/>
      <c r="D1" s="3137"/>
      <c r="E1" s="3137"/>
      <c r="F1" s="3137"/>
    </row>
    <row r="2" spans="1:6" ht="14.25">
      <c r="A2" s="3138" t="s">
        <v>2949</v>
      </c>
      <c r="B2" s="3139" t="e">
        <f ca="1">SUMIF(B7:B14,"&lt;&gt;#ref!",B7:B14)</f>
        <v>#DIV/0!</v>
      </c>
      <c r="C2" s="3138" t="s">
        <v>2950</v>
      </c>
      <c r="D2" s="3137"/>
      <c r="E2" s="3137"/>
      <c r="F2" s="3137"/>
    </row>
    <row r="3" spans="1:6" ht="14.25">
      <c r="A3" s="3138" t="s">
        <v>2952</v>
      </c>
      <c r="B3" s="3139" t="e">
        <f ca="1">ROUND(B2*10000/E3,0)</f>
        <v>#DIV/0!</v>
      </c>
      <c r="C3" s="3138" t="s">
        <v>2080</v>
      </c>
      <c r="D3" s="3138" t="s">
        <v>2951</v>
      </c>
      <c r="E3" s="3139" t="e">
        <f ca="1">SUM(E7:E14)</f>
        <v>#REF!</v>
      </c>
      <c r="F3" s="3137"/>
    </row>
    <row r="4" spans="1:6" ht="14.25">
      <c r="A4" s="3138" t="s">
        <v>2959</v>
      </c>
      <c r="B4" s="3139" t="e">
        <f ca="1">ROUND(B2*10000/E4,0)</f>
        <v>#DIV/0!</v>
      </c>
      <c r="C4" s="3138" t="s">
        <v>2080</v>
      </c>
      <c r="D4" s="3138" t="s">
        <v>2960</v>
      </c>
      <c r="E4" s="3139" t="e">
        <f ca="1">SUM(F7:F14)</f>
        <v>#REF!</v>
      </c>
      <c r="F4" s="3137"/>
    </row>
    <row r="5" spans="1:6" ht="14.25">
      <c r="A5" s="3140"/>
      <c r="B5" s="1882"/>
      <c r="C5" s="1882"/>
      <c r="D5" s="1882"/>
      <c r="E5" s="1882"/>
      <c r="F5" s="3137"/>
    </row>
    <row r="6" spans="1:6" ht="28.5">
      <c r="A6" s="3141" t="s">
        <v>2956</v>
      </c>
      <c r="B6" s="3138" t="s">
        <v>2953</v>
      </c>
      <c r="C6" s="3139"/>
      <c r="D6" s="1882"/>
      <c r="E6" s="3138" t="s">
        <v>2954</v>
      </c>
      <c r="F6" s="3138" t="s">
        <v>2958</v>
      </c>
    </row>
    <row r="7" spans="1:6" ht="14.25">
      <c r="A7" s="260" t="s">
        <v>2957</v>
      </c>
      <c r="B7" s="3142" t="e">
        <f ca="1">SUMIF(INDIRECT("'"&amp;A7&amp;"'"&amp;"!A:A"),"总价",INDIRECT("'"&amp;A7&amp;"'"&amp;"!B:B"))</f>
        <v>#DIV/0!</v>
      </c>
      <c r="C7" s="3138" t="s">
        <v>2950</v>
      </c>
      <c r="D7" s="1882"/>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2950</v>
      </c>
      <c r="D8" s="1882"/>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2950</v>
      </c>
      <c r="D9" s="1882"/>
      <c r="E9" s="3143" t="e">
        <f t="shared" ca="1" si="1"/>
        <v>#REF!</v>
      </c>
      <c r="F9" s="3143" t="e">
        <f t="shared" ca="1" si="2"/>
        <v>#REF!</v>
      </c>
    </row>
    <row r="10" spans="1:6" ht="14.25">
      <c r="A10" s="260"/>
      <c r="B10" s="3142" t="e">
        <f t="shared" ca="1" si="0"/>
        <v>#REF!</v>
      </c>
      <c r="C10" s="3138" t="s">
        <v>2950</v>
      </c>
      <c r="D10" s="1882"/>
      <c r="E10" s="3143" t="e">
        <f t="shared" ca="1" si="1"/>
        <v>#REF!</v>
      </c>
      <c r="F10" s="3143" t="e">
        <f t="shared" ca="1" si="2"/>
        <v>#REF!</v>
      </c>
    </row>
    <row r="11" spans="1:6" ht="14.25">
      <c r="A11" s="260"/>
      <c r="B11" s="3142" t="e">
        <f t="shared" ca="1" si="0"/>
        <v>#REF!</v>
      </c>
      <c r="C11" s="3138" t="s">
        <v>2950</v>
      </c>
      <c r="D11" s="1882"/>
      <c r="E11" s="3143" t="e">
        <f t="shared" ca="1" si="1"/>
        <v>#REF!</v>
      </c>
      <c r="F11" s="3143" t="e">
        <f t="shared" ca="1" si="2"/>
        <v>#REF!</v>
      </c>
    </row>
    <row r="12" spans="1:6" ht="14.25">
      <c r="A12" s="260"/>
      <c r="B12" s="3142" t="e">
        <f t="shared" ca="1" si="0"/>
        <v>#REF!</v>
      </c>
      <c r="C12" s="3138" t="s">
        <v>2950</v>
      </c>
      <c r="D12" s="1882"/>
      <c r="E12" s="3143" t="e">
        <f t="shared" ca="1" si="1"/>
        <v>#REF!</v>
      </c>
      <c r="F12" s="3143" t="e">
        <f t="shared" ca="1" si="2"/>
        <v>#REF!</v>
      </c>
    </row>
    <row r="13" spans="1:6" ht="14.25">
      <c r="A13" s="260"/>
      <c r="B13" s="3142" t="e">
        <f t="shared" ca="1" si="0"/>
        <v>#REF!</v>
      </c>
      <c r="C13" s="3138" t="s">
        <v>2950</v>
      </c>
      <c r="D13" s="1882"/>
      <c r="E13" s="3143" t="e">
        <f t="shared" ca="1" si="1"/>
        <v>#REF!</v>
      </c>
      <c r="F13" s="3143" t="e">
        <f t="shared" ca="1" si="2"/>
        <v>#REF!</v>
      </c>
    </row>
    <row r="14" spans="1:6" ht="14.25">
      <c r="A14" s="3136"/>
      <c r="B14" s="3142" t="e">
        <f t="shared" ca="1" si="0"/>
        <v>#REF!</v>
      </c>
      <c r="C14" s="3138" t="s">
        <v>2950</v>
      </c>
      <c r="D14" s="1882"/>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2376</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2461</v>
      </c>
      <c r="C7" s="53">
        <f ca="1">C8+C12+C14</f>
        <v>0</v>
      </c>
      <c r="D7" s="2521" t="s">
        <v>2464</v>
      </c>
      <c r="E7" s="2515"/>
      <c r="F7" s="2516"/>
      <c r="G7" s="1593"/>
      <c r="H7" s="781">
        <v>1</v>
      </c>
      <c r="I7" s="782" t="s">
        <v>2461</v>
      </c>
      <c r="J7" s="53">
        <f ca="1">J8+J12+J14</f>
        <v>0</v>
      </c>
      <c r="K7" s="2521" t="s">
        <v>2464</v>
      </c>
      <c r="L7" s="2515"/>
      <c r="M7" s="2516"/>
    </row>
    <row r="8" spans="1:25" ht="18" customHeight="1">
      <c r="A8" s="1831" t="s">
        <v>1826</v>
      </c>
      <c r="B8" s="3431" t="s">
        <v>2466</v>
      </c>
      <c r="C8" s="1826">
        <f ca="1">ROUND(F8*F10*F9*(1-F11)/10000,0)</f>
        <v>0</v>
      </c>
      <c r="D8" s="1823" t="s">
        <v>2538</v>
      </c>
      <c r="E8" s="61" t="s">
        <v>638</v>
      </c>
      <c r="F8" s="785">
        <f ca="1">INDIRECT("'数据-取费表'!u"&amp;$G$1)</f>
        <v>0</v>
      </c>
      <c r="G8" s="1593"/>
      <c r="H8" s="2529" t="s">
        <v>1826</v>
      </c>
      <c r="I8" s="3431" t="s">
        <v>2466</v>
      </c>
      <c r="J8" s="783">
        <f ca="1">ROUND(M8*M10*M9*(1-M11)/10000,0)</f>
        <v>0</v>
      </c>
      <c r="K8" s="341" t="s">
        <v>2538</v>
      </c>
      <c r="L8" s="784" t="s">
        <v>1740</v>
      </c>
      <c r="M8" s="785">
        <f ca="1">INDIRECT("'数据-取费表'!z"&amp;$G$1)</f>
        <v>0</v>
      </c>
    </row>
    <row r="9" spans="1:25" ht="18" customHeight="1">
      <c r="A9" s="2525"/>
      <c r="B9" s="3432"/>
      <c r="C9" s="1827"/>
      <c r="D9" s="1824"/>
      <c r="E9" s="61" t="s">
        <v>639</v>
      </c>
      <c r="F9" s="785">
        <f ca="1">IF(INDIRECT("'数据-取费表'!ah"&amp;$G$1)="",INDIRECT("'数据-取费表'!k"&amp;$G$1),INDIRECT("'数据-取费表'!ah"&amp;$G$1))</f>
        <v>0</v>
      </c>
      <c r="G9" s="1593"/>
      <c r="H9" s="2514"/>
      <c r="I9" s="3432"/>
      <c r="J9" s="788"/>
      <c r="K9" s="789"/>
      <c r="L9" s="784" t="s">
        <v>1741</v>
      </c>
      <c r="M9" s="785">
        <f ca="1">F9</f>
        <v>0</v>
      </c>
    </row>
    <row r="10" spans="1:25" ht="18" customHeight="1">
      <c r="A10" s="2518"/>
      <c r="B10" s="3433"/>
      <c r="C10" s="1827"/>
      <c r="D10" s="1824"/>
      <c r="E10" s="61" t="s">
        <v>640</v>
      </c>
      <c r="F10" s="785">
        <f ca="1">INDIRECT("'数据-取费表'!ai"&amp;$G$1)</f>
        <v>0</v>
      </c>
      <c r="G10" s="1593"/>
      <c r="H10" s="2514"/>
      <c r="I10" s="3433"/>
      <c r="J10" s="788"/>
      <c r="K10" s="789"/>
      <c r="L10" s="784" t="s">
        <v>1742</v>
      </c>
      <c r="M10" s="785">
        <f ca="1">INDIRECT("'数据-取费表'!ai"&amp;$G$1)</f>
        <v>0</v>
      </c>
    </row>
    <row r="11" spans="1:25" ht="18" customHeight="1">
      <c r="A11" s="786"/>
      <c r="B11" s="3434"/>
      <c r="C11" s="1827"/>
      <c r="D11" s="1824"/>
      <c r="E11" s="61" t="s">
        <v>641</v>
      </c>
      <c r="F11" s="794">
        <f ca="1">INDIRECT("'数据-取费表'!w"&amp;$G$1)</f>
        <v>0</v>
      </c>
      <c r="G11" s="1593"/>
      <c r="H11" s="2530"/>
      <c r="I11" s="3433"/>
      <c r="J11" s="788"/>
      <c r="K11" s="789"/>
      <c r="L11" s="795" t="s">
        <v>1743</v>
      </c>
      <c r="M11" s="796">
        <f ca="1">INDIRECT("'数据-取费表'!ab"&amp;$G$1)</f>
        <v>0</v>
      </c>
    </row>
    <row r="12" spans="1:25" ht="18" customHeight="1">
      <c r="A12" s="1831" t="s">
        <v>1827</v>
      </c>
      <c r="B12" s="2519" t="s">
        <v>2462</v>
      </c>
      <c r="C12" s="799">
        <f ca="1">ROUND(IF(F12="押一",F8*F10*F9/12*F13,IF(F12="押二",F8*F10*F9/12*2*F13,IF(F12="押三",F8*F10*F9/12*3*F13,C13*F13)))/10000,0)</f>
        <v>0</v>
      </c>
      <c r="D12" s="2526" t="s">
        <v>2469</v>
      </c>
      <c r="E12" s="2523" t="s">
        <v>2467</v>
      </c>
      <c r="F12" s="2646"/>
      <c r="G12" s="1593"/>
      <c r="H12" s="2586" t="s">
        <v>1827</v>
      </c>
      <c r="I12" s="2591" t="s">
        <v>2462</v>
      </c>
      <c r="J12" s="783">
        <f ca="1">ROUND(IF(M12="押一",M8*M10*M9/12*M13,IF(M12="押二",M8*M10*M9/12*2*M13,IF(M12="押三",M8*M10*M9/12*3*M13,J13*M13)))/10000,0)</f>
        <v>0</v>
      </c>
      <c r="K12" s="2526" t="s">
        <v>2469</v>
      </c>
      <c r="L12" s="2523" t="s">
        <v>2467</v>
      </c>
      <c r="M12" s="2646"/>
    </row>
    <row r="13" spans="1:25" ht="18" customHeight="1">
      <c r="A13" s="790"/>
      <c r="B13" s="2520" t="s">
        <v>2577</v>
      </c>
      <c r="C13" s="2524"/>
      <c r="D13" s="789"/>
      <c r="E13" s="2523" t="s">
        <v>2459</v>
      </c>
      <c r="F13" s="796">
        <f ca="1">'数据-取费表'!B39</f>
        <v>1.4999999999999999E-2</v>
      </c>
      <c r="G13" s="1593"/>
      <c r="H13" s="2587"/>
      <c r="I13" s="2520" t="s">
        <v>2577</v>
      </c>
      <c r="J13" s="2524"/>
      <c r="K13" s="2588"/>
      <c r="L13" s="2523" t="s">
        <v>2459</v>
      </c>
      <c r="M13" s="2517">
        <f ca="1">'数据-取费表'!B39</f>
        <v>1.4999999999999999E-2</v>
      </c>
    </row>
    <row r="14" spans="1:25" ht="18" customHeight="1" thickBot="1">
      <c r="A14" s="2562" t="s">
        <v>2471</v>
      </c>
      <c r="B14" s="2563" t="s">
        <v>2463</v>
      </c>
      <c r="C14" s="2564"/>
      <c r="D14" s="2565"/>
      <c r="E14" s="2566"/>
      <c r="F14" s="2567"/>
      <c r="G14" s="1593"/>
      <c r="H14" s="2576" t="s">
        <v>2471</v>
      </c>
      <c r="I14" s="2589" t="s">
        <v>2463</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2071</v>
      </c>
      <c r="I16" s="2232" t="s">
        <v>2831</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150</v>
      </c>
      <c r="G19" s="1594"/>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6.3840000000000008E-2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1.4999999999999999E-2</v>
      </c>
      <c r="G22" s="1594"/>
      <c r="H22" s="1833" t="s">
        <v>1852</v>
      </c>
      <c r="I22" s="1823" t="s">
        <v>669</v>
      </c>
      <c r="J22" s="54">
        <f ca="1">ROUND(M22*M23/10000,0)</f>
        <v>0</v>
      </c>
      <c r="K22" s="814" t="s">
        <v>670</v>
      </c>
      <c r="L22" s="784" t="s">
        <v>671</v>
      </c>
      <c r="M22" s="640">
        <f>'数据-取费表'!B52</f>
        <v>0</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3"/>
      <c r="H24" s="1832" t="s">
        <v>2072</v>
      </c>
      <c r="I24" s="784" t="s">
        <v>677</v>
      </c>
      <c r="J24" s="53">
        <f ca="1">ROUND(J16*M24,0)</f>
        <v>0</v>
      </c>
      <c r="K24" s="1978" t="s">
        <v>678</v>
      </c>
      <c r="L24" s="784" t="s">
        <v>650</v>
      </c>
      <c r="M24" s="817">
        <f ca="1">INDIRECT("'数据-取费表'!Ak"&amp;$G$1)</f>
        <v>0</v>
      </c>
    </row>
    <row r="25" spans="1:25" s="2065" customFormat="1" ht="18" customHeight="1">
      <c r="A25" s="803" t="s">
        <v>1877</v>
      </c>
      <c r="B25" s="784" t="s">
        <v>2439</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1.5</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6.9999999999999999E-4</v>
      </c>
      <c r="D26" s="2596"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8" t="s">
        <v>2828</v>
      </c>
      <c r="J27" s="799">
        <f ca="1">J7-J18</f>
        <v>0</v>
      </c>
      <c r="K27" s="1980" t="s">
        <v>701</v>
      </c>
      <c r="L27" s="1982"/>
      <c r="M27" s="820"/>
    </row>
    <row r="28" spans="1:25" ht="18" customHeight="1">
      <c r="A28" s="803" t="s">
        <v>1877</v>
      </c>
      <c r="B28" s="784" t="s">
        <v>2440</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6.0499999999999998E-2</v>
      </c>
      <c r="D30" s="812" t="s">
        <v>710</v>
      </c>
      <c r="E30" s="784" t="s">
        <v>650</v>
      </c>
      <c r="F30" s="809">
        <f>'数据-取费表'!B41</f>
        <v>6.3840000000000008E-2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4"/>
      <c r="H31" s="823" t="s">
        <v>1874</v>
      </c>
      <c r="I31" s="3039" t="s">
        <v>2830</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6.3840000000000008E-2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0</v>
      </c>
      <c r="G36" s="2063"/>
      <c r="H36" s="2066"/>
      <c r="I36" s="3430"/>
      <c r="J36" s="2080"/>
      <c r="K36" s="2081"/>
      <c r="L36" s="2080"/>
      <c r="M36" s="2080"/>
    </row>
    <row r="37" spans="1:18" ht="18" customHeight="1">
      <c r="A37" s="815"/>
      <c r="B37" s="793"/>
      <c r="C37" s="69"/>
      <c r="D37" s="816"/>
      <c r="E37" s="784" t="s">
        <v>675</v>
      </c>
      <c r="F37" s="785">
        <f ca="1">INDIRECT("'数据-取费表'!r"&amp;$G$1)</f>
        <v>0</v>
      </c>
      <c r="G37" s="2063"/>
      <c r="H37" s="2066"/>
      <c r="I37" s="3430"/>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6" t="s">
        <v>2968</v>
      </c>
      <c r="F43" s="3157">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5">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8"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2382" t="str">
        <f ca="1">IF(M48="住宅",0,IF(L49&gt;J52,L61,J61))</f>
        <v>0</v>
      </c>
      <c r="O47" s="2419" t="s">
        <v>2412</v>
      </c>
      <c r="P47" s="1593"/>
      <c r="Q47" s="1605"/>
      <c r="R47" s="1593"/>
    </row>
    <row r="48" spans="1:18" s="2060" customFormat="1" ht="18" customHeight="1" thickBot="1">
      <c r="A48" s="2085"/>
      <c r="C48" s="2088"/>
      <c r="D48" s="2089"/>
      <c r="E48" s="2089"/>
      <c r="F48" s="2090"/>
      <c r="G48" s="2091"/>
      <c r="I48" s="2383" t="s">
        <v>2345</v>
      </c>
      <c r="J48" s="2388"/>
      <c r="K48" s="2389" t="s">
        <v>2351</v>
      </c>
      <c r="L48" s="2390">
        <f ca="1">INDIRECT("'数据-取费表'!d"&amp;$G$1)</f>
        <v>0</v>
      </c>
      <c r="M48" s="3153" t="str">
        <f>IF(ISNUMBER(FIND("住宅",C1)),"住宅","非住宅")</f>
        <v>非住宅</v>
      </c>
      <c r="O48" s="2420" t="s">
        <v>2377</v>
      </c>
      <c r="P48" s="2421" t="s">
        <v>2378</v>
      </c>
      <c r="Q48" s="2422" t="s">
        <v>2379</v>
      </c>
      <c r="R48" s="2421" t="s">
        <v>2380</v>
      </c>
    </row>
    <row r="49" spans="1:18" s="2060" customFormat="1" ht="18" customHeight="1" thickBot="1">
      <c r="A49" s="2085"/>
      <c r="D49" s="2092"/>
      <c r="E49" s="2093"/>
      <c r="F49" s="2090"/>
      <c r="G49" s="2091"/>
      <c r="H49" s="2094"/>
      <c r="I49" s="2384" t="s">
        <v>2346</v>
      </c>
      <c r="J49" s="2391"/>
      <c r="K49" s="2392" t="s">
        <v>2353</v>
      </c>
      <c r="L49" s="2393">
        <f ca="1">INDIRECT("'数据-取费表'!f"&amp;$G$1)</f>
        <v>0</v>
      </c>
      <c r="O49" s="2423" t="s">
        <v>2381</v>
      </c>
      <c r="P49" s="2424" t="s">
        <v>2407</v>
      </c>
      <c r="Q49" s="2425">
        <f ca="1">C41+J31</f>
        <v>0</v>
      </c>
      <c r="R49" s="2424" t="s">
        <v>2382</v>
      </c>
    </row>
    <row r="50" spans="1:18" s="2060" customFormat="1" ht="18" customHeight="1" thickBot="1">
      <c r="A50" s="2085"/>
      <c r="D50" s="2095"/>
      <c r="E50" s="2095"/>
      <c r="F50" s="2089"/>
      <c r="G50" s="2096"/>
      <c r="H50" s="2094"/>
      <c r="I50" s="2384" t="s">
        <v>2347</v>
      </c>
      <c r="J50" s="2394"/>
      <c r="K50" s="2395" t="s">
        <v>2354</v>
      </c>
      <c r="L50" s="2396"/>
      <c r="O50" s="2423" t="s">
        <v>2383</v>
      </c>
      <c r="P50" s="2424" t="s">
        <v>2408</v>
      </c>
      <c r="Q50" s="2425" t="str">
        <f ca="1">J61</f>
        <v>0</v>
      </c>
      <c r="R50" s="2424" t="s">
        <v>2384</v>
      </c>
    </row>
    <row r="51" spans="1:18" s="2060" customFormat="1" ht="18" customHeight="1" thickBot="1">
      <c r="A51" s="2097"/>
      <c r="D51" s="2095"/>
      <c r="E51" s="2095"/>
      <c r="F51" s="2086"/>
      <c r="H51" s="2094"/>
      <c r="I51" s="2384" t="s">
        <v>2348</v>
      </c>
      <c r="J51" s="2397">
        <f>SUMPRODUCT((I64:I66=J48)*(J63:L63=J49)*(J64:L66))</f>
        <v>0</v>
      </c>
      <c r="K51" s="2395" t="s">
        <v>2355</v>
      </c>
      <c r="L51" s="2396"/>
      <c r="O51" s="2426" t="s">
        <v>2385</v>
      </c>
      <c r="P51" s="2424" t="s">
        <v>2409</v>
      </c>
      <c r="Q51" s="2425">
        <f ca="1">C31</f>
        <v>0</v>
      </c>
      <c r="R51" s="2424" t="s">
        <v>2382</v>
      </c>
    </row>
    <row r="52" spans="1:18" s="2060" customFormat="1" ht="18" customHeight="1" thickBot="1">
      <c r="A52" s="2097"/>
      <c r="F52" s="2086"/>
      <c r="I52" s="2385" t="s">
        <v>2349</v>
      </c>
      <c r="J52" s="2398">
        <f>IF(J50="",J51,J50+J51-YEAR('数据-取费表'!B3))</f>
        <v>0</v>
      </c>
      <c r="K52" s="2384" t="s">
        <v>2356</v>
      </c>
      <c r="L52" s="2399">
        <f ca="1">ROUND(-PV(INDIRECT("'数据-取费表'!h"&amp;$G$1),L49,(C40-C14*J36),0),0)</f>
        <v>0</v>
      </c>
      <c r="O52" s="2426" t="s">
        <v>2386</v>
      </c>
      <c r="P52" s="2424" t="s">
        <v>2387</v>
      </c>
      <c r="Q52" s="2427" t="e">
        <f ca="1">J59</f>
        <v>#VALUE!</v>
      </c>
      <c r="R52" s="2428"/>
    </row>
    <row r="53" spans="1:18" s="2060" customFormat="1" ht="18" customHeight="1" thickBot="1">
      <c r="A53" s="2097"/>
      <c r="F53" s="2086"/>
      <c r="I53" s="2386" t="s">
        <v>2423</v>
      </c>
      <c r="J53" s="2400"/>
      <c r="K53" s="2386" t="s">
        <v>2422</v>
      </c>
      <c r="L53" s="2400"/>
      <c r="O53" s="2426" t="s">
        <v>2388</v>
      </c>
      <c r="P53" s="2424" t="s">
        <v>2389</v>
      </c>
      <c r="Q53" s="2427">
        <f>J53</f>
        <v>0</v>
      </c>
      <c r="R53" s="2428"/>
    </row>
    <row r="54" spans="1:18" s="2060" customFormat="1" ht="43.5" thickBot="1">
      <c r="A54" s="2097"/>
      <c r="I54" s="2387" t="s">
        <v>2350</v>
      </c>
      <c r="J54" s="2401">
        <f ca="1">IF(M48="住宅",J52,IF(J52&gt;L49,L49-'数据-取费表'!B25,J52))</f>
        <v>0</v>
      </c>
      <c r="K54" s="3435"/>
      <c r="L54" s="3436"/>
      <c r="O54" s="2426" t="s">
        <v>2390</v>
      </c>
      <c r="P54" s="2424" t="s">
        <v>2391</v>
      </c>
      <c r="Q54" s="2425">
        <f ca="1">J54</f>
        <v>0</v>
      </c>
      <c r="R54" s="2424" t="s">
        <v>2392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2393</v>
      </c>
      <c r="P55" s="2424" t="s">
        <v>2410</v>
      </c>
      <c r="Q55" s="2425">
        <f ca="1">Q49+Q50</f>
        <v>0</v>
      </c>
      <c r="R55" s="2428" t="s">
        <v>2394</v>
      </c>
    </row>
    <row r="56" spans="1:18" s="2060" customFormat="1" ht="16.5" thickBot="1">
      <c r="A56" s="2097"/>
      <c r="B56" s="2098"/>
      <c r="C56" s="2098"/>
      <c r="I56" s="3130" t="s">
        <v>2357</v>
      </c>
      <c r="J56" s="3154" t="e">
        <f ca="1">ROUND(IF(J48="钢混",J58/J51,1-(1-2%)*(J51-J58)/J51),3)</f>
        <v>#VALUE!</v>
      </c>
      <c r="K56" s="2402" t="s">
        <v>2358</v>
      </c>
      <c r="L56" s="2403"/>
      <c r="O56" s="2429" t="s">
        <v>2413</v>
      </c>
      <c r="P56" s="1593"/>
      <c r="Q56" s="1605"/>
      <c r="R56" s="1593"/>
    </row>
    <row r="57" spans="1:18" s="2060" customFormat="1" ht="43.5" thickBot="1">
      <c r="A57" s="2097"/>
      <c r="B57" s="2098"/>
      <c r="C57" s="2098"/>
      <c r="I57" s="2404" t="s">
        <v>2359</v>
      </c>
      <c r="J57" s="3153" t="s">
        <v>1680</v>
      </c>
      <c r="K57" s="2384" t="s">
        <v>2364</v>
      </c>
      <c r="L57" s="2393">
        <f ca="1">IF(L49&lt;J52,"——",L49-J52)</f>
        <v>0</v>
      </c>
      <c r="O57" s="2420" t="s">
        <v>2377</v>
      </c>
      <c r="P57" s="2421" t="s">
        <v>2378</v>
      </c>
      <c r="Q57" s="2422" t="s">
        <v>2379</v>
      </c>
      <c r="R57" s="2421" t="s">
        <v>2380</v>
      </c>
    </row>
    <row r="58" spans="1:18" s="2060" customFormat="1" ht="29.25" thickBot="1">
      <c r="A58" s="2097"/>
      <c r="B58" s="2098"/>
      <c r="C58" s="2098"/>
      <c r="I58" s="2405" t="s">
        <v>2360</v>
      </c>
      <c r="J58" s="2407" t="str">
        <f ca="1">IF(OR(M48="住宅",J52&lt;L49,J57="是"),"——",J52-L49)</f>
        <v>——</v>
      </c>
      <c r="K58" s="2384" t="s">
        <v>2365</v>
      </c>
      <c r="L58" s="2393">
        <f ca="1">IF(L49&lt;J52,"——",IF(L56="比较法",L50,IF(L56="基准地价",L51,L52)))</f>
        <v>0</v>
      </c>
      <c r="O58" s="2423" t="s">
        <v>2381</v>
      </c>
      <c r="P58" s="2424" t="s">
        <v>2407</v>
      </c>
      <c r="Q58" s="2425">
        <f ca="1">C41+J31</f>
        <v>0</v>
      </c>
      <c r="R58" s="2424" t="s">
        <v>2382</v>
      </c>
    </row>
    <row r="59" spans="1:18" s="2060" customFormat="1" ht="29.25" thickBot="1">
      <c r="A59" s="2097"/>
      <c r="B59" s="2098"/>
      <c r="C59" s="2098"/>
      <c r="I59" s="2405" t="s">
        <v>2361</v>
      </c>
      <c r="J59" s="3155" t="e">
        <f ca="1">IF(J56&lt;0.4,0.4,J56)</f>
        <v>#VALUE!</v>
      </c>
      <c r="K59" s="2384" t="s">
        <v>2366</v>
      </c>
      <c r="L59" s="2393">
        <f ca="1">IF(ISERROR(POWER(1+L53,L48-L49)*(POWER(1+L53,L49)-1)/(POWER(1+L53,L48)-1)),0,POWER(1+L53,L48-L49)*(POWER(1+L53,L49)-1)/(POWER(1+L53,L48)-1))</f>
        <v>0</v>
      </c>
      <c r="O59" s="2423" t="s">
        <v>2383</v>
      </c>
      <c r="P59" s="2424" t="s">
        <v>2414</v>
      </c>
      <c r="Q59" s="2425" t="e">
        <f ca="1">L61</f>
        <v>#DIV/0!</v>
      </c>
      <c r="R59" s="2428" t="s">
        <v>2416</v>
      </c>
    </row>
    <row r="60" spans="1:18" s="2060" customFormat="1" ht="29.25" thickBot="1">
      <c r="A60" s="2097"/>
      <c r="B60" s="2098"/>
      <c r="C60" s="2098"/>
      <c r="I60" s="2405" t="s">
        <v>2362</v>
      </c>
      <c r="J60" s="2407" t="str">
        <f ca="1">IF(OR(M48="住宅",J52&lt;L49,J57="是"),"——",ROUND(C30*J59,0))</f>
        <v>——</v>
      </c>
      <c r="K60" s="2384" t="s">
        <v>2367</v>
      </c>
      <c r="L60" s="2393">
        <f ca="1">IF(ISERROR(POWER(1+L53,L48-J52)*(POWER(1+L53,J52)-1)/(POWER(1+L53,L48)-1)),0,POWER(1+L53,L48-J52)*(POWER(1+L53,J52)-1)/(POWER(1+L53,L48)-1))</f>
        <v>0</v>
      </c>
      <c r="O60" s="2426" t="s">
        <v>2385</v>
      </c>
      <c r="P60" s="2424" t="s">
        <v>2415</v>
      </c>
      <c r="Q60" s="2425">
        <f>IF(L56="比较法",L50,IF(L56="基准地价",L51,0))</f>
        <v>0</v>
      </c>
      <c r="R60" s="2424" t="s">
        <v>2382</v>
      </c>
    </row>
    <row r="61" spans="1:18" s="2060" customFormat="1" ht="15.75" thickBot="1">
      <c r="A61" s="2097"/>
      <c r="B61" s="2098"/>
      <c r="C61" s="2098"/>
      <c r="I61" s="2406" t="s">
        <v>2363</v>
      </c>
      <c r="J61" s="2408" t="str">
        <f ca="1">IF(OR(M48="住宅",J52&lt;L49,J57="是"),"0",ROUND(J60/(1+J53)^J54,0))</f>
        <v>0</v>
      </c>
      <c r="K61" s="2409" t="s">
        <v>2368</v>
      </c>
      <c r="L61" s="2408" t="e">
        <f ca="1">IF(OR(M48="住宅",L49&lt;J52),0,ROUND(L58*(L59/L60-1),0))</f>
        <v>#DIV/0!</v>
      </c>
      <c r="O61" s="2426" t="s">
        <v>2386</v>
      </c>
      <c r="P61" s="2424" t="s">
        <v>2395</v>
      </c>
      <c r="Q61" s="2427">
        <f>L53</f>
        <v>0</v>
      </c>
      <c r="R61" s="2428"/>
    </row>
    <row r="62" spans="1:18" s="2060" customFormat="1" ht="20.25" thickBot="1">
      <c r="A62" s="2097"/>
      <c r="B62" s="2098"/>
      <c r="C62" s="2098"/>
      <c r="K62" s="2087"/>
      <c r="O62" s="2426" t="s">
        <v>2388</v>
      </c>
      <c r="P62" s="2424" t="s">
        <v>2396</v>
      </c>
      <c r="Q62" s="2425">
        <f ca="1">L59</f>
        <v>0</v>
      </c>
      <c r="R62" s="2428" t="s">
        <v>2397</v>
      </c>
    </row>
    <row r="63" spans="1:18" s="2060" customFormat="1" ht="20.25" thickBot="1">
      <c r="A63" s="2097"/>
      <c r="B63" s="2098"/>
      <c r="C63" s="2098"/>
      <c r="I63" s="2410" t="s">
        <v>2369</v>
      </c>
      <c r="J63" s="2411" t="s">
        <v>2370</v>
      </c>
      <c r="K63" s="2411" t="s">
        <v>2371</v>
      </c>
      <c r="L63" s="2411" t="s">
        <v>2352</v>
      </c>
      <c r="M63" s="3132" t="s">
        <v>2947</v>
      </c>
      <c r="O63" s="2426" t="s">
        <v>2390</v>
      </c>
      <c r="P63" s="2424" t="s">
        <v>2398</v>
      </c>
      <c r="Q63" s="2425">
        <f ca="1">L60</f>
        <v>0</v>
      </c>
      <c r="R63" s="2428" t="s">
        <v>2399</v>
      </c>
    </row>
    <row r="64" spans="1:18" s="2060" customFormat="1" ht="15.75" thickBot="1">
      <c r="A64" s="2097"/>
      <c r="B64" s="2098"/>
      <c r="C64" s="2098"/>
      <c r="I64" s="2410" t="s">
        <v>2372</v>
      </c>
      <c r="J64" s="2411">
        <v>70</v>
      </c>
      <c r="K64" s="2411">
        <v>50</v>
      </c>
      <c r="L64" s="2411">
        <v>80</v>
      </c>
      <c r="M64" s="3133">
        <v>0.02</v>
      </c>
      <c r="O64" s="2423" t="s">
        <v>2393</v>
      </c>
      <c r="P64" s="2424" t="s">
        <v>2410</v>
      </c>
      <c r="Q64" s="2425" t="e">
        <f ca="1">Q58+Q59</f>
        <v>#DIV/0!</v>
      </c>
      <c r="R64" s="2428" t="s">
        <v>2394</v>
      </c>
    </row>
    <row r="65" spans="1:18" s="2060" customFormat="1" ht="16.5" thickBot="1">
      <c r="A65" s="2097"/>
      <c r="B65" s="2098"/>
      <c r="C65" s="2098"/>
      <c r="I65" s="2410" t="s">
        <v>2373</v>
      </c>
      <c r="J65" s="2411">
        <v>50</v>
      </c>
      <c r="K65" s="2411">
        <v>35</v>
      </c>
      <c r="L65" s="2411">
        <v>60</v>
      </c>
      <c r="M65" s="3134">
        <v>0</v>
      </c>
      <c r="O65" s="2429" t="s">
        <v>2417</v>
      </c>
      <c r="P65" s="1593"/>
      <c r="Q65" s="1605"/>
      <c r="R65" s="1593"/>
    </row>
    <row r="66" spans="1:18" s="2060" customFormat="1" ht="15.75" thickBot="1">
      <c r="A66" s="2097"/>
      <c r="B66" s="2098"/>
      <c r="C66" s="2098"/>
      <c r="I66" s="2410" t="s">
        <v>2374</v>
      </c>
      <c r="J66" s="2411">
        <v>40</v>
      </c>
      <c r="K66" s="2411">
        <v>30</v>
      </c>
      <c r="L66" s="2411">
        <v>50</v>
      </c>
      <c r="M66" s="3133">
        <v>0.02</v>
      </c>
      <c r="O66" s="2420" t="s">
        <v>2377</v>
      </c>
      <c r="P66" s="2421" t="s">
        <v>2378</v>
      </c>
      <c r="Q66" s="2422" t="s">
        <v>2379</v>
      </c>
      <c r="R66" s="2421" t="s">
        <v>2380</v>
      </c>
    </row>
    <row r="67" spans="1:18" s="2060" customFormat="1" ht="15.75" thickBot="1">
      <c r="A67" s="2097"/>
      <c r="B67" s="2098"/>
      <c r="C67" s="2098"/>
      <c r="K67" s="2087"/>
      <c r="O67" s="2423" t="s">
        <v>2381</v>
      </c>
      <c r="P67" s="2424" t="s">
        <v>2407</v>
      </c>
      <c r="Q67" s="2425">
        <f ca="1">C41+J31</f>
        <v>0</v>
      </c>
      <c r="R67" s="2424" t="s">
        <v>2382</v>
      </c>
    </row>
    <row r="68" spans="1:18" s="2060" customFormat="1" ht="20.25" thickBot="1">
      <c r="A68" s="2097"/>
      <c r="B68" s="2098"/>
      <c r="C68" s="2098"/>
      <c r="K68" s="2087"/>
      <c r="O68" s="2423" t="s">
        <v>2383</v>
      </c>
      <c r="P68" s="2424" t="s">
        <v>2414</v>
      </c>
      <c r="Q68" s="2425" t="e">
        <f ca="1">L61</f>
        <v>#DIV/0!</v>
      </c>
      <c r="R68" s="2428" t="s">
        <v>2416</v>
      </c>
    </row>
    <row r="69" spans="1:18" s="2060" customFormat="1" ht="21.75" thickBot="1">
      <c r="A69" s="2097"/>
      <c r="B69" s="2098"/>
      <c r="C69" s="2098"/>
      <c r="K69" s="2087"/>
      <c r="O69" s="2426" t="s">
        <v>2385</v>
      </c>
      <c r="P69" s="2424" t="s">
        <v>2415</v>
      </c>
      <c r="Q69" s="2430">
        <f ca="1">L52</f>
        <v>0</v>
      </c>
      <c r="R69" s="2431" t="s">
        <v>2418</v>
      </c>
    </row>
    <row r="70" spans="1:18" s="2060" customFormat="1" ht="20.25" thickBot="1">
      <c r="A70" s="2097"/>
      <c r="B70" s="2098"/>
      <c r="C70" s="2098"/>
      <c r="K70" s="2087"/>
      <c r="O70" s="2426" t="s">
        <v>2386</v>
      </c>
      <c r="P70" s="2432" t="s">
        <v>2400</v>
      </c>
      <c r="Q70" s="2425">
        <f ca="1">ROUND(Q71-Q72*Q73,0)</f>
        <v>0</v>
      </c>
      <c r="R70" s="2428"/>
    </row>
    <row r="71" spans="1:18" s="2060" customFormat="1" ht="15.75" thickBot="1">
      <c r="A71" s="2097"/>
      <c r="B71" s="2098"/>
      <c r="C71" s="2098"/>
      <c r="K71" s="2087"/>
      <c r="O71" s="2426" t="s">
        <v>2401</v>
      </c>
      <c r="P71" s="2432" t="s">
        <v>2402</v>
      </c>
      <c r="Q71" s="2425">
        <f ca="1">C42</f>
        <v>0</v>
      </c>
      <c r="R71" s="2424" t="s">
        <v>2382</v>
      </c>
    </row>
    <row r="72" spans="1:18" s="2060" customFormat="1" ht="15.75" thickBot="1">
      <c r="A72" s="2097"/>
      <c r="B72" s="2098"/>
      <c r="C72" s="2098"/>
      <c r="K72" s="2087"/>
      <c r="O72" s="2426" t="s">
        <v>2403</v>
      </c>
      <c r="P72" s="2432" t="s">
        <v>2404</v>
      </c>
      <c r="Q72" s="2425">
        <f ca="1">C15</f>
        <v>0</v>
      </c>
      <c r="R72" s="2424" t="s">
        <v>2382</v>
      </c>
    </row>
    <row r="73" spans="1:18" s="2060" customFormat="1" ht="15.75" thickBot="1">
      <c r="A73" s="2097"/>
      <c r="B73" s="2098"/>
      <c r="C73" s="2098"/>
      <c r="K73" s="2087"/>
      <c r="O73" s="2426" t="s">
        <v>2405</v>
      </c>
      <c r="P73" s="2432" t="s">
        <v>2406</v>
      </c>
      <c r="Q73" s="2427">
        <f ca="1">F43</f>
        <v>0</v>
      </c>
      <c r="R73" s="2428"/>
    </row>
    <row r="74" spans="1:18" s="2060" customFormat="1" ht="15.75" thickBot="1">
      <c r="A74" s="2097"/>
      <c r="B74" s="2098"/>
      <c r="C74" s="2098"/>
      <c r="K74" s="2087"/>
      <c r="O74" s="2426" t="s">
        <v>2388</v>
      </c>
      <c r="P74" s="2424" t="s">
        <v>2395</v>
      </c>
      <c r="Q74" s="2427">
        <f>L53</f>
        <v>0</v>
      </c>
      <c r="R74" s="2428"/>
    </row>
    <row r="75" spans="1:18" s="2060" customFormat="1" ht="20.25" thickBot="1">
      <c r="A75" s="2097"/>
      <c r="B75" s="2098"/>
      <c r="C75" s="2098"/>
      <c r="K75" s="2087"/>
      <c r="O75" s="2426" t="s">
        <v>2390</v>
      </c>
      <c r="P75" s="2424" t="s">
        <v>2396</v>
      </c>
      <c r="Q75" s="2425">
        <f ca="1">L59</f>
        <v>0</v>
      </c>
      <c r="R75" s="2428" t="s">
        <v>2397</v>
      </c>
    </row>
    <row r="76" spans="1:18" s="2060" customFormat="1" ht="20.25" thickBot="1">
      <c r="A76" s="2097"/>
      <c r="B76" s="2098"/>
      <c r="C76" s="2098"/>
      <c r="K76" s="2087"/>
      <c r="O76" s="2426" t="s">
        <v>2419</v>
      </c>
      <c r="P76" s="2424" t="s">
        <v>2398</v>
      </c>
      <c r="Q76" s="2425">
        <f ca="1">L60</f>
        <v>0</v>
      </c>
      <c r="R76" s="2428" t="s">
        <v>2399</v>
      </c>
    </row>
    <row r="77" spans="1:18" s="2060" customFormat="1" ht="15.75" thickBot="1">
      <c r="A77" s="2097"/>
      <c r="B77" s="2098"/>
      <c r="C77" s="2098"/>
      <c r="K77" s="2087"/>
      <c r="O77" s="2423" t="s">
        <v>2393</v>
      </c>
      <c r="P77" s="2424" t="s">
        <v>2410</v>
      </c>
      <c r="Q77" s="2425" t="e">
        <f ca="1">Q67+Q68</f>
        <v>#DIV/0!</v>
      </c>
      <c r="R77" s="2428"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43" t="s">
        <v>2580</v>
      </c>
      <c r="C1" s="3443"/>
      <c r="D1" s="3443"/>
      <c r="E1" s="3443"/>
      <c r="F1" s="3443"/>
      <c r="G1" s="3442" t="s">
        <v>2581</v>
      </c>
      <c r="H1" s="3442"/>
      <c r="I1" s="3442"/>
      <c r="J1" s="3442"/>
      <c r="K1" s="3442"/>
      <c r="L1" s="3442"/>
      <c r="N1" s="3442" t="s">
        <v>2582</v>
      </c>
      <c r="O1" s="3442"/>
      <c r="P1" s="3442"/>
      <c r="Q1" s="3442"/>
      <c r="R1" s="2680"/>
      <c r="S1" s="3442" t="s">
        <v>2583</v>
      </c>
      <c r="T1" s="3442"/>
      <c r="U1" s="3442"/>
      <c r="V1" s="3442"/>
      <c r="X1" s="3441" t="s">
        <v>2644</v>
      </c>
      <c r="Y1" s="3442"/>
      <c r="Z1" s="3442"/>
      <c r="AA1" s="3442"/>
      <c r="AB1" s="3442"/>
      <c r="AD1" s="3441" t="s">
        <v>2649</v>
      </c>
      <c r="AE1" s="3442"/>
      <c r="AF1" s="3442"/>
      <c r="AG1" s="3442"/>
      <c r="AH1" s="3442"/>
    </row>
    <row r="2" spans="1:34" s="2782" customFormat="1" ht="14.25" thickBot="1">
      <c r="B2" s="2791" t="s">
        <v>2584</v>
      </c>
      <c r="C2" s="2791" t="s">
        <v>2647</v>
      </c>
      <c r="D2" s="2783" t="s">
        <v>1646</v>
      </c>
      <c r="E2" s="2783" t="s">
        <v>1953</v>
      </c>
      <c r="F2" s="2791" t="s">
        <v>2648</v>
      </c>
      <c r="G2" s="2786"/>
      <c r="H2" s="2785"/>
      <c r="I2" s="2791" t="s">
        <v>2962</v>
      </c>
      <c r="J2" s="2783" t="s">
        <v>2964</v>
      </c>
      <c r="K2" s="2783" t="s">
        <v>2965</v>
      </c>
      <c r="L2" s="2791" t="s">
        <v>2966</v>
      </c>
      <c r="N2" s="2791" t="s">
        <v>2584</v>
      </c>
      <c r="O2" s="2783" t="s">
        <v>2963</v>
      </c>
      <c r="P2" s="2783" t="s">
        <v>1953</v>
      </c>
      <c r="Q2" s="2791" t="s">
        <v>2648</v>
      </c>
      <c r="R2" s="2784"/>
      <c r="S2" s="2791" t="s">
        <v>2584</v>
      </c>
      <c r="T2" s="2783" t="s">
        <v>2963</v>
      </c>
      <c r="U2" s="2783" t="s">
        <v>1953</v>
      </c>
      <c r="V2" s="2791" t="s">
        <v>2648</v>
      </c>
      <c r="X2" s="2791" t="s">
        <v>2584</v>
      </c>
      <c r="Y2" s="2791" t="s">
        <v>2647</v>
      </c>
      <c r="Z2" s="2783" t="s">
        <v>1646</v>
      </c>
      <c r="AA2" s="2783" t="s">
        <v>1953</v>
      </c>
      <c r="AB2" s="2791" t="s">
        <v>2648</v>
      </c>
      <c r="AD2" s="2791" t="s">
        <v>2584</v>
      </c>
      <c r="AE2" s="2791" t="s">
        <v>2647</v>
      </c>
      <c r="AF2" s="2783" t="s">
        <v>1646</v>
      </c>
      <c r="AG2" s="2783" t="s">
        <v>1953</v>
      </c>
      <c r="AH2" s="2791" t="s">
        <v>2648</v>
      </c>
    </row>
    <row r="3" spans="1:34" s="2775" customFormat="1" ht="14.25">
      <c r="B3" s="2776"/>
      <c r="C3" s="2776"/>
      <c r="D3" s="2777"/>
      <c r="E3" s="2777"/>
      <c r="F3" s="2776"/>
      <c r="G3" s="2781"/>
      <c r="H3" s="2778"/>
      <c r="I3" s="3164"/>
      <c r="J3" s="3164"/>
      <c r="K3" s="3164"/>
      <c r="L3" s="3164"/>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2974</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79"/>
      <c r="S4" s="2781"/>
      <c r="T4" s="2779"/>
      <c r="U4" s="2779"/>
      <c r="V4" s="2779"/>
      <c r="X4" s="2780"/>
      <c r="Y4" s="2780"/>
      <c r="Z4" s="2780"/>
      <c r="AA4" s="2780"/>
      <c r="AB4" s="2780"/>
      <c r="AD4" s="2700"/>
      <c r="AE4" s="2700"/>
      <c r="AF4" s="2700"/>
      <c r="AG4" s="2700"/>
      <c r="AH4" s="2700"/>
    </row>
    <row r="5" spans="1:34" s="3147" customFormat="1">
      <c r="A5" s="3145" t="s">
        <v>2973</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40">
        <v>2017</v>
      </c>
      <c r="H5" s="3146">
        <v>4</v>
      </c>
      <c r="I5" s="3165">
        <f>ROUND(AVERAGE(I6:I20),2)</f>
        <v>2.4900000000000002</v>
      </c>
      <c r="J5" s="3165">
        <f>ROUND(AVERAGE(J6:J20),2)</f>
        <v>1.64</v>
      </c>
      <c r="K5" s="3165">
        <f>ROUND(AVERAGE(K6:K20),2)</f>
        <v>2.78</v>
      </c>
      <c r="L5" s="3165">
        <f>ROUND(AVERAGE(L6:L20),2)</f>
        <v>1.39</v>
      </c>
      <c r="N5" s="2788">
        <f t="shared" si="7"/>
        <v>2.4900000000000002E-2</v>
      </c>
      <c r="O5" s="2788">
        <f t="shared" ref="O5" si="15">J5/100</f>
        <v>1.6399999999999998E-2</v>
      </c>
      <c r="P5" s="2788">
        <f t="shared" ref="P5" si="16">K5/100</f>
        <v>2.7799999999999998E-2</v>
      </c>
      <c r="Q5" s="2788">
        <f t="shared" ref="Q5" si="17">L5/100</f>
        <v>1.3899999999999999E-2</v>
      </c>
      <c r="R5" s="3148"/>
      <c r="S5" s="3149"/>
      <c r="T5" s="3148"/>
      <c r="U5" s="3148"/>
      <c r="V5" s="3148"/>
      <c r="W5" s="2789" t="s">
        <v>2645</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1" t="s">
        <v>2585</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38"/>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8"/>
      <c r="S6" s="2684"/>
      <c r="T6" s="3161"/>
      <c r="U6" s="3161"/>
      <c r="V6" s="3161"/>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2586</v>
      </c>
      <c r="B7" s="2695">
        <f t="shared" si="18"/>
        <v>419.31181600000002</v>
      </c>
      <c r="C7" s="2695">
        <f t="shared" si="18"/>
        <v>313.95436800000004</v>
      </c>
      <c r="D7" s="2695">
        <f t="shared" si="3"/>
        <v>313.95436800000004</v>
      </c>
      <c r="E7" s="2695">
        <f t="shared" si="19"/>
        <v>596.63028431999999</v>
      </c>
      <c r="F7" s="2695">
        <f t="shared" si="19"/>
        <v>274.74220703999998</v>
      </c>
      <c r="G7" s="3438"/>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2587</v>
      </c>
      <c r="B8" s="2695">
        <f t="shared" si="18"/>
        <v>405.524</v>
      </c>
      <c r="C8" s="2695">
        <f t="shared" si="18"/>
        <v>307.79840000000002</v>
      </c>
      <c r="D8" s="2695">
        <f t="shared" si="3"/>
        <v>307.79840000000002</v>
      </c>
      <c r="E8" s="2695">
        <f t="shared" si="19"/>
        <v>574.67759999999998</v>
      </c>
      <c r="F8" s="2695">
        <f t="shared" si="19"/>
        <v>270.20280000000002</v>
      </c>
      <c r="G8" s="3439"/>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40">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38"/>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38"/>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39"/>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37">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38"/>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38"/>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39"/>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37">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38"/>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38"/>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39"/>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2646</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2588</v>
      </c>
      <c r="B21" s="2687">
        <v>299</v>
      </c>
      <c r="C21" s="2687">
        <v>252</v>
      </c>
      <c r="D21" s="2687">
        <f t="shared" si="28"/>
        <v>252</v>
      </c>
      <c r="E21" s="2687">
        <v>409</v>
      </c>
      <c r="F21" s="2688">
        <v>227</v>
      </c>
      <c r="G21" s="3444">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2589</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45"/>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2590</v>
      </c>
      <c r="B23" s="2695">
        <f t="shared" si="37"/>
        <v>288.2649053828776</v>
      </c>
      <c r="C23" s="2695">
        <f t="shared" si="37"/>
        <v>243.64564425013293</v>
      </c>
      <c r="D23" s="2695">
        <f t="shared" si="28"/>
        <v>243.64564425013293</v>
      </c>
      <c r="E23" s="2695">
        <f t="shared" si="38"/>
        <v>393.31080825986544</v>
      </c>
      <c r="F23" s="2695">
        <f t="shared" si="38"/>
        <v>223.07903790551154</v>
      </c>
      <c r="G23" s="3445"/>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2591</v>
      </c>
      <c r="B24" s="2695">
        <f t="shared" si="37"/>
        <v>282.50186729015837</v>
      </c>
      <c r="C24" s="2695">
        <f t="shared" si="37"/>
        <v>238.09796174155468</v>
      </c>
      <c r="D24" s="2695">
        <f t="shared" si="28"/>
        <v>238.09796174155468</v>
      </c>
      <c r="E24" s="2695">
        <f t="shared" si="38"/>
        <v>385.33438646014054</v>
      </c>
      <c r="F24" s="2695">
        <f t="shared" si="38"/>
        <v>221.55034055567739</v>
      </c>
      <c r="G24" s="3446"/>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2592</v>
      </c>
      <c r="B25" s="2725">
        <v>278</v>
      </c>
      <c r="C25" s="2725">
        <v>234</v>
      </c>
      <c r="D25" s="2725">
        <f t="shared" si="28"/>
        <v>234</v>
      </c>
      <c r="E25" s="2725">
        <v>379</v>
      </c>
      <c r="F25" s="2726">
        <v>220</v>
      </c>
      <c r="G25" s="3437">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2593</v>
      </c>
      <c r="B26" s="2695">
        <f>B25/(1+N25)</f>
        <v>275.49301357645425</v>
      </c>
      <c r="C26" s="2695">
        <f>C25/(1+O25)</f>
        <v>232.41954707985698</v>
      </c>
      <c r="D26" s="2695">
        <f t="shared" si="28"/>
        <v>232.41954707985698</v>
      </c>
      <c r="E26" s="2695">
        <f t="shared" ref="E26:F28" si="39">E25/(1+P25)</f>
        <v>375.32184591008121</v>
      </c>
      <c r="F26" s="2695">
        <f t="shared" si="39"/>
        <v>218.03766105054513</v>
      </c>
      <c r="G26" s="3438"/>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2594</v>
      </c>
      <c r="B27" s="2695">
        <f>B26/(1+N26)</f>
        <v>275.24529281292263</v>
      </c>
      <c r="C27" s="2695">
        <f>C26/(1+O26)</f>
        <v>231.74747938962707</v>
      </c>
      <c r="D27" s="2695">
        <f t="shared" si="28"/>
        <v>231.74747938962707</v>
      </c>
      <c r="E27" s="2695">
        <f t="shared" si="39"/>
        <v>375.35938184826603</v>
      </c>
      <c r="F27" s="2695">
        <f t="shared" si="39"/>
        <v>216.78033510692495</v>
      </c>
      <c r="G27" s="3438"/>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2595</v>
      </c>
      <c r="B28" s="2695">
        <f>B27/(1+N27)</f>
        <v>275.19025476197027</v>
      </c>
      <c r="C28" s="2727">
        <v>232</v>
      </c>
      <c r="D28" s="2727">
        <f t="shared" si="28"/>
        <v>232</v>
      </c>
      <c r="E28" s="2695">
        <f t="shared" si="39"/>
        <v>375.65990977608692</v>
      </c>
      <c r="F28" s="2695">
        <f t="shared" si="39"/>
        <v>214.12518283971252</v>
      </c>
      <c r="G28" s="3439"/>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2596</v>
      </c>
      <c r="B29" s="2687">
        <v>275</v>
      </c>
      <c r="C29" s="2687">
        <v>232</v>
      </c>
      <c r="D29" s="2687">
        <f t="shared" si="28"/>
        <v>232</v>
      </c>
      <c r="E29" s="2687">
        <v>376</v>
      </c>
      <c r="F29" s="2688">
        <v>213</v>
      </c>
      <c r="G29" s="3437">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2597</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38">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2598</v>
      </c>
      <c r="B31" s="2695">
        <f t="shared" si="40"/>
        <v>275.19335084830601</v>
      </c>
      <c r="C31" s="2695">
        <f t="shared" si="40"/>
        <v>230.18088050139744</v>
      </c>
      <c r="D31" s="2695">
        <f t="shared" si="28"/>
        <v>230.18088050139744</v>
      </c>
      <c r="E31" s="2695">
        <f t="shared" si="41"/>
        <v>377.58482925212331</v>
      </c>
      <c r="F31" s="2695">
        <f t="shared" si="41"/>
        <v>210.90687997847917</v>
      </c>
      <c r="G31" s="3438">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2599</v>
      </c>
      <c r="B32" s="2695">
        <f t="shared" si="40"/>
        <v>276.29854502841971</v>
      </c>
      <c r="C32" s="2695">
        <f t="shared" si="40"/>
        <v>229.79023709833027</v>
      </c>
      <c r="D32" s="2695">
        <f t="shared" si="28"/>
        <v>229.79023709833027</v>
      </c>
      <c r="E32" s="2695">
        <f t="shared" si="41"/>
        <v>379.78759731655936</v>
      </c>
      <c r="F32" s="2695">
        <f t="shared" si="41"/>
        <v>211.32953905659235</v>
      </c>
      <c r="G32" s="3439">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2600</v>
      </c>
      <c r="B33" s="2687">
        <v>269</v>
      </c>
      <c r="C33" s="2687">
        <v>221</v>
      </c>
      <c r="D33" s="2687">
        <f t="shared" si="28"/>
        <v>221</v>
      </c>
      <c r="E33" s="2687">
        <v>373</v>
      </c>
      <c r="F33" s="2688">
        <v>196</v>
      </c>
      <c r="G33" s="3437">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2601</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38">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2602</v>
      </c>
      <c r="B35" s="2695">
        <f t="shared" si="42"/>
        <v>242.95398227588385</v>
      </c>
      <c r="C35" s="2695">
        <f t="shared" si="42"/>
        <v>199.59137053614126</v>
      </c>
      <c r="D35" s="2695">
        <f t="shared" si="28"/>
        <v>199.59137053614126</v>
      </c>
      <c r="E35" s="2695">
        <f t="shared" si="43"/>
        <v>335.92189522342125</v>
      </c>
      <c r="F35" s="2695">
        <f t="shared" si="43"/>
        <v>183.10139991109489</v>
      </c>
      <c r="G35" s="3438">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2603</v>
      </c>
      <c r="B36" s="2695">
        <f t="shared" si="42"/>
        <v>232.06990378821649</v>
      </c>
      <c r="C36" s="2695">
        <f t="shared" si="42"/>
        <v>192.74878854286936</v>
      </c>
      <c r="D36" s="2695">
        <f t="shared" si="28"/>
        <v>192.74878854286936</v>
      </c>
      <c r="E36" s="2695">
        <f t="shared" si="43"/>
        <v>319.71247284992984</v>
      </c>
      <c r="F36" s="2695">
        <f t="shared" si="43"/>
        <v>175.67053622862409</v>
      </c>
      <c r="G36" s="3439">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2604</v>
      </c>
      <c r="B37" s="2687">
        <v>220</v>
      </c>
      <c r="C37" s="2687">
        <v>187</v>
      </c>
      <c r="D37" s="2687">
        <f t="shared" si="28"/>
        <v>187</v>
      </c>
      <c r="E37" s="2687">
        <v>301</v>
      </c>
      <c r="F37" s="2688">
        <v>168</v>
      </c>
      <c r="G37" s="3437">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2605</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38">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2606</v>
      </c>
      <c r="B39" s="2695">
        <f t="shared" si="44"/>
        <v>210.630522469011</v>
      </c>
      <c r="C39" s="2695">
        <f t="shared" si="44"/>
        <v>181.69567812247232</v>
      </c>
      <c r="D39" s="2695">
        <f t="shared" si="28"/>
        <v>181.69567812247232</v>
      </c>
      <c r="E39" s="2695">
        <f t="shared" si="45"/>
        <v>286.13517466736738</v>
      </c>
      <c r="F39" s="2695">
        <f t="shared" si="45"/>
        <v>165.47535084591149</v>
      </c>
      <c r="G39" s="3438">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2607</v>
      </c>
      <c r="B40" s="2695">
        <f t="shared" si="44"/>
        <v>208.83454537875372</v>
      </c>
      <c r="C40" s="2695">
        <f t="shared" si="44"/>
        <v>183.77230517090351</v>
      </c>
      <c r="D40" s="2695">
        <f t="shared" si="28"/>
        <v>183.77230517090351</v>
      </c>
      <c r="E40" s="2695">
        <f t="shared" si="45"/>
        <v>281.10342338870947</v>
      </c>
      <c r="F40" s="2695">
        <f t="shared" si="45"/>
        <v>168.97309388942256</v>
      </c>
      <c r="G40" s="3439">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2608</v>
      </c>
      <c r="B41" s="2725">
        <v>214</v>
      </c>
      <c r="C41" s="2725">
        <v>188</v>
      </c>
      <c r="D41" s="2725">
        <f t="shared" si="28"/>
        <v>188</v>
      </c>
      <c r="E41" s="2725">
        <v>289</v>
      </c>
      <c r="F41" s="2726">
        <v>166</v>
      </c>
      <c r="G41" s="3437">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2609</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38">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2610</v>
      </c>
      <c r="B43" s="2695">
        <f t="shared" si="46"/>
        <v>206.31694671589116</v>
      </c>
      <c r="C43" s="2695">
        <f t="shared" si="46"/>
        <v>183.61041121036101</v>
      </c>
      <c r="D43" s="2695">
        <f t="shared" si="28"/>
        <v>183.61041121036101</v>
      </c>
      <c r="E43" s="2695">
        <f t="shared" si="47"/>
        <v>276.66850301795557</v>
      </c>
      <c r="F43" s="2695">
        <f t="shared" si="47"/>
        <v>165.1360938278614</v>
      </c>
      <c r="G43" s="3438">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2611</v>
      </c>
      <c r="B44" s="2728">
        <f t="shared" si="46"/>
        <v>196.62341248059772</v>
      </c>
      <c r="C44" s="2728">
        <f t="shared" si="46"/>
        <v>170.99125648199012</v>
      </c>
      <c r="D44" s="2728">
        <f t="shared" si="28"/>
        <v>170.99125648199012</v>
      </c>
      <c r="E44" s="2728">
        <f t="shared" si="47"/>
        <v>266.07857570490052</v>
      </c>
      <c r="F44" s="2728">
        <f t="shared" si="47"/>
        <v>154.53499328828505</v>
      </c>
      <c r="G44" s="3439">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2612</v>
      </c>
      <c r="B45" s="2687">
        <v>188</v>
      </c>
      <c r="C45" s="2687">
        <v>165</v>
      </c>
      <c r="D45" s="2687">
        <f t="shared" si="28"/>
        <v>165</v>
      </c>
      <c r="E45" s="2687">
        <v>254</v>
      </c>
      <c r="F45" s="2688">
        <v>148</v>
      </c>
      <c r="G45" s="3437">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2613</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38">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2614</v>
      </c>
      <c r="B47" s="2695">
        <f t="shared" si="50"/>
        <v>168.82017748715555</v>
      </c>
      <c r="C47" s="2695">
        <f t="shared" si="50"/>
        <v>148.06267029972753</v>
      </c>
      <c r="D47" s="2695">
        <f t="shared" si="28"/>
        <v>148.06267029972753</v>
      </c>
      <c r="E47" s="2695">
        <f t="shared" si="51"/>
        <v>216.46288379323747</v>
      </c>
      <c r="F47" s="2695">
        <f t="shared" si="51"/>
        <v>134.23529411764704</v>
      </c>
      <c r="G47" s="3438">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2615</v>
      </c>
      <c r="B48" s="2695">
        <f t="shared" si="50"/>
        <v>163.84913591779542</v>
      </c>
      <c r="C48" s="2695">
        <f t="shared" si="50"/>
        <v>145.0283378746594</v>
      </c>
      <c r="D48" s="2695">
        <f t="shared" si="28"/>
        <v>145.0283378746594</v>
      </c>
      <c r="E48" s="2695">
        <f t="shared" si="51"/>
        <v>204.95180722891567</v>
      </c>
      <c r="F48" s="2695">
        <f t="shared" si="51"/>
        <v>125.95920303605313</v>
      </c>
      <c r="G48" s="3439">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2616</v>
      </c>
      <c r="B49" s="2709">
        <v>159</v>
      </c>
      <c r="C49" s="2709">
        <v>141</v>
      </c>
      <c r="D49" s="2709">
        <f t="shared" si="28"/>
        <v>141</v>
      </c>
      <c r="E49" s="2709">
        <v>195</v>
      </c>
      <c r="F49" s="2710">
        <v>122</v>
      </c>
      <c r="G49" s="3437">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2617</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38">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2618</v>
      </c>
      <c r="B51" s="2695">
        <f t="shared" si="54"/>
        <v>146.57412060301507</v>
      </c>
      <c r="C51" s="2695">
        <f t="shared" si="54"/>
        <v>136.46831955922866</v>
      </c>
      <c r="D51" s="2695">
        <f t="shared" si="28"/>
        <v>136.46831955922866</v>
      </c>
      <c r="E51" s="2695">
        <f t="shared" si="55"/>
        <v>166.73864894795128</v>
      </c>
      <c r="F51" s="2695">
        <f t="shared" si="55"/>
        <v>115.05882352941177</v>
      </c>
      <c r="G51" s="3438">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2619</v>
      </c>
      <c r="B52" s="2695">
        <f t="shared" si="54"/>
        <v>144.04145728643215</v>
      </c>
      <c r="C52" s="2695">
        <f t="shared" si="54"/>
        <v>136.12396694214877</v>
      </c>
      <c r="D52" s="2695">
        <f t="shared" si="28"/>
        <v>136.12396694214877</v>
      </c>
      <c r="E52" s="2695">
        <f t="shared" si="55"/>
        <v>158.32225913621264</v>
      </c>
      <c r="F52" s="2695">
        <f t="shared" si="55"/>
        <v>114.04278074866311</v>
      </c>
      <c r="G52" s="3439">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2620</v>
      </c>
      <c r="B53" s="2709">
        <v>138</v>
      </c>
      <c r="C53" s="2709">
        <v>131</v>
      </c>
      <c r="D53" s="2709">
        <f t="shared" si="28"/>
        <v>131</v>
      </c>
      <c r="E53" s="2709">
        <v>155</v>
      </c>
      <c r="F53" s="2710">
        <v>114</v>
      </c>
      <c r="G53" s="3437">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2621</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38">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2622</v>
      </c>
      <c r="B55" s="2695">
        <f t="shared" si="58"/>
        <v>124.29032258064517</v>
      </c>
      <c r="C55" s="2695">
        <f t="shared" si="58"/>
        <v>123.8968609865471</v>
      </c>
      <c r="D55" s="2695">
        <f t="shared" si="28"/>
        <v>123.8968609865471</v>
      </c>
      <c r="E55" s="2695">
        <f t="shared" si="59"/>
        <v>138.00507614213197</v>
      </c>
      <c r="F55" s="2695">
        <f t="shared" si="59"/>
        <v>107.96106557377048</v>
      </c>
      <c r="G55" s="3438">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2623</v>
      </c>
      <c r="B56" s="2695">
        <f t="shared" si="58"/>
        <v>122.57204301075269</v>
      </c>
      <c r="C56" s="2695">
        <f t="shared" si="58"/>
        <v>123.4932735426009</v>
      </c>
      <c r="D56" s="2695">
        <f t="shared" si="28"/>
        <v>123.4932735426009</v>
      </c>
      <c r="E56" s="2695">
        <f t="shared" si="59"/>
        <v>129.82233502538071</v>
      </c>
      <c r="F56" s="2695">
        <f t="shared" si="59"/>
        <v>107.39446721311475</v>
      </c>
      <c r="G56" s="3439">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2624</v>
      </c>
      <c r="B57" s="2725">
        <v>121</v>
      </c>
      <c r="C57" s="2725">
        <v>122</v>
      </c>
      <c r="D57" s="2725">
        <f t="shared" si="28"/>
        <v>122</v>
      </c>
      <c r="E57" s="2725">
        <v>124</v>
      </c>
      <c r="F57" s="2726">
        <v>107</v>
      </c>
      <c r="G57" s="3437">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2625</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38">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2626</v>
      </c>
      <c r="B59" s="2695">
        <f t="shared" si="62"/>
        <v>116.99099099099099</v>
      </c>
      <c r="C59" s="2695">
        <f t="shared" si="62"/>
        <v>118.84848484848486</v>
      </c>
      <c r="D59" s="2695">
        <f t="shared" si="28"/>
        <v>118.84848484848486</v>
      </c>
      <c r="E59" s="2695">
        <f t="shared" si="63"/>
        <v>117.60960960960961</v>
      </c>
      <c r="F59" s="2695">
        <f t="shared" si="63"/>
        <v>104</v>
      </c>
      <c r="G59" s="3438">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2627</v>
      </c>
      <c r="B60" s="2728">
        <f t="shared" si="62"/>
        <v>112.48648648648648</v>
      </c>
      <c r="C60" s="2728">
        <f t="shared" si="62"/>
        <v>115.21212121212122</v>
      </c>
      <c r="D60" s="2728">
        <f t="shared" si="28"/>
        <v>115.21212121212122</v>
      </c>
      <c r="E60" s="2728">
        <f t="shared" si="63"/>
        <v>110.4024024024024</v>
      </c>
      <c r="F60" s="2728">
        <f t="shared" si="63"/>
        <v>104</v>
      </c>
      <c r="G60" s="3439">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2628</v>
      </c>
      <c r="B61" s="2746">
        <v>111</v>
      </c>
      <c r="C61" s="2746">
        <v>114</v>
      </c>
      <c r="D61" s="2746">
        <f t="shared" si="28"/>
        <v>114</v>
      </c>
      <c r="E61" s="2746">
        <v>108</v>
      </c>
      <c r="F61" s="2747">
        <v>104</v>
      </c>
      <c r="G61" s="3437">
        <v>2003</v>
      </c>
      <c r="H61" s="2736">
        <v>4</v>
      </c>
      <c r="I61" s="2748"/>
      <c r="J61" s="2748"/>
      <c r="K61" s="2748"/>
      <c r="L61" s="2748"/>
      <c r="N61" s="2749"/>
      <c r="O61" s="2748"/>
      <c r="P61" s="2748"/>
      <c r="Q61" s="2748"/>
      <c r="S61" s="2749"/>
      <c r="T61" s="2748"/>
      <c r="U61" s="2748"/>
      <c r="V61" s="2748"/>
      <c r="X61" s="2740"/>
      <c r="Y61" s="2740"/>
      <c r="Z61" s="2740"/>
    </row>
    <row r="62" spans="1:26">
      <c r="A62" s="2681" t="s">
        <v>2629</v>
      </c>
      <c r="B62" s="2750">
        <f t="shared" ref="B62:C64" si="64">B63+(B$61-B$65)/4</f>
        <v>109.75</v>
      </c>
      <c r="C62" s="2750">
        <f t="shared" si="64"/>
        <v>112.25</v>
      </c>
      <c r="D62" s="2750">
        <f t="shared" si="28"/>
        <v>112.25</v>
      </c>
      <c r="E62" s="2750">
        <f t="shared" ref="E62:F64" si="65">E63+(E$61-E$65)/4</f>
        <v>107.25</v>
      </c>
      <c r="F62" s="2750">
        <f t="shared" si="65"/>
        <v>103.5</v>
      </c>
      <c r="G62" s="3438">
        <v>2003</v>
      </c>
      <c r="H62" s="2706">
        <v>3</v>
      </c>
      <c r="I62" s="2748"/>
      <c r="J62" s="2748"/>
      <c r="K62" s="2748"/>
      <c r="L62" s="2748"/>
      <c r="X62" s="2740"/>
      <c r="Y62" s="2740"/>
      <c r="Z62" s="2740"/>
    </row>
    <row r="63" spans="1:26">
      <c r="A63" s="2681" t="s">
        <v>2630</v>
      </c>
      <c r="B63" s="2750">
        <f t="shared" si="64"/>
        <v>108.5</v>
      </c>
      <c r="C63" s="2750">
        <f t="shared" si="64"/>
        <v>110.5</v>
      </c>
      <c r="D63" s="2750">
        <f t="shared" si="28"/>
        <v>110.5</v>
      </c>
      <c r="E63" s="2750">
        <f t="shared" si="65"/>
        <v>106.5</v>
      </c>
      <c r="F63" s="2750">
        <f t="shared" si="65"/>
        <v>103</v>
      </c>
      <c r="G63" s="3438">
        <v>2003</v>
      </c>
      <c r="H63" s="2686">
        <v>2</v>
      </c>
      <c r="I63" s="2748"/>
      <c r="J63" s="2748"/>
      <c r="K63" s="2748"/>
      <c r="L63" s="2748"/>
      <c r="X63" s="2740"/>
      <c r="Y63" s="2740"/>
      <c r="Z63" s="2740"/>
    </row>
    <row r="64" spans="1:26" ht="13.5" thickBot="1">
      <c r="A64" s="2681" t="s">
        <v>2631</v>
      </c>
      <c r="B64" s="2750">
        <f t="shared" si="64"/>
        <v>107.25</v>
      </c>
      <c r="C64" s="2750">
        <f t="shared" si="64"/>
        <v>108.75</v>
      </c>
      <c r="D64" s="2750">
        <f t="shared" si="28"/>
        <v>108.75</v>
      </c>
      <c r="E64" s="2750">
        <f t="shared" si="65"/>
        <v>105.75</v>
      </c>
      <c r="F64" s="2750">
        <f t="shared" si="65"/>
        <v>102.5</v>
      </c>
      <c r="G64" s="3439">
        <v>2003</v>
      </c>
      <c r="H64" s="2751">
        <v>1</v>
      </c>
      <c r="I64" s="2748"/>
      <c r="J64" s="2748"/>
      <c r="K64" s="2748"/>
      <c r="L64" s="2748"/>
      <c r="S64" s="2690"/>
      <c r="T64" s="2691"/>
      <c r="U64" s="2691"/>
      <c r="X64" s="2740"/>
      <c r="Y64" s="2740"/>
      <c r="Z64" s="2740"/>
    </row>
    <row r="65" spans="1:26" ht="13.5" thickBot="1">
      <c r="A65" s="2681" t="s">
        <v>2632</v>
      </c>
      <c r="B65" s="2752">
        <v>106</v>
      </c>
      <c r="C65" s="2752">
        <v>107</v>
      </c>
      <c r="D65" s="2752">
        <f t="shared" si="28"/>
        <v>107</v>
      </c>
      <c r="E65" s="2752">
        <v>105</v>
      </c>
      <c r="F65" s="2753">
        <v>102</v>
      </c>
      <c r="G65" s="3437">
        <v>2002</v>
      </c>
      <c r="H65" s="2701">
        <v>4</v>
      </c>
      <c r="I65" s="2748"/>
      <c r="J65" s="2748"/>
      <c r="K65" s="2748"/>
      <c r="L65" s="2748"/>
      <c r="N65" s="2749"/>
      <c r="O65" s="2748"/>
      <c r="P65" s="2748"/>
      <c r="Q65" s="2748"/>
      <c r="S65" s="2749"/>
      <c r="T65" s="2748"/>
      <c r="U65" s="2748"/>
      <c r="V65" s="2748"/>
      <c r="X65" s="2740"/>
      <c r="Y65" s="2740"/>
      <c r="Z65" s="2740"/>
    </row>
    <row r="66" spans="1:26">
      <c r="A66" s="2681" t="s">
        <v>2633</v>
      </c>
      <c r="B66" s="2750">
        <f t="shared" ref="B66:C68" si="66">B67+(B$65-B$69)/4</f>
        <v>105</v>
      </c>
      <c r="C66" s="2750">
        <f t="shared" si="66"/>
        <v>106</v>
      </c>
      <c r="D66" s="2750">
        <f t="shared" si="28"/>
        <v>106</v>
      </c>
      <c r="E66" s="2750">
        <f t="shared" ref="E66:F68" si="67">E67+(E$65-E$69)/4</f>
        <v>104.5</v>
      </c>
      <c r="F66" s="2750">
        <f t="shared" si="67"/>
        <v>101.5</v>
      </c>
      <c r="G66" s="3438">
        <v>2002</v>
      </c>
      <c r="H66" s="2706">
        <v>3</v>
      </c>
      <c r="I66" s="2748"/>
      <c r="J66" s="2748"/>
      <c r="K66" s="2748"/>
      <c r="L66" s="2748"/>
      <c r="X66" s="2740"/>
      <c r="Y66" s="2740"/>
      <c r="Z66" s="2740"/>
    </row>
    <row r="67" spans="1:26">
      <c r="A67" s="2681" t="s">
        <v>2634</v>
      </c>
      <c r="B67" s="2750">
        <f t="shared" si="66"/>
        <v>104</v>
      </c>
      <c r="C67" s="2750">
        <f t="shared" si="66"/>
        <v>105</v>
      </c>
      <c r="D67" s="2750">
        <f t="shared" si="28"/>
        <v>105</v>
      </c>
      <c r="E67" s="2750">
        <f t="shared" si="67"/>
        <v>104</v>
      </c>
      <c r="F67" s="2750">
        <f t="shared" si="67"/>
        <v>101</v>
      </c>
      <c r="G67" s="3438">
        <v>2002</v>
      </c>
      <c r="H67" s="2686">
        <v>2</v>
      </c>
      <c r="I67" s="2748"/>
      <c r="J67" s="2748"/>
      <c r="K67" s="2748"/>
      <c r="L67" s="2748"/>
      <c r="X67" s="2740"/>
      <c r="Y67" s="2740"/>
      <c r="Z67" s="2740"/>
    </row>
    <row r="68" spans="1:26" s="2717" customFormat="1" ht="13.5" thickBot="1">
      <c r="A68" s="2713" t="s">
        <v>2635</v>
      </c>
      <c r="B68" s="2754">
        <f t="shared" si="66"/>
        <v>103</v>
      </c>
      <c r="C68" s="2754">
        <f t="shared" si="66"/>
        <v>104</v>
      </c>
      <c r="D68" s="2754">
        <f t="shared" si="28"/>
        <v>104</v>
      </c>
      <c r="E68" s="2754">
        <f t="shared" si="67"/>
        <v>103.5</v>
      </c>
      <c r="F68" s="2754">
        <f t="shared" si="67"/>
        <v>100.5</v>
      </c>
      <c r="G68" s="3439">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2636</v>
      </c>
      <c r="G71" s="2764"/>
      <c r="N71" s="2764"/>
      <c r="S71" s="2764"/>
    </row>
    <row r="72" spans="1:26" s="2763" customFormat="1">
      <c r="A72" s="2763" t="s">
        <v>2637</v>
      </c>
      <c r="G72" s="2764"/>
      <c r="N72" s="2764"/>
      <c r="S72" s="2764"/>
    </row>
    <row r="73" spans="1:26" s="2763" customFormat="1">
      <c r="A73" s="2763" t="s">
        <v>2638</v>
      </c>
      <c r="G73" s="2764"/>
      <c r="I73" s="2765"/>
      <c r="J73" s="2765"/>
      <c r="K73" s="2765"/>
      <c r="L73" s="2765"/>
      <c r="N73" s="2766"/>
      <c r="O73" s="2765"/>
      <c r="P73" s="2765"/>
      <c r="Q73" s="2765"/>
      <c r="S73" s="2766"/>
      <c r="T73" s="2765"/>
      <c r="U73" s="2765"/>
      <c r="V73" s="2765"/>
    </row>
    <row r="74" spans="1:26" s="2763" customFormat="1">
      <c r="A74" s="2763" t="s">
        <v>2639</v>
      </c>
      <c r="G74" s="2764"/>
      <c r="N74" s="2764"/>
      <c r="S74" s="2764"/>
    </row>
    <row r="81" spans="7:22" ht="13.5" thickBot="1"/>
    <row r="82" spans="7:22">
      <c r="G82" s="2689"/>
      <c r="S82" s="2767" t="s">
        <v>2640</v>
      </c>
      <c r="T82" s="2768" t="s">
        <v>2641</v>
      </c>
      <c r="U82" s="2768" t="s">
        <v>2642</v>
      </c>
      <c r="V82" s="2768" t="s">
        <v>2643</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湖北天门汉旺房地产开发有限公司：</v>
      </c>
    </row>
    <row r="4" spans="1:4" ht="37.5">
      <c r="A4" s="1792" t="str">
        <f>"受贵公司委托，我公司对"&amp;项目基本情况!K2&amp;项目基本情况!B9&amp;"进行了预评估。"</f>
        <v>受贵公司委托，我公司对湖北省天门市竟陵办事处东湖村出让国有建设用地使用权抵押价格进行了预评估。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天门市竟陵办事处东湖村出让国有建设用地使用权。根据《国有土地使用证》[天国用（2013）第5549号]，估价对象（分摊）出让国有建设用地使用权面积为28593.8平方米。根据《国有建设用地使用权出让合同》[合同编号:鄂TM-2013-168]及附件，估价对象规划建筑面积为62906.36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2946</v>
      </c>
    </row>
    <row r="14" spans="1:4" ht="37.5">
      <c r="A14" s="1792" t="str">
        <f>"根据"&amp;项目基本情况!F12&amp;"，本次评估估价对象证载（地类）用途为"&amp;项目基本情况!B12&amp;"。"</f>
        <v>根据《国有土地使用证》[天国用（2013）第5549号]，本次评估估价对象证载（地类）用途为住宅、商业。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2013）第5549号]，估价对象（分摊）出让国有建设用地使用权面积为28593.8平方米。根据《国有建设用地使用权出让合同》[合同编号:鄂TM-2013-168]及附件，估价对象规划建筑面积为62906.36平方米。</v>
      </c>
    </row>
    <row r="21" spans="1:1" ht="18.75">
      <c r="A21" s="1792" t="s">
        <v>2076</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天国用（2013）第5549号]证载土地终止日期为住宅2084年2月28日、商业2054年2月28日。截至估价期日，出让国有建设用地使用权剩余土地使用年限为住宅66.31年、商业36.29年。</v>
      </c>
    </row>
    <row r="23" spans="1:1" ht="18.75">
      <c r="A23" s="1792" t="str">
        <f>IF(项目基本情况!B16="出让","本次评估设定估价对象剩余土地使用年限为"&amp;项目基本情况!D20&amp;"。","")</f>
        <v>本次评估设定估价对象剩余土地使用年限为住宅66.31年、商业36.29年。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2475</v>
      </c>
      <c r="B1" s="3448"/>
      <c r="C1" s="3449"/>
      <c r="D1" s="3450">
        <f>SUM(I10,I15,I20,I21,I23)</f>
        <v>0</v>
      </c>
      <c r="E1" s="3450"/>
      <c r="F1" s="3450"/>
      <c r="G1" s="3450"/>
      <c r="H1" s="3450"/>
      <c r="I1" s="3451"/>
    </row>
    <row r="2" spans="1:9">
      <c r="A2" s="3452" t="s">
        <v>2476</v>
      </c>
      <c r="B2" s="3453" t="s">
        <v>2477</v>
      </c>
      <c r="C2" s="3453"/>
      <c r="D2" s="2532" t="s">
        <v>2478</v>
      </c>
      <c r="E2" s="2532" t="s">
        <v>2479</v>
      </c>
      <c r="F2" s="2532" t="s">
        <v>2480</v>
      </c>
      <c r="G2" s="2532" t="s">
        <v>2481</v>
      </c>
      <c r="H2" s="2532" t="s">
        <v>2482</v>
      </c>
      <c r="I2" s="2533" t="s">
        <v>2483</v>
      </c>
    </row>
    <row r="3" spans="1:9">
      <c r="A3" s="3452"/>
      <c r="B3" s="3453" t="s">
        <v>2484</v>
      </c>
      <c r="C3" s="3453"/>
      <c r="D3" s="2534"/>
      <c r="E3" s="2532"/>
      <c r="F3" s="2535"/>
      <c r="G3" s="2535"/>
      <c r="H3" s="2536"/>
      <c r="I3" s="2537">
        <f>ROUND(D3*E3*F3*G3*H3/10000,0)</f>
        <v>0</v>
      </c>
    </row>
    <row r="4" spans="1:9">
      <c r="A4" s="3452"/>
      <c r="B4" s="3453" t="s">
        <v>2485</v>
      </c>
      <c r="C4" s="3453"/>
      <c r="D4" s="2534"/>
      <c r="E4" s="2532"/>
      <c r="F4" s="2535"/>
      <c r="G4" s="2535"/>
      <c r="H4" s="2536"/>
      <c r="I4" s="2537">
        <f t="shared" ref="I4:I9" si="0">ROUND(D4*E4*F4*G4*H4/10000,0)</f>
        <v>0</v>
      </c>
    </row>
    <row r="5" spans="1:9">
      <c r="A5" s="3452"/>
      <c r="B5" s="3453" t="s">
        <v>2486</v>
      </c>
      <c r="C5" s="3453"/>
      <c r="D5" s="2534"/>
      <c r="E5" s="2532"/>
      <c r="F5" s="2535"/>
      <c r="G5" s="2535"/>
      <c r="H5" s="2536"/>
      <c r="I5" s="2537">
        <f t="shared" si="0"/>
        <v>0</v>
      </c>
    </row>
    <row r="6" spans="1:9">
      <c r="A6" s="3452"/>
      <c r="B6" s="3453" t="s">
        <v>2487</v>
      </c>
      <c r="C6" s="3453"/>
      <c r="D6" s="2534"/>
      <c r="E6" s="2532"/>
      <c r="F6" s="2535"/>
      <c r="G6" s="2535"/>
      <c r="H6" s="2536"/>
      <c r="I6" s="2537">
        <f t="shared" si="0"/>
        <v>0</v>
      </c>
    </row>
    <row r="7" spans="1:9">
      <c r="A7" s="3452"/>
      <c r="B7" s="3453" t="s">
        <v>2488</v>
      </c>
      <c r="C7" s="3453"/>
      <c r="D7" s="2534"/>
      <c r="E7" s="2532"/>
      <c r="F7" s="2535"/>
      <c r="G7" s="2535"/>
      <c r="H7" s="2536"/>
      <c r="I7" s="2537">
        <f t="shared" si="0"/>
        <v>0</v>
      </c>
    </row>
    <row r="8" spans="1:9">
      <c r="A8" s="3452"/>
      <c r="B8" s="3453" t="s">
        <v>2489</v>
      </c>
      <c r="C8" s="3453"/>
      <c r="D8" s="2534"/>
      <c r="E8" s="2532"/>
      <c r="F8" s="2535"/>
      <c r="G8" s="2535"/>
      <c r="H8" s="2536"/>
      <c r="I8" s="2537">
        <f t="shared" si="0"/>
        <v>0</v>
      </c>
    </row>
    <row r="9" spans="1:9">
      <c r="A9" s="3452"/>
      <c r="B9" s="3453" t="s">
        <v>2490</v>
      </c>
      <c r="C9" s="3453"/>
      <c r="D9" s="2534"/>
      <c r="E9" s="2532"/>
      <c r="F9" s="2535"/>
      <c r="G9" s="2535"/>
      <c r="H9" s="2536"/>
      <c r="I9" s="2537">
        <f t="shared" si="0"/>
        <v>0</v>
      </c>
    </row>
    <row r="10" spans="1:9">
      <c r="A10" s="3452"/>
      <c r="B10" s="3454" t="s">
        <v>2491</v>
      </c>
      <c r="C10" s="3454"/>
      <c r="D10" s="2538">
        <v>527</v>
      </c>
      <c r="E10" s="2538" t="e">
        <f>ROUND(D1*10000/D10/H9,0)</f>
        <v>#DIV/0!</v>
      </c>
      <c r="F10" s="2539"/>
      <c r="G10" s="2539"/>
      <c r="H10" s="2540"/>
      <c r="I10" s="2541">
        <f>SUM(I3:I9)</f>
        <v>0</v>
      </c>
    </row>
    <row r="11" spans="1:9" ht="14.25">
      <c r="A11" s="3452" t="s">
        <v>2492</v>
      </c>
      <c r="B11" s="3453" t="s">
        <v>2493</v>
      </c>
      <c r="C11" s="3453"/>
      <c r="D11" s="2534" t="s">
        <v>2494</v>
      </c>
      <c r="E11" s="2534" t="s">
        <v>2495</v>
      </c>
      <c r="F11" s="2535" t="s">
        <v>2496</v>
      </c>
      <c r="G11" s="2535" t="s">
        <v>2497</v>
      </c>
      <c r="H11" s="2542" t="s">
        <v>2498</v>
      </c>
      <c r="I11" s="2533" t="s">
        <v>2499</v>
      </c>
    </row>
    <row r="12" spans="1:9">
      <c r="A12" s="3452"/>
      <c r="B12" s="3453" t="s">
        <v>2500</v>
      </c>
      <c r="C12" s="3453"/>
      <c r="D12" s="2534"/>
      <c r="E12" s="2534"/>
      <c r="F12" s="2535"/>
      <c r="G12" s="2536"/>
      <c r="H12" s="2543"/>
      <c r="I12" s="2533">
        <f>ROUND(D12*E12*F12*G12/10000,0)</f>
        <v>0</v>
      </c>
    </row>
    <row r="13" spans="1:9">
      <c r="A13" s="3452"/>
      <c r="B13" s="3453" t="s">
        <v>2501</v>
      </c>
      <c r="C13" s="3453"/>
      <c r="D13" s="2534"/>
      <c r="E13" s="2534"/>
      <c r="F13" s="2535"/>
      <c r="G13" s="2536"/>
      <c r="H13" s="2543"/>
      <c r="I13" s="2533">
        <f>ROUND(D13*E13*F13*G13/10000,0)</f>
        <v>0</v>
      </c>
    </row>
    <row r="14" spans="1:9">
      <c r="A14" s="3452"/>
      <c r="B14" s="3453" t="s">
        <v>2502</v>
      </c>
      <c r="C14" s="3453"/>
      <c r="D14" s="2534"/>
      <c r="E14" s="2534"/>
      <c r="F14" s="2535"/>
      <c r="G14" s="2536"/>
      <c r="H14" s="2543"/>
      <c r="I14" s="2533">
        <f>ROUND(D14*E14*F14*G14/10000,0)</f>
        <v>0</v>
      </c>
    </row>
    <row r="15" spans="1:9">
      <c r="A15" s="3452"/>
      <c r="B15" s="3454" t="s">
        <v>2491</v>
      </c>
      <c r="C15" s="3454"/>
      <c r="D15" s="2538"/>
      <c r="E15" s="2538">
        <f>SUM(E12:E14)</f>
        <v>0</v>
      </c>
      <c r="F15" s="2539"/>
      <c r="G15" s="2536"/>
      <c r="H15" s="2543"/>
      <c r="I15" s="2544">
        <f>SUM(I12:I14)</f>
        <v>0</v>
      </c>
    </row>
    <row r="16" spans="1:9" ht="24">
      <c r="A16" s="3452" t="s">
        <v>2503</v>
      </c>
      <c r="B16" s="3453" t="s">
        <v>2504</v>
      </c>
      <c r="C16" s="3453"/>
      <c r="D16" s="2534" t="s">
        <v>2505</v>
      </c>
      <c r="E16" s="2545" t="s">
        <v>2506</v>
      </c>
      <c r="F16" s="2535" t="s">
        <v>2507</v>
      </c>
      <c r="G16" s="2536" t="s">
        <v>2497</v>
      </c>
      <c r="H16" s="2542" t="s">
        <v>2498</v>
      </c>
      <c r="I16" s="2533" t="s">
        <v>2499</v>
      </c>
    </row>
    <row r="17" spans="1:9" ht="14.25">
      <c r="A17" s="3452"/>
      <c r="B17" s="3453" t="s">
        <v>2508</v>
      </c>
      <c r="C17" s="3453"/>
      <c r="D17" s="2534"/>
      <c r="E17" s="2534"/>
      <c r="F17" s="2535"/>
      <c r="G17" s="2536"/>
      <c r="H17" s="2546"/>
      <c r="I17" s="2547">
        <f>ROUND(D17*E17*F17*G17/10000,0)</f>
        <v>0</v>
      </c>
    </row>
    <row r="18" spans="1:9" ht="14.25">
      <c r="A18" s="3452"/>
      <c r="B18" s="3453" t="s">
        <v>2509</v>
      </c>
      <c r="C18" s="3453"/>
      <c r="D18" s="2534"/>
      <c r="E18" s="2534"/>
      <c r="F18" s="2535"/>
      <c r="G18" s="2536"/>
      <c r="H18" s="2546"/>
      <c r="I18" s="2547">
        <f>ROUND(D18*E18*F18*G18/10000,0)</f>
        <v>0</v>
      </c>
    </row>
    <row r="19" spans="1:9" ht="14.25">
      <c r="A19" s="3452"/>
      <c r="B19" s="3453" t="s">
        <v>2510</v>
      </c>
      <c r="C19" s="3453"/>
      <c r="D19" s="2534"/>
      <c r="E19" s="2534"/>
      <c r="F19" s="2535"/>
      <c r="G19" s="2536"/>
      <c r="H19" s="2546"/>
      <c r="I19" s="2547">
        <f>ROUND(D19*E19*F19*G19/10000,0)</f>
        <v>0</v>
      </c>
    </row>
    <row r="20" spans="1:9">
      <c r="A20" s="3452"/>
      <c r="B20" s="3454" t="s">
        <v>2491</v>
      </c>
      <c r="C20" s="3454"/>
      <c r="D20" s="2538">
        <f>SUM(D17:D19)</f>
        <v>0</v>
      </c>
      <c r="E20" s="2538"/>
      <c r="F20" s="2539"/>
      <c r="G20" s="2536"/>
      <c r="H20" s="2543"/>
      <c r="I20" s="2544">
        <f>SUM(I17:I19)</f>
        <v>0</v>
      </c>
    </row>
    <row r="21" spans="1:9">
      <c r="A21" s="3452" t="s">
        <v>2511</v>
      </c>
      <c r="B21" s="3456"/>
      <c r="C21" s="3456"/>
      <c r="D21" s="3456"/>
      <c r="E21" s="3456"/>
      <c r="F21" s="3456"/>
      <c r="G21" s="3456"/>
      <c r="H21" s="2548">
        <v>0.1</v>
      </c>
      <c r="I21" s="2541">
        <f>ROUND(I10*H21,0)</f>
        <v>0</v>
      </c>
    </row>
    <row r="22" spans="1:9" ht="14.25">
      <c r="A22" s="3457" t="s">
        <v>2512</v>
      </c>
      <c r="B22" s="3458"/>
      <c r="C22" s="3459"/>
      <c r="D22" s="2549" t="s">
        <v>2513</v>
      </c>
      <c r="E22" s="2549" t="s">
        <v>2514</v>
      </c>
      <c r="F22" s="2550" t="s">
        <v>2515</v>
      </c>
      <c r="G22" s="2550" t="s">
        <v>2516</v>
      </c>
      <c r="H22" s="2542" t="s">
        <v>2517</v>
      </c>
      <c r="I22" s="2533" t="s">
        <v>2518</v>
      </c>
    </row>
    <row r="23" spans="1:9" ht="14.25" thickBot="1">
      <c r="A23" s="3460"/>
      <c r="B23" s="3461"/>
      <c r="C23" s="3462"/>
      <c r="D23" s="2551"/>
      <c r="E23" s="2551"/>
      <c r="F23" s="2551"/>
      <c r="G23" s="2552"/>
      <c r="H23" s="2553"/>
      <c r="I23" s="2554">
        <f>ROUND(E23*D23*F23*(1-G23)/10000,0)</f>
        <v>0</v>
      </c>
    </row>
    <row r="26" spans="1:9">
      <c r="A26" s="2555" t="s">
        <v>2519</v>
      </c>
      <c r="B26" s="2555"/>
      <c r="C26" s="2555"/>
      <c r="D26" s="2555"/>
      <c r="E26" s="3463">
        <f>C27-C30-C31-C32</f>
        <v>0</v>
      </c>
      <c r="F26" s="3463"/>
      <c r="G26" s="3463"/>
      <c r="H26" s="3071" t="s">
        <v>2849</v>
      </c>
    </row>
    <row r="27" spans="1:9">
      <c r="A27" s="2556">
        <v>1</v>
      </c>
      <c r="B27" s="2557" t="s">
        <v>2520</v>
      </c>
      <c r="C27" s="2557"/>
      <c r="D27" s="2557"/>
      <c r="E27" s="3464"/>
      <c r="F27" s="3464"/>
      <c r="G27" s="3464"/>
    </row>
    <row r="28" spans="1:9">
      <c r="A28" s="2558" t="s">
        <v>2521</v>
      </c>
      <c r="B28" s="2557" t="s">
        <v>2522</v>
      </c>
      <c r="C28" s="2557"/>
      <c r="D28" s="2557"/>
      <c r="E28" s="3464"/>
      <c r="F28" s="3464"/>
      <c r="G28" s="3464"/>
    </row>
    <row r="29" spans="1:9">
      <c r="A29" s="2558" t="s">
        <v>2523</v>
      </c>
      <c r="B29" s="2557" t="s">
        <v>2463</v>
      </c>
      <c r="C29" s="2557"/>
      <c r="D29" s="2557"/>
      <c r="E29" s="2557" t="s">
        <v>2524</v>
      </c>
      <c r="F29" s="2557"/>
      <c r="G29" s="2557"/>
    </row>
    <row r="30" spans="1:9">
      <c r="A30" s="2556">
        <v>2</v>
      </c>
      <c r="B30" s="2557" t="s">
        <v>2525</v>
      </c>
      <c r="C30" s="2557">
        <f>C27*D30</f>
        <v>0</v>
      </c>
      <c r="D30" s="2559">
        <v>0.2</v>
      </c>
      <c r="E30" s="2557" t="s">
        <v>2526</v>
      </c>
      <c r="F30" s="2557"/>
      <c r="G30" s="2557"/>
    </row>
    <row r="31" spans="1:9">
      <c r="A31" s="2556">
        <v>3</v>
      </c>
      <c r="B31" s="2557" t="s">
        <v>2527</v>
      </c>
      <c r="C31" s="2557">
        <f>C25*D31</f>
        <v>0</v>
      </c>
      <c r="D31" s="2559">
        <v>0.15</v>
      </c>
      <c r="E31" s="2557" t="s">
        <v>2528</v>
      </c>
      <c r="F31" s="2557"/>
      <c r="G31" s="2557"/>
    </row>
    <row r="32" spans="1:9">
      <c r="A32" s="2556">
        <v>4</v>
      </c>
      <c r="B32" s="2557" t="s">
        <v>2529</v>
      </c>
      <c r="C32" s="2557">
        <f>C27*D32</f>
        <v>0</v>
      </c>
      <c r="D32" s="2559">
        <v>0.05</v>
      </c>
      <c r="E32" s="3455"/>
      <c r="F32" s="3455"/>
      <c r="G32" s="3455"/>
    </row>
    <row r="33" spans="1:7" hidden="1">
      <c r="A33" s="3465" t="s">
        <v>2530</v>
      </c>
      <c r="B33" s="3466"/>
      <c r="C33" s="3466"/>
      <c r="D33" s="3467"/>
      <c r="E33" s="3463"/>
      <c r="F33" s="3463"/>
      <c r="G33" s="3463"/>
    </row>
    <row r="34" spans="1:7" hidden="1">
      <c r="A34" s="2560">
        <v>1</v>
      </c>
      <c r="B34" s="2557" t="s">
        <v>2531</v>
      </c>
      <c r="C34" s="2557"/>
      <c r="D34" s="2557"/>
      <c r="E34" s="3464"/>
      <c r="F34" s="3464"/>
      <c r="G34" s="3464"/>
    </row>
    <row r="35" spans="1:7" hidden="1">
      <c r="A35" s="2560">
        <v>2</v>
      </c>
      <c r="B35" s="2557" t="s">
        <v>2532</v>
      </c>
      <c r="C35" s="2557"/>
      <c r="D35" s="2557"/>
      <c r="E35" s="3464"/>
      <c r="F35" s="3464"/>
      <c r="G35" s="3464"/>
    </row>
    <row r="36" spans="1:7" hidden="1">
      <c r="A36" s="2560">
        <v>3</v>
      </c>
      <c r="B36" s="2557" t="s">
        <v>2533</v>
      </c>
      <c r="C36" s="2557"/>
      <c r="D36" s="2557"/>
      <c r="E36" s="3464"/>
      <c r="F36" s="3464"/>
      <c r="G36" s="3464"/>
    </row>
    <row r="37" spans="1:7" hidden="1">
      <c r="A37" s="2560">
        <v>4</v>
      </c>
      <c r="B37" s="2557" t="s">
        <v>2534</v>
      </c>
      <c r="C37" s="2557"/>
      <c r="D37" s="2557"/>
      <c r="E37" s="3464"/>
      <c r="F37" s="3464"/>
      <c r="G37" s="3464"/>
    </row>
    <row r="38" spans="1:7" hidden="1">
      <c r="A38" s="3465" t="s">
        <v>2535</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2442</v>
      </c>
      <c r="B8" s="2497" t="s">
        <v>2444</v>
      </c>
      <c r="C8" s="2498"/>
      <c r="D8" s="749"/>
      <c r="E8" s="750"/>
      <c r="F8" s="750"/>
      <c r="G8" s="751"/>
    </row>
    <row r="9" spans="1:25" s="2184" customFormat="1" ht="13.5" customHeight="1">
      <c r="A9" s="2494" t="s">
        <v>2443</v>
      </c>
      <c r="B9" s="2497" t="s">
        <v>2445</v>
      </c>
      <c r="C9" s="2498"/>
      <c r="D9" s="749"/>
      <c r="E9" s="750"/>
      <c r="F9" s="750"/>
      <c r="G9" s="751"/>
    </row>
    <row r="10" spans="1:25" s="2184" customFormat="1" ht="36">
      <c r="A10" s="2494">
        <v>2</v>
      </c>
      <c r="B10" s="748" t="s">
        <v>614</v>
      </c>
      <c r="C10" s="749">
        <f>C11+C14+C15</f>
        <v>0</v>
      </c>
      <c r="D10" s="760">
        <f>'数据-汇总表'!E3</f>
        <v>62906.36</v>
      </c>
      <c r="E10" s="749">
        <f>'数据-取费表'!B31</f>
        <v>150</v>
      </c>
      <c r="F10" s="761"/>
      <c r="G10" s="759" t="s">
        <v>615</v>
      </c>
    </row>
    <row r="11" spans="1:25" s="2184" customFormat="1" ht="13.5" customHeight="1">
      <c r="A11" s="2494" t="s">
        <v>2442</v>
      </c>
      <c r="B11" s="752" t="s">
        <v>611</v>
      </c>
      <c r="C11" s="753">
        <f>'数据-取费表'!B29</f>
        <v>0</v>
      </c>
      <c r="D11" s="754"/>
      <c r="E11" s="753"/>
      <c r="F11" s="755"/>
      <c r="G11" s="2503" t="s">
        <v>2453</v>
      </c>
    </row>
    <row r="12" spans="1:25" s="2184" customFormat="1" ht="13.5" customHeight="1">
      <c r="A12" s="2501" t="s">
        <v>2450</v>
      </c>
      <c r="B12" s="756" t="s">
        <v>612</v>
      </c>
      <c r="C12" s="757">
        <f>ROUND(D12*E12/10000,0)</f>
        <v>170</v>
      </c>
      <c r="D12" s="758">
        <f>'数据-汇总表'!E5</f>
        <v>56615.72</v>
      </c>
      <c r="E12" s="757">
        <f>'数据-取费表'!B27</f>
        <v>30</v>
      </c>
      <c r="F12" s="755"/>
      <c r="G12" s="759"/>
    </row>
    <row r="13" spans="1:25" s="2184" customFormat="1" ht="13.5" customHeight="1">
      <c r="A13" s="2501" t="s">
        <v>2449</v>
      </c>
      <c r="B13" s="756" t="s">
        <v>613</v>
      </c>
      <c r="C13" s="757">
        <f>ROUND(D13*E13/10000,0)</f>
        <v>19</v>
      </c>
      <c r="D13" s="758">
        <f>'数据-汇总表'!E6</f>
        <v>6290.6399999999994</v>
      </c>
      <c r="E13" s="757">
        <f>'数据-取费表'!B28</f>
        <v>30</v>
      </c>
      <c r="F13" s="755"/>
      <c r="G13" s="759"/>
    </row>
    <row r="14" spans="1:25" s="2184" customFormat="1" ht="13.5" customHeight="1">
      <c r="A14" s="2494" t="s">
        <v>2443</v>
      </c>
      <c r="B14" s="2500" t="s">
        <v>2446</v>
      </c>
      <c r="C14" s="2498"/>
      <c r="D14" s="758"/>
      <c r="E14" s="757"/>
      <c r="F14" s="2499"/>
      <c r="G14" s="2502" t="s">
        <v>2451</v>
      </c>
    </row>
    <row r="15" spans="1:25" s="2184" customFormat="1" ht="13.5" customHeight="1">
      <c r="A15" s="2494" t="s">
        <v>2448</v>
      </c>
      <c r="B15" s="2500" t="s">
        <v>2447</v>
      </c>
      <c r="C15" s="2498"/>
      <c r="D15" s="758"/>
      <c r="E15" s="757"/>
      <c r="F15" s="2499"/>
      <c r="G15" s="2502" t="s">
        <v>2452</v>
      </c>
    </row>
    <row r="16" spans="1:25" s="2185" customFormat="1" ht="48">
      <c r="A16" s="2494">
        <v>3</v>
      </c>
      <c r="B16" s="748" t="s">
        <v>616</v>
      </c>
      <c r="C16" s="2498"/>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0.21</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0.90900000000000003</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4" zoomScale="80" zoomScaleNormal="80" workbookViewId="0">
      <selection activeCell="C48" sqref="C48"/>
    </sheetView>
  </sheetViews>
  <sheetFormatPr defaultRowHeight="14.25"/>
  <cols>
    <col min="1" max="1" width="10.5" style="1337" customWidth="1"/>
    <col min="2" max="2" width="15.75" style="1337" customWidth="1"/>
    <col min="3" max="3" width="15.125" style="1337" customWidth="1"/>
    <col min="4" max="4" width="12.25" style="1337" customWidth="1"/>
    <col min="5" max="5" width="16.125" style="1337" customWidth="1"/>
    <col min="6" max="6" width="12.25" style="1337" customWidth="1"/>
    <col min="7" max="7" width="16.375" style="1337" customWidth="1"/>
    <col min="8" max="8" width="12.25" style="1337" customWidth="1"/>
    <col min="9" max="9" width="15.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924</v>
      </c>
      <c r="E1" s="2651"/>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25244</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4458.8999999999996</v>
      </c>
      <c r="C3" s="852" t="s">
        <v>723</v>
      </c>
      <c r="D3" s="851">
        <f>SUMIF('数据-汇总表'!$C19:$C33,D1,'数据-汇总表'!$E19:$E33)</f>
        <v>56615.72</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361" t="s">
        <v>523</v>
      </c>
      <c r="D4" s="3362"/>
      <c r="E4" s="3398" t="s">
        <v>524</v>
      </c>
      <c r="F4" s="3399"/>
      <c r="G4" s="3361" t="s">
        <v>525</v>
      </c>
      <c r="H4" s="3362"/>
      <c r="I4" s="3361" t="s">
        <v>526</v>
      </c>
      <c r="J4" s="3362"/>
      <c r="K4" s="853" t="s">
        <v>527</v>
      </c>
      <c r="L4" s="2134"/>
      <c r="M4" s="2135"/>
      <c r="N4" s="2135"/>
      <c r="O4" s="2135"/>
      <c r="P4" s="3363" t="s">
        <v>528</v>
      </c>
      <c r="Q4" s="3364"/>
      <c r="R4" s="3369" t="s">
        <v>524</v>
      </c>
      <c r="S4" s="3370"/>
      <c r="T4" s="3369" t="s">
        <v>525</v>
      </c>
      <c r="U4" s="3370"/>
      <c r="V4" s="3356" t="s">
        <v>526</v>
      </c>
      <c r="W4" s="3356"/>
      <c r="X4" s="1568"/>
      <c r="Y4" s="3369" t="s">
        <v>528</v>
      </c>
      <c r="Z4" s="3370"/>
      <c r="AA4" s="3358" t="s">
        <v>524</v>
      </c>
      <c r="AB4" s="3358" t="s">
        <v>525</v>
      </c>
      <c r="AC4" s="3358" t="s">
        <v>526</v>
      </c>
    </row>
    <row r="5" spans="1:29" ht="15">
      <c r="A5" s="515"/>
      <c r="B5" s="516"/>
      <c r="C5" s="3379" t="s">
        <v>2932</v>
      </c>
      <c r="D5" s="3378"/>
      <c r="E5" s="3472" t="s">
        <v>3088</v>
      </c>
      <c r="F5" s="3401"/>
      <c r="G5" s="3377" t="s">
        <v>3089</v>
      </c>
      <c r="H5" s="3378"/>
      <c r="I5" s="3377" t="s">
        <v>3090</v>
      </c>
      <c r="J5" s="3378"/>
      <c r="K5" s="85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471" t="s">
        <v>3091</v>
      </c>
      <c r="F6" s="3397"/>
      <c r="G6" s="3375" t="s">
        <v>3092</v>
      </c>
      <c r="H6" s="3376"/>
      <c r="I6" s="3375" t="s">
        <v>3093</v>
      </c>
      <c r="J6" s="3376"/>
      <c r="K6" s="85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f>C7</f>
        <v>43061</v>
      </c>
      <c r="F7" s="522">
        <f>SUMIF(58:58,YEAR(E7)&amp;"-"&amp;MONTH(E7),59:59)</f>
        <v>100</v>
      </c>
      <c r="G7" s="523">
        <f>C7</f>
        <v>43061</v>
      </c>
      <c r="H7" s="520">
        <f>SUMIF(58:58,YEAR(G7)&amp;"-"&amp;MONTH(G7),59:59)</f>
        <v>100</v>
      </c>
      <c r="I7" s="523">
        <f>C7</f>
        <v>43061</v>
      </c>
      <c r="J7" s="520">
        <f>SUMIF(58:58,YEAR(I7)&amp;"-"&amp;MONTH(I7),59:59)</f>
        <v>100</v>
      </c>
      <c r="K7" s="855"/>
      <c r="L7" s="2136"/>
      <c r="M7" s="2137"/>
      <c r="N7" s="2137"/>
      <c r="O7" s="2137"/>
      <c r="P7" s="3388" t="s">
        <v>531</v>
      </c>
      <c r="Q7" s="3390"/>
      <c r="R7" s="1569" t="s">
        <v>13</v>
      </c>
      <c r="S7" s="1570">
        <f t="shared" ref="S7:S15" si="0">F7</f>
        <v>100</v>
      </c>
      <c r="T7" s="1569" t="s">
        <v>13</v>
      </c>
      <c r="U7" s="1570">
        <f t="shared" ref="U7:U15" si="1">H7</f>
        <v>100</v>
      </c>
      <c r="V7" s="1569" t="s">
        <v>13</v>
      </c>
      <c r="W7" s="1570">
        <f t="shared" ref="W7:W15" si="2">J7</f>
        <v>100</v>
      </c>
      <c r="X7" s="1571"/>
      <c r="Y7" s="3388" t="s">
        <v>531</v>
      </c>
      <c r="Z7" s="3389"/>
      <c r="AA7" s="1572">
        <f>D7/F7</f>
        <v>1</v>
      </c>
      <c r="AB7" s="1572">
        <f>D7/H7</f>
        <v>1</v>
      </c>
      <c r="AC7" s="1572">
        <f>D7/J7</f>
        <v>1</v>
      </c>
    </row>
    <row r="8" spans="1:29" s="1220" customFormat="1" ht="15.75" thickBot="1">
      <c r="A8" s="2940"/>
      <c r="B8" s="2947" t="s">
        <v>532</v>
      </c>
      <c r="C8" s="525" t="s">
        <v>577</v>
      </c>
      <c r="D8" s="520">
        <v>100</v>
      </c>
      <c r="E8" s="856" t="s">
        <v>3008</v>
      </c>
      <c r="F8" s="522">
        <f>SUMIF(61:61,E8,62:62)-SUMIF(61:61,C8,62:62)+100</f>
        <v>100</v>
      </c>
      <c r="G8" s="525" t="s">
        <v>3008</v>
      </c>
      <c r="H8" s="520">
        <f>SUMIF(61:61,G8,62:62)-SUMIF(61:61,C8,62:62)+100</f>
        <v>100</v>
      </c>
      <c r="I8" s="856" t="s">
        <v>3008</v>
      </c>
      <c r="J8" s="520">
        <f>SUMIF(61:61,I8,62:62)-SUMIF(61:61,C8,62:62)+100</f>
        <v>100</v>
      </c>
      <c r="K8" s="855"/>
      <c r="L8" s="2136"/>
      <c r="M8" s="2137"/>
      <c r="N8" s="2137"/>
      <c r="O8" s="2137"/>
      <c r="P8" s="3388" t="s">
        <v>534</v>
      </c>
      <c r="Q8" s="3389"/>
      <c r="R8" s="1569" t="s">
        <v>13</v>
      </c>
      <c r="S8" s="1570">
        <f t="shared" si="0"/>
        <v>100</v>
      </c>
      <c r="T8" s="1569" t="s">
        <v>13</v>
      </c>
      <c r="U8" s="1570">
        <f t="shared" si="1"/>
        <v>100</v>
      </c>
      <c r="V8" s="1569" t="s">
        <v>13</v>
      </c>
      <c r="W8" s="1570">
        <f t="shared" si="2"/>
        <v>100</v>
      </c>
      <c r="X8" s="1571"/>
      <c r="Y8" s="3388" t="s">
        <v>534</v>
      </c>
      <c r="Z8" s="3389"/>
      <c r="AA8" s="1572">
        <f t="shared" ref="AA8:AA46" si="3">D8/F8</f>
        <v>1</v>
      </c>
      <c r="AB8" s="1572">
        <f t="shared" ref="AB8:AB46" si="4">D8/H8</f>
        <v>1</v>
      </c>
      <c r="AC8" s="1572">
        <f t="shared" ref="AC8:AC46" si="5">D8/J8</f>
        <v>1</v>
      </c>
    </row>
    <row r="9" spans="1:29" s="1220" customFormat="1" ht="15">
      <c r="A9" s="2941"/>
      <c r="B9" s="2948" t="s">
        <v>2762</v>
      </c>
      <c r="C9" s="3186" t="s">
        <v>3078</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t="s">
        <v>3079</v>
      </c>
      <c r="D10" s="255">
        <v>100</v>
      </c>
      <c r="E10" s="862" t="s">
        <v>3079</v>
      </c>
      <c r="F10" s="863">
        <f>SUMIF(65:65,E10,66:66)-SUMIF(65:65,C10,66:66)+100</f>
        <v>100</v>
      </c>
      <c r="G10" s="861" t="s">
        <v>3079</v>
      </c>
      <c r="H10" s="255">
        <f>SUMIF(65:65,G10,66:66)-SUMIF(65:65,C10,66:66)+100</f>
        <v>100</v>
      </c>
      <c r="I10" s="861" t="s">
        <v>3079</v>
      </c>
      <c r="J10" s="255">
        <f>SUMIF(65:65,I10,66:66)-SUMIF(65:65,C10,66:66)+100</f>
        <v>100</v>
      </c>
      <c r="K10" s="86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75" thickBot="1">
      <c r="A11" s="2943"/>
      <c r="B11" s="2947" t="s">
        <v>2764</v>
      </c>
      <c r="C11" s="533">
        <v>2.2000000000000002</v>
      </c>
      <c r="D11" s="255">
        <v>100</v>
      </c>
      <c r="E11" s="534">
        <v>4.5</v>
      </c>
      <c r="F11" s="863">
        <f>LOOKUP(E11,68:68,69:69)-LOOKUP(C11,68:68,69:69)+100</f>
        <v>98</v>
      </c>
      <c r="G11" s="533">
        <v>2</v>
      </c>
      <c r="H11" s="255">
        <f>LOOKUP(G11,68:68,69:69)-LOOKUP(C11,68:68,69:69)+100</f>
        <v>100</v>
      </c>
      <c r="I11" s="533">
        <v>4</v>
      </c>
      <c r="J11" s="255">
        <f>LOOKUP(I11,68:68,69:69)-LOOKUP(C11,68:68,69:69)+100</f>
        <v>98</v>
      </c>
      <c r="K11" s="864">
        <v>2</v>
      </c>
      <c r="L11" s="2141"/>
      <c r="M11" s="2135"/>
      <c r="N11" s="2135"/>
      <c r="O11" s="2142"/>
      <c r="P11" s="3355"/>
      <c r="Q11" s="1151" t="str">
        <f t="shared" si="6"/>
        <v>容积率</v>
      </c>
      <c r="R11" s="1569" t="s">
        <v>11</v>
      </c>
      <c r="S11" s="1570">
        <f t="shared" si="0"/>
        <v>98</v>
      </c>
      <c r="T11" s="1569" t="s">
        <v>11</v>
      </c>
      <c r="U11" s="1570">
        <f t="shared" si="1"/>
        <v>100</v>
      </c>
      <c r="V11" s="1569" t="s">
        <v>11</v>
      </c>
      <c r="W11" s="1570">
        <f t="shared" si="2"/>
        <v>98</v>
      </c>
      <c r="X11" s="1571"/>
      <c r="Y11" s="3301"/>
      <c r="Z11" s="1150" t="str">
        <f t="shared" si="7"/>
        <v>容积率</v>
      </c>
      <c r="AA11" s="1572">
        <f t="shared" si="3"/>
        <v>1.0204081632653061</v>
      </c>
      <c r="AB11" s="1572">
        <f t="shared" si="4"/>
        <v>1</v>
      </c>
      <c r="AC11" s="1572">
        <f t="shared" si="5"/>
        <v>1.0204081632653061</v>
      </c>
    </row>
    <row r="12" spans="1:29" s="1220" customFormat="1" ht="15" hidden="1">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5"/>
      <c r="Q12" s="1151">
        <f t="shared" si="6"/>
        <v>111</v>
      </c>
      <c r="R12" s="1569" t="s">
        <v>11</v>
      </c>
      <c r="S12" s="1570">
        <f t="shared" si="0"/>
        <v>100</v>
      </c>
      <c r="T12" s="1569" t="s">
        <v>11</v>
      </c>
      <c r="U12" s="1570">
        <f t="shared" si="1"/>
        <v>100</v>
      </c>
      <c r="V12" s="1569" t="s">
        <v>11</v>
      </c>
      <c r="W12" s="1570">
        <f t="shared" si="2"/>
        <v>100</v>
      </c>
      <c r="X12" s="1571"/>
      <c r="Y12" s="3301"/>
      <c r="Z12" s="1150">
        <f t="shared" si="7"/>
        <v>111</v>
      </c>
      <c r="AA12" s="1572">
        <f>D12/F12</f>
        <v>1</v>
      </c>
      <c r="AB12" s="1572">
        <f>D12/H12</f>
        <v>1</v>
      </c>
      <c r="AC12" s="1572">
        <f>D12/J12</f>
        <v>1</v>
      </c>
    </row>
    <row r="13" spans="1:29" ht="15" hidden="1">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5"/>
      <c r="Q13" s="1151">
        <f t="shared" si="6"/>
        <v>111</v>
      </c>
      <c r="R13" s="1569" t="s">
        <v>11</v>
      </c>
      <c r="S13" s="1570">
        <f t="shared" si="0"/>
        <v>100</v>
      </c>
      <c r="T13" s="1569" t="s">
        <v>11</v>
      </c>
      <c r="U13" s="1570">
        <f t="shared" si="1"/>
        <v>100</v>
      </c>
      <c r="V13" s="1569" t="s">
        <v>11</v>
      </c>
      <c r="W13" s="1570">
        <f t="shared" si="2"/>
        <v>100</v>
      </c>
      <c r="X13" s="1571"/>
      <c r="Y13" s="3301"/>
      <c r="Z13" s="1150">
        <f t="shared" si="7"/>
        <v>111</v>
      </c>
      <c r="AA13" s="1572">
        <f t="shared" si="3"/>
        <v>1</v>
      </c>
      <c r="AB13" s="1572">
        <f t="shared" si="4"/>
        <v>1</v>
      </c>
      <c r="AC13" s="1572">
        <f t="shared" si="5"/>
        <v>1</v>
      </c>
    </row>
    <row r="14" spans="1:29" ht="15.75" hidden="1"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5"/>
      <c r="Q14" s="1151">
        <f t="shared" si="6"/>
        <v>111</v>
      </c>
      <c r="R14" s="1569" t="s">
        <v>11</v>
      </c>
      <c r="S14" s="1570">
        <f t="shared" si="0"/>
        <v>100</v>
      </c>
      <c r="T14" s="1569" t="s">
        <v>11</v>
      </c>
      <c r="U14" s="1570">
        <f t="shared" si="1"/>
        <v>100</v>
      </c>
      <c r="V14" s="1569" t="s">
        <v>11</v>
      </c>
      <c r="W14" s="1570">
        <f t="shared" si="2"/>
        <v>100</v>
      </c>
      <c r="X14" s="1571"/>
      <c r="Y14" s="3301"/>
      <c r="Z14" s="1150">
        <f t="shared" si="7"/>
        <v>111</v>
      </c>
      <c r="AA14" s="1572">
        <f t="shared" si="3"/>
        <v>1</v>
      </c>
      <c r="AB14" s="1572">
        <f t="shared" si="4"/>
        <v>1</v>
      </c>
      <c r="AC14" s="1572">
        <f t="shared" si="5"/>
        <v>1</v>
      </c>
    </row>
    <row r="15" spans="1:29" ht="99.75">
      <c r="A15" s="2937"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1" t="s">
        <v>541</v>
      </c>
      <c r="Q15" s="1573" t="str">
        <f t="shared" si="6"/>
        <v>居住社区成熟度</v>
      </c>
      <c r="R15" s="1574" t="s">
        <v>11</v>
      </c>
      <c r="S15" s="1575">
        <f t="shared" si="0"/>
        <v>100</v>
      </c>
      <c r="T15" s="1574" t="s">
        <v>11</v>
      </c>
      <c r="U15" s="1575">
        <f t="shared" si="1"/>
        <v>100</v>
      </c>
      <c r="V15" s="1574" t="s">
        <v>11</v>
      </c>
      <c r="W15" s="1575">
        <f t="shared" si="2"/>
        <v>100</v>
      </c>
      <c r="X15" s="1568"/>
      <c r="Y15" s="3391" t="s">
        <v>541</v>
      </c>
      <c r="Z15" s="1576" t="str">
        <f t="shared" si="7"/>
        <v>居住社区成熟度</v>
      </c>
      <c r="AA15" s="1577">
        <f t="shared" si="3"/>
        <v>1</v>
      </c>
      <c r="AB15" s="1577">
        <f t="shared" si="4"/>
        <v>1</v>
      </c>
      <c r="AC15" s="1577">
        <f t="shared" si="5"/>
        <v>1</v>
      </c>
    </row>
    <row r="16" spans="1:29" ht="15">
      <c r="A16" s="532"/>
      <c r="B16" s="869"/>
      <c r="C16" s="576" t="s">
        <v>3022</v>
      </c>
      <c r="D16" s="555"/>
      <c r="E16" s="556" t="s">
        <v>3022</v>
      </c>
      <c r="F16" s="557"/>
      <c r="G16" s="558" t="s">
        <v>3022</v>
      </c>
      <c r="H16" s="559"/>
      <c r="I16" s="556" t="s">
        <v>3022</v>
      </c>
      <c r="J16" s="555"/>
      <c r="K16" s="870"/>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102</v>
      </c>
      <c r="K17" s="868">
        <v>2</v>
      </c>
      <c r="L17" s="2143"/>
      <c r="M17" s="2135"/>
      <c r="N17" s="2135"/>
      <c r="O17" s="2142"/>
      <c r="P17" s="3392"/>
      <c r="Q17" s="1573" t="str">
        <f>B17</f>
        <v>交通便捷度</v>
      </c>
      <c r="R17" s="1574" t="s">
        <v>11</v>
      </c>
      <c r="S17" s="1575">
        <f>F17</f>
        <v>100</v>
      </c>
      <c r="T17" s="1574" t="s">
        <v>11</v>
      </c>
      <c r="U17" s="1575">
        <f>H17</f>
        <v>100</v>
      </c>
      <c r="V17" s="1574" t="s">
        <v>11</v>
      </c>
      <c r="W17" s="1575">
        <f>J17</f>
        <v>102</v>
      </c>
      <c r="X17" s="1568"/>
      <c r="Y17" s="3392"/>
      <c r="Z17" s="1576" t="str">
        <f>Q17</f>
        <v>交通便捷度</v>
      </c>
      <c r="AA17" s="1577">
        <f t="shared" si="3"/>
        <v>1</v>
      </c>
      <c r="AB17" s="1577">
        <f t="shared" si="4"/>
        <v>1</v>
      </c>
      <c r="AC17" s="1577">
        <f t="shared" si="5"/>
        <v>0.98039215686274506</v>
      </c>
    </row>
    <row r="18" spans="1:29" ht="15">
      <c r="A18" s="532"/>
      <c r="B18" s="595"/>
      <c r="C18" s="873" t="s">
        <v>3022</v>
      </c>
      <c r="D18" s="559"/>
      <c r="E18" s="568" t="s">
        <v>3022</v>
      </c>
      <c r="F18" s="563"/>
      <c r="G18" s="569" t="s">
        <v>3022</v>
      </c>
      <c r="H18" s="555"/>
      <c r="I18" s="568" t="s">
        <v>3081</v>
      </c>
      <c r="J18" s="555"/>
      <c r="K18" s="870"/>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25"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102</v>
      </c>
      <c r="K19" s="868">
        <v>2</v>
      </c>
      <c r="L19" s="2143"/>
      <c r="M19" s="2135"/>
      <c r="N19" s="2135"/>
      <c r="O19" s="2142"/>
      <c r="P19" s="3392"/>
      <c r="Q19" s="1573" t="str">
        <f>B19</f>
        <v>公共配套设施</v>
      </c>
      <c r="R19" s="1574" t="s">
        <v>11</v>
      </c>
      <c r="S19" s="1575">
        <f>F19</f>
        <v>100</v>
      </c>
      <c r="T19" s="1574" t="s">
        <v>11</v>
      </c>
      <c r="U19" s="1575">
        <f>H19</f>
        <v>100</v>
      </c>
      <c r="V19" s="1574" t="s">
        <v>11</v>
      </c>
      <c r="W19" s="1575">
        <f>J19</f>
        <v>102</v>
      </c>
      <c r="X19" s="1568"/>
      <c r="Y19" s="3392"/>
      <c r="Z19" s="1576" t="str">
        <f>Q19</f>
        <v>公共配套设施</v>
      </c>
      <c r="AA19" s="1577">
        <f t="shared" si="3"/>
        <v>1</v>
      </c>
      <c r="AB19" s="1577">
        <f t="shared" si="4"/>
        <v>1</v>
      </c>
      <c r="AC19" s="1577">
        <f t="shared" si="5"/>
        <v>0.98039215686274506</v>
      </c>
    </row>
    <row r="20" spans="1:29" ht="15">
      <c r="A20" s="532"/>
      <c r="B20" s="595"/>
      <c r="C20" s="576" t="s">
        <v>3024</v>
      </c>
      <c r="D20" s="555"/>
      <c r="E20" s="556" t="s">
        <v>3024</v>
      </c>
      <c r="F20" s="557"/>
      <c r="G20" s="558" t="s">
        <v>3024</v>
      </c>
      <c r="H20" s="555"/>
      <c r="I20" s="556" t="s">
        <v>3022</v>
      </c>
      <c r="J20" s="555"/>
      <c r="K20" s="870"/>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618"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2"/>
      <c r="Q21" s="2604" t="str">
        <f>B21</f>
        <v>基础设施水平</v>
      </c>
      <c r="R21" s="1574" t="s">
        <v>11</v>
      </c>
      <c r="S21" s="1575">
        <f>F21</f>
        <v>100</v>
      </c>
      <c r="T21" s="1574" t="s">
        <v>11</v>
      </c>
      <c r="U21" s="1575">
        <f>H21</f>
        <v>100</v>
      </c>
      <c r="V21" s="1574" t="s">
        <v>11</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922"/>
      <c r="C22" s="873" t="s">
        <v>3029</v>
      </c>
      <c r="D22" s="555"/>
      <c r="E22" s="576" t="s">
        <v>3029</v>
      </c>
      <c r="F22" s="557"/>
      <c r="G22" s="576" t="s">
        <v>3029</v>
      </c>
      <c r="H22" s="555"/>
      <c r="I22" s="576" t="s">
        <v>3029</v>
      </c>
      <c r="J22" s="555"/>
      <c r="K22" s="2624"/>
      <c r="L22" s="2143"/>
      <c r="M22" s="2135"/>
      <c r="N22" s="2135"/>
      <c r="O22" s="2142"/>
      <c r="P22" s="3392"/>
      <c r="Q22" s="2604"/>
      <c r="R22" s="1574"/>
      <c r="S22" s="1575"/>
      <c r="T22" s="1574"/>
      <c r="U22" s="1575"/>
      <c r="V22" s="1574"/>
      <c r="W22" s="1575"/>
      <c r="X22" s="2606"/>
      <c r="Y22" s="3392"/>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102</v>
      </c>
      <c r="K23" s="868">
        <v>2</v>
      </c>
      <c r="L23" s="2143"/>
      <c r="M23" s="2135"/>
      <c r="N23" s="2135"/>
      <c r="O23" s="2142"/>
      <c r="P23" s="3392"/>
      <c r="Q23" s="1573" t="str">
        <f>B23</f>
        <v>自然及人文环境</v>
      </c>
      <c r="R23" s="1574" t="s">
        <v>11</v>
      </c>
      <c r="S23" s="1575">
        <f>F23</f>
        <v>98</v>
      </c>
      <c r="T23" s="1574" t="s">
        <v>11</v>
      </c>
      <c r="U23" s="1575">
        <f>H23</f>
        <v>98</v>
      </c>
      <c r="V23" s="1574" t="s">
        <v>11</v>
      </c>
      <c r="W23" s="1575">
        <f>J23</f>
        <v>102</v>
      </c>
      <c r="X23" s="1568"/>
      <c r="Y23" s="3392"/>
      <c r="Z23" s="1576" t="str">
        <f>Q23</f>
        <v>自然及人文环境</v>
      </c>
      <c r="AA23" s="1577">
        <f t="shared" si="3"/>
        <v>1.0204081632653061</v>
      </c>
      <c r="AB23" s="1577">
        <f t="shared" si="4"/>
        <v>1.0204081632653061</v>
      </c>
      <c r="AC23" s="1577">
        <f t="shared" si="5"/>
        <v>0.98039215686274506</v>
      </c>
    </row>
    <row r="24" spans="1:29" ht="15.75" thickBot="1">
      <c r="A24" s="532"/>
      <c r="B24" s="595"/>
      <c r="C24" s="576" t="s">
        <v>3022</v>
      </c>
      <c r="D24" s="555"/>
      <c r="E24" s="556" t="s">
        <v>3024</v>
      </c>
      <c r="F24" s="557"/>
      <c r="G24" s="558" t="s">
        <v>3024</v>
      </c>
      <c r="H24" s="555"/>
      <c r="I24" s="556" t="s">
        <v>3081</v>
      </c>
      <c r="J24" s="555"/>
      <c r="K24" s="870"/>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2"/>
      <c r="Q25" s="1573" t="str">
        <f t="shared" ref="Q25:Q46" si="11">B25</f>
        <v>楼层-1</v>
      </c>
      <c r="R25" s="1574" t="s">
        <v>11</v>
      </c>
      <c r="S25" s="1575">
        <f>F25</f>
        <v>100</v>
      </c>
      <c r="T25" s="1574" t="s">
        <v>11</v>
      </c>
      <c r="U25" s="1575">
        <f>H25</f>
        <v>100</v>
      </c>
      <c r="V25" s="1574" t="s">
        <v>11</v>
      </c>
      <c r="W25" s="1575">
        <f>J25</f>
        <v>100</v>
      </c>
      <c r="X25" s="1568"/>
      <c r="Y25" s="3392"/>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2"/>
      <c r="Q26" s="1573" t="str">
        <f t="shared" si="11"/>
        <v>朝向</v>
      </c>
      <c r="R26" s="1574" t="s">
        <v>11</v>
      </c>
      <c r="S26" s="1575">
        <f>F26</f>
        <v>100</v>
      </c>
      <c r="T26" s="1574" t="s">
        <v>11</v>
      </c>
      <c r="U26" s="1575">
        <f>H26</f>
        <v>100</v>
      </c>
      <c r="V26" s="1574" t="s">
        <v>11</v>
      </c>
      <c r="W26" s="1575">
        <f>J26</f>
        <v>100</v>
      </c>
      <c r="X26" s="1568"/>
      <c r="Y26" s="3392"/>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2"/>
      <c r="Q27" s="1151" t="str">
        <f t="shared" si="11"/>
        <v>道路级别</v>
      </c>
      <c r="R27" s="1569" t="s">
        <v>11</v>
      </c>
      <c r="S27" s="1570">
        <f>F27</f>
        <v>100</v>
      </c>
      <c r="T27" s="1569" t="s">
        <v>11</v>
      </c>
      <c r="U27" s="1570">
        <f>H27</f>
        <v>100</v>
      </c>
      <c r="V27" s="1569" t="s">
        <v>11</v>
      </c>
      <c r="W27" s="1570">
        <f>J27</f>
        <v>100</v>
      </c>
      <c r="X27" s="1571"/>
      <c r="Y27" s="3392"/>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2"/>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2"/>
      <c r="Q29" s="1573">
        <f t="shared" si="11"/>
        <v>111</v>
      </c>
      <c r="R29" s="1574" t="s">
        <v>11</v>
      </c>
      <c r="S29" s="1575">
        <f t="shared" si="12"/>
        <v>100</v>
      </c>
      <c r="T29" s="1574" t="s">
        <v>11</v>
      </c>
      <c r="U29" s="1575">
        <f t="shared" si="13"/>
        <v>100</v>
      </c>
      <c r="V29" s="1574" t="s">
        <v>11</v>
      </c>
      <c r="W29" s="1575">
        <f t="shared" si="14"/>
        <v>100</v>
      </c>
      <c r="X29" s="1568"/>
      <c r="Y29" s="3392"/>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2"/>
      <c r="Q30" s="1573">
        <f t="shared" si="11"/>
        <v>111</v>
      </c>
      <c r="R30" s="1574" t="s">
        <v>11</v>
      </c>
      <c r="S30" s="1575">
        <f t="shared" si="12"/>
        <v>100</v>
      </c>
      <c r="T30" s="1574" t="s">
        <v>11</v>
      </c>
      <c r="U30" s="1575">
        <f t="shared" si="13"/>
        <v>100</v>
      </c>
      <c r="V30" s="1574" t="s">
        <v>11</v>
      </c>
      <c r="W30" s="1575">
        <f t="shared" si="14"/>
        <v>100</v>
      </c>
      <c r="X30" s="1568"/>
      <c r="Y30" s="3392"/>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2"/>
      <c r="Q31" s="1573">
        <f t="shared" si="11"/>
        <v>111</v>
      </c>
      <c r="R31" s="1574" t="s">
        <v>11</v>
      </c>
      <c r="S31" s="1575">
        <f t="shared" si="12"/>
        <v>100</v>
      </c>
      <c r="T31" s="1574" t="s">
        <v>11</v>
      </c>
      <c r="U31" s="1575">
        <f t="shared" si="13"/>
        <v>100</v>
      </c>
      <c r="V31" s="1574" t="s">
        <v>11</v>
      </c>
      <c r="W31" s="1575">
        <f t="shared" si="14"/>
        <v>100</v>
      </c>
      <c r="X31" s="1568"/>
      <c r="Y31" s="3392"/>
      <c r="Z31" s="1576">
        <f t="shared" si="15"/>
        <v>111</v>
      </c>
      <c r="AA31" s="1577">
        <f t="shared" si="3"/>
        <v>1</v>
      </c>
      <c r="AB31" s="1577">
        <f t="shared" si="4"/>
        <v>1</v>
      </c>
      <c r="AC31" s="1577">
        <f t="shared" si="5"/>
        <v>1</v>
      </c>
    </row>
    <row r="32" spans="1:29" ht="15">
      <c r="A32" s="2934" t="s">
        <v>2761</v>
      </c>
      <c r="B32" s="172" t="s">
        <v>726</v>
      </c>
      <c r="C32" s="878" t="s">
        <v>3003</v>
      </c>
      <c r="D32" s="597">
        <v>100</v>
      </c>
      <c r="E32" s="879" t="s">
        <v>3003</v>
      </c>
      <c r="F32" s="575">
        <f>SUMIF(100:100,E32,101:101)-SUMIF(100:100,C32,101:101)+100</f>
        <v>100</v>
      </c>
      <c r="G32" s="878" t="s">
        <v>3003</v>
      </c>
      <c r="H32" s="597">
        <f>SUMIF(100:100,G32,101:101)-SUMIF(100:100,C32,101:101)+100</f>
        <v>100</v>
      </c>
      <c r="I32" s="879" t="s">
        <v>3003</v>
      </c>
      <c r="J32" s="540">
        <f>SUMIF(100:100,I32,101:101)-SUMIF(100:100,C32,101:101)+100</f>
        <v>100</v>
      </c>
      <c r="K32" s="864"/>
      <c r="L32" s="2143"/>
      <c r="M32" s="2135"/>
      <c r="N32" s="2135"/>
      <c r="O32" s="2142"/>
      <c r="P32" s="3393" t="s">
        <v>551</v>
      </c>
      <c r="Q32" s="1573" t="str">
        <f t="shared" si="11"/>
        <v>建筑类型</v>
      </c>
      <c r="R32" s="1574" t="s">
        <v>11</v>
      </c>
      <c r="S32" s="1575">
        <f t="shared" si="12"/>
        <v>100</v>
      </c>
      <c r="T32" s="1574" t="s">
        <v>11</v>
      </c>
      <c r="U32" s="1575">
        <f t="shared" si="13"/>
        <v>100</v>
      </c>
      <c r="V32" s="1574" t="s">
        <v>11</v>
      </c>
      <c r="W32" s="1575">
        <f t="shared" si="14"/>
        <v>100</v>
      </c>
      <c r="X32" s="1568"/>
      <c r="Y32" s="3394" t="s">
        <v>551</v>
      </c>
      <c r="Z32" s="1576" t="str">
        <f t="shared" si="15"/>
        <v>建筑类型</v>
      </c>
      <c r="AA32" s="1577">
        <f t="shared" si="3"/>
        <v>1</v>
      </c>
      <c r="AB32" s="1577">
        <f t="shared" si="4"/>
        <v>1</v>
      </c>
      <c r="AC32" s="1577">
        <f t="shared" si="5"/>
        <v>1</v>
      </c>
    </row>
    <row r="33" spans="1:29" s="1339" customFormat="1" ht="15">
      <c r="A33" s="603"/>
      <c r="B33" s="527" t="s">
        <v>727</v>
      </c>
      <c r="C33" s="880">
        <v>1500000</v>
      </c>
      <c r="D33" s="255">
        <v>100</v>
      </c>
      <c r="E33" s="534">
        <v>46819.1</v>
      </c>
      <c r="F33" s="863">
        <f>LOOKUP(E33,103:103,104:104)-LOOKUP(C33,103:103,104:104)+100</f>
        <v>97.5</v>
      </c>
      <c r="G33" s="533">
        <v>260000</v>
      </c>
      <c r="H33" s="255">
        <f>LOOKUP(G33,103:103,104:104)-LOOKUP(C33,103:103,104:104)+100</f>
        <v>98.5</v>
      </c>
      <c r="I33" s="534">
        <v>86735</v>
      </c>
      <c r="J33" s="255">
        <f>LOOKUP(I33,103:103,104:104)-LOOKUP(C33,103:103,104:104)+100</f>
        <v>97.5</v>
      </c>
      <c r="K33" s="865"/>
      <c r="L33" s="2141"/>
      <c r="M33" s="2172"/>
      <c r="N33" s="2172"/>
      <c r="O33" s="2144"/>
      <c r="P33" s="3394"/>
      <c r="Q33" s="1606" t="str">
        <f t="shared" si="11"/>
        <v>项目建筑规模</v>
      </c>
      <c r="R33" s="1578" t="s">
        <v>11</v>
      </c>
      <c r="S33" s="1579">
        <f t="shared" si="12"/>
        <v>97.5</v>
      </c>
      <c r="T33" s="1578" t="s">
        <v>11</v>
      </c>
      <c r="U33" s="1579">
        <f t="shared" si="13"/>
        <v>98.5</v>
      </c>
      <c r="V33" s="1578" t="s">
        <v>11</v>
      </c>
      <c r="W33" s="1579">
        <f t="shared" si="14"/>
        <v>97.5</v>
      </c>
      <c r="X33" s="1580"/>
      <c r="Y33" s="3394"/>
      <c r="Z33" s="1581" t="str">
        <f t="shared" si="15"/>
        <v>项目建筑规模</v>
      </c>
      <c r="AA33" s="1577">
        <f t="shared" si="3"/>
        <v>1.0256410256410255</v>
      </c>
      <c r="AB33" s="1577">
        <f t="shared" si="4"/>
        <v>1.015228426395939</v>
      </c>
      <c r="AC33" s="1577">
        <f t="shared" si="5"/>
        <v>1.0256410256410255</v>
      </c>
    </row>
    <row r="34" spans="1:29" ht="15">
      <c r="A34" s="594"/>
      <c r="B34" s="527" t="s">
        <v>728</v>
      </c>
      <c r="C34" s="881" t="s">
        <v>3053</v>
      </c>
      <c r="D34" s="540">
        <v>100</v>
      </c>
      <c r="E34" s="882" t="s">
        <v>3053</v>
      </c>
      <c r="F34" s="575">
        <f>SUMIF(105:105,E34,106:106)-SUMIF(105:105,C34,106:106)+100</f>
        <v>100</v>
      </c>
      <c r="G34" s="881" t="s">
        <v>3053</v>
      </c>
      <c r="H34" s="540">
        <f>SUMIF(105:105,G34,106:106)-SUMIF(105:105,C34,106:106)+100</f>
        <v>100</v>
      </c>
      <c r="I34" s="882" t="s">
        <v>3053</v>
      </c>
      <c r="J34" s="540">
        <f>SUMIF(105:105,I34,106:106)-SUMIF(105:105,C34,106:106)+100</f>
        <v>100</v>
      </c>
      <c r="K34" s="864"/>
      <c r="L34" s="2143"/>
      <c r="M34" s="2135"/>
      <c r="N34" s="2135"/>
      <c r="O34" s="2142"/>
      <c r="P34" s="3394"/>
      <c r="Q34" s="1573" t="str">
        <f t="shared" si="11"/>
        <v>建筑结构</v>
      </c>
      <c r="R34" s="1574" t="s">
        <v>11</v>
      </c>
      <c r="S34" s="1575">
        <f t="shared" si="12"/>
        <v>100</v>
      </c>
      <c r="T34" s="1574" t="s">
        <v>11</v>
      </c>
      <c r="U34" s="1575">
        <f t="shared" si="13"/>
        <v>100</v>
      </c>
      <c r="V34" s="1574" t="s">
        <v>11</v>
      </c>
      <c r="W34" s="1575">
        <f t="shared" si="14"/>
        <v>100</v>
      </c>
      <c r="X34" s="1568"/>
      <c r="Y34" s="3394"/>
      <c r="Z34" s="1576" t="str">
        <f t="shared" si="15"/>
        <v>建筑结构</v>
      </c>
      <c r="AA34" s="1577">
        <f t="shared" si="3"/>
        <v>1</v>
      </c>
      <c r="AB34" s="1577">
        <f t="shared" si="4"/>
        <v>1</v>
      </c>
      <c r="AC34" s="1577">
        <f t="shared" si="5"/>
        <v>1</v>
      </c>
    </row>
    <row r="35" spans="1:29" ht="15">
      <c r="A35" s="594"/>
      <c r="B35" s="527" t="s">
        <v>729</v>
      </c>
      <c r="C35" s="599" t="s">
        <v>3058</v>
      </c>
      <c r="D35" s="540">
        <v>100</v>
      </c>
      <c r="E35" s="874" t="s">
        <v>3058</v>
      </c>
      <c r="F35" s="575">
        <f>SUMIF(107:107,E35,108:108)-SUMIF(107:107,C35,108:108)+100</f>
        <v>100</v>
      </c>
      <c r="G35" s="599" t="s">
        <v>3058</v>
      </c>
      <c r="H35" s="540">
        <f>SUMIF(107:107,G35,108:108)-SUMIF(107:107,C35,108:108)+100</f>
        <v>100</v>
      </c>
      <c r="I35" s="874" t="s">
        <v>3058</v>
      </c>
      <c r="J35" s="540">
        <f>SUMIF(107:107,I35,108:108)-SUMIF(107:107,C35,108:108)+100</f>
        <v>100</v>
      </c>
      <c r="K35" s="864"/>
      <c r="L35" s="2143"/>
      <c r="M35" s="2135"/>
      <c r="N35" s="2135"/>
      <c r="O35" s="2142"/>
      <c r="P35" s="3394"/>
      <c r="Q35" s="1573" t="str">
        <f t="shared" si="11"/>
        <v>建筑品质</v>
      </c>
      <c r="R35" s="1574" t="s">
        <v>11</v>
      </c>
      <c r="S35" s="1575">
        <f t="shared" si="12"/>
        <v>100</v>
      </c>
      <c r="T35" s="1574" t="s">
        <v>11</v>
      </c>
      <c r="U35" s="1575">
        <f t="shared" si="13"/>
        <v>100</v>
      </c>
      <c r="V35" s="1574" t="s">
        <v>11</v>
      </c>
      <c r="W35" s="1575">
        <f t="shared" si="14"/>
        <v>100</v>
      </c>
      <c r="X35" s="1568"/>
      <c r="Y35" s="3394"/>
      <c r="Z35" s="1576" t="str">
        <f t="shared" si="15"/>
        <v>建筑品质</v>
      </c>
      <c r="AA35" s="1577">
        <f t="shared" si="3"/>
        <v>1</v>
      </c>
      <c r="AB35" s="1577">
        <f t="shared" si="4"/>
        <v>1</v>
      </c>
      <c r="AC35" s="1577">
        <f t="shared" si="5"/>
        <v>1</v>
      </c>
    </row>
    <row r="36" spans="1:29" ht="15">
      <c r="A36" s="594"/>
      <c r="B36" s="527" t="s">
        <v>730</v>
      </c>
      <c r="C36" s="599" t="s">
        <v>3062</v>
      </c>
      <c r="D36" s="540">
        <v>100</v>
      </c>
      <c r="E36" s="874" t="s">
        <v>3062</v>
      </c>
      <c r="F36" s="575">
        <f>SUMIF(109:109,E36,110:110)-SUMIF(109:109,C36,110:110)+100</f>
        <v>100</v>
      </c>
      <c r="G36" s="599" t="s">
        <v>3062</v>
      </c>
      <c r="H36" s="540">
        <f>SUMIF(109:109,G36,110:110)-SUMIF(109:109,C36,110:110)+100</f>
        <v>100</v>
      </c>
      <c r="I36" s="874" t="s">
        <v>3062</v>
      </c>
      <c r="J36" s="540">
        <f>SUMIF(109:109,I36,110:110)-SUMIF(109:109,C36,110:110)+100</f>
        <v>100</v>
      </c>
      <c r="K36" s="864"/>
      <c r="L36" s="2143"/>
      <c r="M36" s="2135"/>
      <c r="N36" s="2135"/>
      <c r="O36" s="2142"/>
      <c r="P36" s="3394"/>
      <c r="Q36" s="1573" t="str">
        <f t="shared" si="11"/>
        <v>公共部分装修</v>
      </c>
      <c r="R36" s="1574" t="s">
        <v>11</v>
      </c>
      <c r="S36" s="1575">
        <f t="shared" si="12"/>
        <v>100</v>
      </c>
      <c r="T36" s="1574" t="s">
        <v>11</v>
      </c>
      <c r="U36" s="1575">
        <f t="shared" si="13"/>
        <v>100</v>
      </c>
      <c r="V36" s="1574" t="s">
        <v>11</v>
      </c>
      <c r="W36" s="1575">
        <f t="shared" si="14"/>
        <v>100</v>
      </c>
      <c r="X36" s="1568"/>
      <c r="Y36" s="3394"/>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94"/>
      <c r="Q37" s="1151" t="str">
        <f t="shared" si="11"/>
        <v>成新度</v>
      </c>
      <c r="R37" s="1569" t="s">
        <v>11</v>
      </c>
      <c r="S37" s="1570">
        <f t="shared" si="12"/>
        <v>100</v>
      </c>
      <c r="T37" s="1569" t="s">
        <v>11</v>
      </c>
      <c r="U37" s="1570">
        <f t="shared" si="13"/>
        <v>100</v>
      </c>
      <c r="V37" s="1569" t="s">
        <v>11</v>
      </c>
      <c r="W37" s="1570">
        <f t="shared" si="14"/>
        <v>100</v>
      </c>
      <c r="X37" s="1571"/>
      <c r="Y37" s="3394"/>
      <c r="Z37" s="1150" t="str">
        <f t="shared" si="15"/>
        <v>成新度</v>
      </c>
      <c r="AA37" s="1572">
        <f t="shared" si="3"/>
        <v>1</v>
      </c>
      <c r="AB37" s="1572">
        <f t="shared" si="4"/>
        <v>1</v>
      </c>
      <c r="AC37" s="1572">
        <f t="shared" si="5"/>
        <v>1</v>
      </c>
    </row>
    <row r="38" spans="1:29" ht="15">
      <c r="A38" s="594"/>
      <c r="B38" s="527" t="s">
        <v>732</v>
      </c>
      <c r="C38" s="599" t="s">
        <v>3066</v>
      </c>
      <c r="D38" s="540">
        <v>100</v>
      </c>
      <c r="E38" s="874" t="s">
        <v>3066</v>
      </c>
      <c r="F38" s="575">
        <f>SUMIF(114:114,E38,115:115)-SUMIF(114:114,C38,115:115)+100</f>
        <v>100</v>
      </c>
      <c r="G38" s="599" t="s">
        <v>3066</v>
      </c>
      <c r="H38" s="540">
        <f>SUMIF(114:114,G38,115:115)-SUMIF(114:114,C38,115:115)+100</f>
        <v>100</v>
      </c>
      <c r="I38" s="874" t="s">
        <v>3066</v>
      </c>
      <c r="J38" s="540">
        <f>SUMIF(114:114,I38,115:115)-SUMIF(114:114,C38,115:115)+100</f>
        <v>100</v>
      </c>
      <c r="K38" s="864"/>
      <c r="L38" s="2143"/>
      <c r="M38" s="2135"/>
      <c r="N38" s="2135"/>
      <c r="O38" s="2142"/>
      <c r="P38" s="3394" t="s">
        <v>551</v>
      </c>
      <c r="Q38" s="1573" t="str">
        <f t="shared" si="11"/>
        <v>物业管理</v>
      </c>
      <c r="R38" s="1574" t="s">
        <v>11</v>
      </c>
      <c r="S38" s="1575">
        <f t="shared" si="12"/>
        <v>100</v>
      </c>
      <c r="T38" s="1574" t="s">
        <v>11</v>
      </c>
      <c r="U38" s="1575">
        <f t="shared" si="13"/>
        <v>100</v>
      </c>
      <c r="V38" s="1574" t="s">
        <v>11</v>
      </c>
      <c r="W38" s="1575">
        <f t="shared" si="14"/>
        <v>100</v>
      </c>
      <c r="X38" s="1568"/>
      <c r="Y38" s="3394" t="s">
        <v>551</v>
      </c>
      <c r="Z38" s="1576" t="str">
        <f t="shared" si="15"/>
        <v>物业管理</v>
      </c>
      <c r="AA38" s="1577">
        <f t="shared" si="3"/>
        <v>1</v>
      </c>
      <c r="AB38" s="1577">
        <f t="shared" si="4"/>
        <v>1</v>
      </c>
      <c r="AC38" s="1577">
        <f t="shared" si="5"/>
        <v>1</v>
      </c>
    </row>
    <row r="39" spans="1:29" ht="15">
      <c r="A39" s="594"/>
      <c r="B39" s="1896" t="s">
        <v>2568</v>
      </c>
      <c r="C39" s="599" t="s">
        <v>3029</v>
      </c>
      <c r="D39" s="540">
        <v>100</v>
      </c>
      <c r="E39" s="874" t="s">
        <v>3029</v>
      </c>
      <c r="F39" s="575">
        <f>SUMIF(116:116,E39,117:117)-SUMIF(116:116,C39,117:117)+100</f>
        <v>100</v>
      </c>
      <c r="G39" s="599" t="s">
        <v>3029</v>
      </c>
      <c r="H39" s="540">
        <f>SUMIF(116:116,G39,117:117)-SUMIF(116:116,C39,117:117)+100</f>
        <v>100</v>
      </c>
      <c r="I39" s="874" t="s">
        <v>3029</v>
      </c>
      <c r="J39" s="540">
        <f>SUMIF(116:116,I39,117:117)-SUMIF(116:116,C39,117:117)+100</f>
        <v>100</v>
      </c>
      <c r="K39" s="864"/>
      <c r="L39" s="2143"/>
      <c r="M39" s="2135"/>
      <c r="N39" s="2135"/>
      <c r="O39" s="2142"/>
      <c r="P39" s="3394"/>
      <c r="Q39" s="1573" t="str">
        <f t="shared" si="11"/>
        <v>市政基础设施</v>
      </c>
      <c r="R39" s="1574" t="s">
        <v>11</v>
      </c>
      <c r="S39" s="1575">
        <f t="shared" si="12"/>
        <v>100</v>
      </c>
      <c r="T39" s="1574" t="s">
        <v>11</v>
      </c>
      <c r="U39" s="1575">
        <f t="shared" si="13"/>
        <v>100</v>
      </c>
      <c r="V39" s="1574" t="s">
        <v>11</v>
      </c>
      <c r="W39" s="1575">
        <f t="shared" si="14"/>
        <v>100</v>
      </c>
      <c r="X39" s="1568"/>
      <c r="Y39" s="3394"/>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4"/>
      <c r="Q40" s="1573" t="str">
        <f t="shared" si="11"/>
        <v>房型</v>
      </c>
      <c r="R40" s="1574" t="s">
        <v>11</v>
      </c>
      <c r="S40" s="1575">
        <f t="shared" si="12"/>
        <v>100</v>
      </c>
      <c r="T40" s="1574" t="s">
        <v>11</v>
      </c>
      <c r="U40" s="1575">
        <f t="shared" si="13"/>
        <v>100</v>
      </c>
      <c r="V40" s="1574" t="s">
        <v>11</v>
      </c>
      <c r="W40" s="1575">
        <f t="shared" si="14"/>
        <v>100</v>
      </c>
      <c r="X40" s="1568"/>
      <c r="Y40" s="3394"/>
      <c r="Z40" s="1576" t="str">
        <f t="shared" si="15"/>
        <v>房型</v>
      </c>
      <c r="AA40" s="1577">
        <f t="shared" si="3"/>
        <v>1</v>
      </c>
      <c r="AB40" s="1577">
        <f t="shared" si="4"/>
        <v>1</v>
      </c>
      <c r="AC40" s="1577">
        <f t="shared" si="5"/>
        <v>1</v>
      </c>
    </row>
    <row r="41" spans="1:29" s="1339" customFormat="1" ht="28.5">
      <c r="A41" s="603"/>
      <c r="B41" s="527" t="s">
        <v>734</v>
      </c>
      <c r="C41" s="880" t="s">
        <v>3075</v>
      </c>
      <c r="D41" s="255">
        <v>100</v>
      </c>
      <c r="E41" s="534" t="s">
        <v>3075</v>
      </c>
      <c r="F41" s="863">
        <f>SUMIF(120:120,E41,121:121)-SUMIF(120:120,C41,121:121)+100</f>
        <v>100</v>
      </c>
      <c r="G41" s="533" t="s">
        <v>3080</v>
      </c>
      <c r="H41" s="255">
        <f>SUMIF(120:120,G41,121:121)-SUMIF(120:120,C41,121:121)+100</f>
        <v>100</v>
      </c>
      <c r="I41" s="586" t="s">
        <v>3080</v>
      </c>
      <c r="J41" s="540">
        <f>SUMIF(120:120,I41,121:121)-SUMIF(120:120,C41,121:121)+100</f>
        <v>100</v>
      </c>
      <c r="K41" s="865"/>
      <c r="L41" s="2141"/>
      <c r="M41" s="2172"/>
      <c r="N41" s="2172"/>
      <c r="O41" s="2144"/>
      <c r="P41" s="3394"/>
      <c r="Q41" s="1606" t="str">
        <f t="shared" si="11"/>
        <v>单套/主力户型建筑面积</v>
      </c>
      <c r="R41" s="1578" t="s">
        <v>11</v>
      </c>
      <c r="S41" s="1579">
        <f t="shared" si="12"/>
        <v>100</v>
      </c>
      <c r="T41" s="1578" t="s">
        <v>11</v>
      </c>
      <c r="U41" s="1579">
        <f t="shared" si="13"/>
        <v>100</v>
      </c>
      <c r="V41" s="1578" t="s">
        <v>11</v>
      </c>
      <c r="W41" s="1579">
        <f t="shared" si="14"/>
        <v>100</v>
      </c>
      <c r="X41" s="1580"/>
      <c r="Y41" s="3394"/>
      <c r="Z41" s="1581" t="str">
        <f t="shared" si="15"/>
        <v>单套/主力户型建筑面积</v>
      </c>
      <c r="AA41" s="1577">
        <f t="shared" si="3"/>
        <v>1</v>
      </c>
      <c r="AB41" s="1577">
        <f t="shared" si="4"/>
        <v>1</v>
      </c>
      <c r="AC41" s="1577">
        <f t="shared" si="5"/>
        <v>1</v>
      </c>
    </row>
    <row r="42" spans="1:29" ht="15">
      <c r="A42" s="594"/>
      <c r="B42" s="527" t="s">
        <v>735</v>
      </c>
      <c r="C42" s="599" t="s">
        <v>3064</v>
      </c>
      <c r="D42" s="540">
        <v>100</v>
      </c>
      <c r="E42" s="874" t="s">
        <v>3064</v>
      </c>
      <c r="F42" s="575">
        <f>SUMIF(122:122,E42,123:123)-SUMIF(122:122,C42,123:123)+100</f>
        <v>100</v>
      </c>
      <c r="G42" s="599" t="s">
        <v>3064</v>
      </c>
      <c r="H42" s="540">
        <f>SUMIF(122:122,G42,123:123)-SUMIF(122:122,C42,123:123)+100</f>
        <v>100</v>
      </c>
      <c r="I42" s="874" t="s">
        <v>3064</v>
      </c>
      <c r="J42" s="540">
        <f>SUMIF(122:122,I42,123:123)-SUMIF(122:122,C42,123:123)+100</f>
        <v>100</v>
      </c>
      <c r="K42" s="864"/>
      <c r="L42" s="2143"/>
      <c r="M42" s="2135"/>
      <c r="N42" s="2135"/>
      <c r="O42" s="2142"/>
      <c r="P42" s="3394"/>
      <c r="Q42" s="1573" t="str">
        <f t="shared" si="11"/>
        <v>内部装修</v>
      </c>
      <c r="R42" s="1574" t="s">
        <v>11</v>
      </c>
      <c r="S42" s="1575">
        <f t="shared" si="12"/>
        <v>100</v>
      </c>
      <c r="T42" s="1574" t="s">
        <v>11</v>
      </c>
      <c r="U42" s="1575">
        <f t="shared" si="13"/>
        <v>100</v>
      </c>
      <c r="V42" s="1574" t="s">
        <v>11</v>
      </c>
      <c r="W42" s="1575">
        <f t="shared" si="14"/>
        <v>100</v>
      </c>
      <c r="X42" s="1568"/>
      <c r="Y42" s="3394"/>
      <c r="Z42" s="1576" t="str">
        <f t="shared" si="15"/>
        <v>内部装修</v>
      </c>
      <c r="AA42" s="1577">
        <f t="shared" si="3"/>
        <v>1</v>
      </c>
      <c r="AB42" s="1577">
        <f t="shared" si="4"/>
        <v>1</v>
      </c>
      <c r="AC42" s="1577">
        <f t="shared" si="5"/>
        <v>1</v>
      </c>
    </row>
    <row r="43" spans="1:29" ht="27.75" thickBot="1">
      <c r="A43" s="594"/>
      <c r="B43" s="527" t="s">
        <v>736</v>
      </c>
      <c r="C43" s="599" t="s">
        <v>3022</v>
      </c>
      <c r="D43" s="540">
        <v>100</v>
      </c>
      <c r="E43" s="874" t="s">
        <v>3022</v>
      </c>
      <c r="F43" s="575">
        <f>SUMIF(124:124,E43,125:125)-SUMIF(124:124,C43,125:125)+100</f>
        <v>100</v>
      </c>
      <c r="G43" s="599" t="s">
        <v>3022</v>
      </c>
      <c r="H43" s="540">
        <f>SUMIF(124:124,G43,125:125)-SUMIF(124:124,C43,125:125)+100</f>
        <v>100</v>
      </c>
      <c r="I43" s="874" t="s">
        <v>3022</v>
      </c>
      <c r="J43" s="540">
        <f>SUMIF(124:124,I43,125:125)-SUMIF(124:124,C43,125:125)+100</f>
        <v>100</v>
      </c>
      <c r="K43" s="864"/>
      <c r="L43" s="2143"/>
      <c r="M43" s="2135"/>
      <c r="N43" s="2135"/>
      <c r="O43" s="2142"/>
      <c r="P43" s="3394"/>
      <c r="Q43" s="1573" t="str">
        <f t="shared" si="11"/>
        <v>内部装修维护情况</v>
      </c>
      <c r="R43" s="1574" t="s">
        <v>11</v>
      </c>
      <c r="S43" s="1575">
        <f t="shared" si="12"/>
        <v>100</v>
      </c>
      <c r="T43" s="1574" t="s">
        <v>11</v>
      </c>
      <c r="U43" s="1575">
        <f t="shared" si="13"/>
        <v>100</v>
      </c>
      <c r="V43" s="1574" t="s">
        <v>11</v>
      </c>
      <c r="W43" s="1575">
        <f t="shared" si="14"/>
        <v>100</v>
      </c>
      <c r="X43" s="1568"/>
      <c r="Y43" s="339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4"/>
      <c r="Q44" s="1151">
        <f t="shared" si="11"/>
        <v>111</v>
      </c>
      <c r="R44" s="1569" t="s">
        <v>11</v>
      </c>
      <c r="S44" s="1570">
        <f t="shared" si="12"/>
        <v>100</v>
      </c>
      <c r="T44" s="1569" t="s">
        <v>11</v>
      </c>
      <c r="U44" s="1570">
        <f t="shared" si="13"/>
        <v>100</v>
      </c>
      <c r="V44" s="1569" t="s">
        <v>11</v>
      </c>
      <c r="W44" s="1570">
        <f t="shared" si="14"/>
        <v>100</v>
      </c>
      <c r="X44" s="1571"/>
      <c r="Y44" s="339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4"/>
      <c r="Q45" s="1573">
        <f t="shared" si="11"/>
        <v>111</v>
      </c>
      <c r="R45" s="1574" t="s">
        <v>11</v>
      </c>
      <c r="S45" s="1575">
        <f t="shared" si="12"/>
        <v>100</v>
      </c>
      <c r="T45" s="1574" t="s">
        <v>11</v>
      </c>
      <c r="U45" s="1575">
        <f t="shared" si="13"/>
        <v>100</v>
      </c>
      <c r="V45" s="1574" t="s">
        <v>11</v>
      </c>
      <c r="W45" s="1575">
        <f t="shared" si="14"/>
        <v>100</v>
      </c>
      <c r="X45" s="1568"/>
      <c r="Y45" s="339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0"/>
      <c r="Q46" s="1573">
        <f t="shared" si="11"/>
        <v>111</v>
      </c>
      <c r="R46" s="1574" t="s">
        <v>10</v>
      </c>
      <c r="S46" s="1575">
        <f t="shared" si="12"/>
        <v>100</v>
      </c>
      <c r="T46" s="1574" t="s">
        <v>10</v>
      </c>
      <c r="U46" s="1575">
        <f t="shared" si="13"/>
        <v>100</v>
      </c>
      <c r="V46" s="1574" t="s">
        <v>10</v>
      </c>
      <c r="W46" s="1575">
        <f t="shared" si="14"/>
        <v>100</v>
      </c>
      <c r="X46" s="1568"/>
      <c r="Y46" s="3470"/>
      <c r="Z46" s="1576">
        <f t="shared" si="15"/>
        <v>111</v>
      </c>
      <c r="AA46" s="1577">
        <f t="shared" si="3"/>
        <v>1</v>
      </c>
      <c r="AB46" s="1577">
        <f t="shared" si="4"/>
        <v>1</v>
      </c>
      <c r="AC46" s="1577">
        <f t="shared" si="5"/>
        <v>1</v>
      </c>
    </row>
    <row r="47" spans="1:29" ht="15">
      <c r="A47" s="607" t="s">
        <v>737</v>
      </c>
      <c r="B47" s="887"/>
      <c r="C47" s="2652" t="s">
        <v>9</v>
      </c>
      <c r="D47" s="2653"/>
      <c r="E47" s="2654">
        <f>ROUND(4200*0.98,0)</f>
        <v>4116</v>
      </c>
      <c r="F47" s="2655"/>
      <c r="G47" s="2656">
        <v>4100</v>
      </c>
      <c r="H47" s="2657"/>
      <c r="I47" s="2654">
        <v>4800</v>
      </c>
      <c r="J47" s="2657"/>
      <c r="K47" s="1607"/>
      <c r="L47" s="2145"/>
      <c r="M47" s="2146"/>
      <c r="N47" s="2135"/>
      <c r="O47" s="2146"/>
      <c r="P47" s="3355" t="str">
        <f>A47</f>
        <v>成交单价（元/平方米）</v>
      </c>
      <c r="Q47" s="3355"/>
      <c r="R47" s="3469">
        <f>E47</f>
        <v>4116</v>
      </c>
      <c r="S47" s="3469"/>
      <c r="T47" s="3469">
        <f>G47</f>
        <v>4100</v>
      </c>
      <c r="U47" s="3469"/>
      <c r="V47" s="3469">
        <f>I47</f>
        <v>4800</v>
      </c>
      <c r="W47" s="3469"/>
      <c r="X47" s="1560"/>
      <c r="Y47" s="1582"/>
      <c r="Z47" s="1560"/>
      <c r="AA47" s="1560"/>
      <c r="AB47" s="1560"/>
      <c r="AC47" s="1560"/>
    </row>
    <row r="48" spans="1:29" ht="15.75" thickBot="1">
      <c r="A48" s="615" t="s">
        <v>2766</v>
      </c>
      <c r="B48" s="888"/>
      <c r="C48" s="2658">
        <f>R49</f>
        <v>4458.8999999999996</v>
      </c>
      <c r="D48" s="2659"/>
      <c r="E48" s="2660">
        <f>R48</f>
        <v>4395.6000000000004</v>
      </c>
      <c r="F48" s="2660"/>
      <c r="G48" s="2658">
        <f>T48</f>
        <v>4247.3999999999996</v>
      </c>
      <c r="H48" s="2659"/>
      <c r="I48" s="2660">
        <f>V48</f>
        <v>4733.8</v>
      </c>
      <c r="J48" s="2659"/>
      <c r="K48" s="1608"/>
      <c r="L48" s="2145"/>
      <c r="M48" s="2146"/>
      <c r="N48" s="2146"/>
      <c r="O48" s="2146"/>
      <c r="P48" s="3355" t="str">
        <f>A48</f>
        <v>比较价格（元/平方米）</v>
      </c>
      <c r="Q48" s="3355"/>
      <c r="R48" s="3469">
        <f>IF(F1="售价",ROUND(PRODUCT(R47,AA7:AA46),0),ROUND(PRODUCT(R47,AA7:AA46),1))</f>
        <v>4395.6000000000004</v>
      </c>
      <c r="S48" s="3469"/>
      <c r="T48" s="3469">
        <f>IF(F1="售价",ROUND(PRODUCT(T47,AB7:AB46),0),ROUND(PRODUCT(T47,AB7:AB46),1))</f>
        <v>4247.3999999999996</v>
      </c>
      <c r="U48" s="3469"/>
      <c r="V48" s="3469">
        <f>IF(F1="售价",ROUND(PRODUCT(V47,AC7:AC46),0),ROUND(PRODUCT(V47,AC7:AC46),1))</f>
        <v>4733.8</v>
      </c>
      <c r="W48" s="3469"/>
      <c r="X48" s="1560"/>
      <c r="Y48" s="1560"/>
      <c r="Z48" s="1560"/>
      <c r="AA48" s="1560"/>
      <c r="AB48" s="1560"/>
      <c r="AC48" s="1560"/>
    </row>
    <row r="49" spans="1:29" ht="15.75" thickBot="1">
      <c r="A49" s="621" t="s">
        <v>2938</v>
      </c>
      <c r="B49" s="622"/>
      <c r="C49" s="2661">
        <f>R49</f>
        <v>4458.8999999999996</v>
      </c>
      <c r="D49" s="2661"/>
      <c r="E49" s="2661"/>
      <c r="F49" s="2661"/>
      <c r="G49" s="2661"/>
      <c r="H49" s="2661"/>
      <c r="I49" s="2661"/>
      <c r="J49" s="2661"/>
      <c r="K49" s="1609"/>
      <c r="L49" s="2145"/>
      <c r="M49" s="2146"/>
      <c r="N49" s="2146"/>
      <c r="O49" s="2146"/>
      <c r="P49" s="3352" t="str">
        <f>A49</f>
        <v>估价对象XX用房的比较价格（楼面单价，元/平方米）</v>
      </c>
      <c r="Q49" s="3353"/>
      <c r="R49" s="3468">
        <f>IF(F1="售价",ROUND(AVERAGE(R48:V48),0),ROUND(AVERAGE(R48:V48),1))</f>
        <v>4458.8999999999996</v>
      </c>
      <c r="S49" s="3468"/>
      <c r="T49" s="3468"/>
      <c r="U49" s="3468"/>
      <c r="V49" s="3468"/>
      <c r="W49" s="346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6.7930029154519067E-2</v>
      </c>
      <c r="F52" s="627" t="str">
        <f>IF(OR(E52&gt;=0.3,E52&lt;=-0.3),"超过30%","")</f>
        <v/>
      </c>
      <c r="G52" s="626">
        <f>IF(G47&lt;G48,G48/G47-1,G47/G48-1)</f>
        <v>3.5951219512194932E-2</v>
      </c>
      <c r="H52" s="627" t="str">
        <f>IF(OR(G52&gt;=0.3,G52&lt;=-0.3),"超过30%","")</f>
        <v/>
      </c>
      <c r="I52" s="626">
        <f>IF(I47&lt;I48,I48/I47-1,I47/I48-1)</f>
        <v>1.3984536735814679E-2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3.4891933888967497E-2</v>
      </c>
      <c r="F53" s="627" t="str">
        <f>IF(OR(E53&gt;=0.2,E53&lt;=-0.2),"超过20%","")</f>
        <v/>
      </c>
      <c r="G53" s="626">
        <f>IF(G48&lt;I48,I48/G48-1,G48/I48-1)</f>
        <v>0.11451711635353412</v>
      </c>
      <c r="H53" s="627" t="str">
        <f>IF(OR(G53&gt;=0.2,G53&lt;=-0.2),"超过20%","")</f>
        <v/>
      </c>
      <c r="I53" s="626">
        <f>IF(I48&lt;E48,E48/I48-1,I48/E48-1)</f>
        <v>7.6940576940576877E-2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3.9024390243902474E-3</v>
      </c>
      <c r="F54" s="627" t="str">
        <f>IF(OR(E54&gt;=0.3,E54&lt;=-0.3),"超过30%","")</f>
        <v/>
      </c>
      <c r="G54" s="626">
        <f>IF(G47&lt;I47,I47/G47-1,G47/I47-1)</f>
        <v>0.1707317073170731</v>
      </c>
      <c r="H54" s="627" t="str">
        <f>IF(OR(G54&gt;=0.3,G54&lt;=-0.3),"超过30%","")</f>
        <v/>
      </c>
      <c r="I54" s="626">
        <f>IF(I47&lt;E47,E47/I47-1,I47/E47-1)</f>
        <v>0.16618075801749277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2</v>
      </c>
      <c r="E68" s="541">
        <v>4</v>
      </c>
      <c r="F68" s="541">
        <v>6</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8" hidden="1" customHeight="1"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172" t="s">
        <v>3049</v>
      </c>
      <c r="D90" s="3172" t="s">
        <v>3048</v>
      </c>
      <c r="E90" s="3172" t="s">
        <v>3050</v>
      </c>
      <c r="F90" s="3172" t="s">
        <v>3051</v>
      </c>
      <c r="G90" s="3172" t="s">
        <v>3052</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748</v>
      </c>
      <c r="C100" s="3171" t="s">
        <v>3047</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100.5</v>
      </c>
      <c r="E104" s="671">
        <v>101</v>
      </c>
      <c r="F104" s="671">
        <v>101.5</v>
      </c>
      <c r="G104" s="671">
        <v>102</v>
      </c>
      <c r="H104" s="671">
        <v>102.5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172" t="s">
        <v>3054</v>
      </c>
      <c r="D105" s="3172" t="s">
        <v>3055</v>
      </c>
      <c r="E105" s="3173" t="s">
        <v>3056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73" t="s">
        <v>3057</v>
      </c>
      <c r="D107" s="3173" t="s">
        <v>3059</v>
      </c>
      <c r="E107" s="3173" t="s">
        <v>3060</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172" t="s">
        <v>3061</v>
      </c>
      <c r="D109" s="3172" t="s">
        <v>3063</v>
      </c>
      <c r="E109" s="3172" t="s">
        <v>3065</v>
      </c>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172" t="s">
        <v>3067</v>
      </c>
      <c r="D114" s="3172" t="s">
        <v>3068</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3172" t="s">
        <v>3069</v>
      </c>
      <c r="D116" s="3172" t="s">
        <v>3070</v>
      </c>
      <c r="E116" s="3172" t="s">
        <v>3071</v>
      </c>
      <c r="F116" s="3172" t="s">
        <v>3072</v>
      </c>
      <c r="G116" s="3172" t="s">
        <v>3073</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t="s">
        <v>3074</v>
      </c>
      <c r="D120" s="688" t="s">
        <v>3075</v>
      </c>
      <c r="E120" s="688" t="s">
        <v>3076</v>
      </c>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102</v>
      </c>
      <c r="E121" s="671">
        <v>104</v>
      </c>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172" t="s">
        <v>3061</v>
      </c>
      <c r="D122" s="3172" t="s">
        <v>3077</v>
      </c>
      <c r="E122" s="3172" t="s">
        <v>3065</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361" t="s">
        <v>523</v>
      </c>
      <c r="D4" s="3362"/>
      <c r="E4" s="3398" t="s">
        <v>524</v>
      </c>
      <c r="F4" s="3399"/>
      <c r="G4" s="3361" t="s">
        <v>525</v>
      </c>
      <c r="H4" s="3362"/>
      <c r="I4" s="3361" t="s">
        <v>526</v>
      </c>
      <c r="J4" s="3362"/>
      <c r="K4" s="514" t="s">
        <v>527</v>
      </c>
      <c r="L4" s="2134"/>
      <c r="M4" s="2135"/>
      <c r="N4" s="2135"/>
      <c r="O4" s="2135"/>
      <c r="P4" s="3363" t="s">
        <v>528</v>
      </c>
      <c r="Q4" s="3364"/>
      <c r="R4" s="3369" t="s">
        <v>524</v>
      </c>
      <c r="S4" s="3370"/>
      <c r="T4" s="3369" t="s">
        <v>525</v>
      </c>
      <c r="U4" s="3370"/>
      <c r="V4" s="3356" t="s">
        <v>526</v>
      </c>
      <c r="W4" s="3356"/>
      <c r="X4" s="1568"/>
      <c r="Y4" s="3369" t="s">
        <v>528</v>
      </c>
      <c r="Z4" s="3370"/>
      <c r="AA4" s="3358" t="s">
        <v>524</v>
      </c>
      <c r="AB4" s="3356" t="s">
        <v>525</v>
      </c>
      <c r="AC4" s="3358" t="s">
        <v>526</v>
      </c>
    </row>
    <row r="5" spans="1:29" ht="15">
      <c r="A5" s="515"/>
      <c r="B5" s="516"/>
      <c r="C5" s="3379" t="s">
        <v>2932</v>
      </c>
      <c r="D5" s="3378"/>
      <c r="E5" s="3400" t="s">
        <v>2933</v>
      </c>
      <c r="F5" s="3401"/>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6"/>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56"/>
      <c r="AC6" s="3360"/>
    </row>
    <row r="7" spans="1:29" s="1220" customFormat="1" ht="15.75" thickBot="1">
      <c r="A7" s="2939"/>
      <c r="B7" s="2946" t="s">
        <v>530</v>
      </c>
      <c r="C7" s="519">
        <f>'数据-取费表'!B2</f>
        <v>43061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8" t="s">
        <v>531</v>
      </c>
      <c r="Q7" s="3390"/>
      <c r="R7" s="1569" t="s">
        <v>8</v>
      </c>
      <c r="S7" s="1570">
        <f t="shared" ref="S7:S15" si="0">F7</f>
        <v>0</v>
      </c>
      <c r="T7" s="1569" t="s">
        <v>8</v>
      </c>
      <c r="U7" s="1570">
        <f t="shared" ref="U7:U15" si="1">H7</f>
        <v>0</v>
      </c>
      <c r="V7" s="1569" t="s">
        <v>8</v>
      </c>
      <c r="W7" s="1570">
        <f t="shared" ref="W7:W15"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46" si="3">D8/F8</f>
        <v>#DIV/0!</v>
      </c>
      <c r="AB8" s="1572" t="e">
        <f t="shared" ref="AB8:AB46" si="4">D8/H8</f>
        <v>#DIV/0!</v>
      </c>
      <c r="AC8" s="1572" t="e">
        <f t="shared" ref="AC8:AC46" si="5">D8/J8</f>
        <v>#DIV/0!</v>
      </c>
    </row>
    <row r="9" spans="1:29" s="1220" customFormat="1" ht="15">
      <c r="A9" s="2941"/>
      <c r="B9" s="2948" t="s">
        <v>2762</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71.25">
      <c r="A15" s="2937"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1" t="s">
        <v>541</v>
      </c>
      <c r="Q15" s="1573" t="str">
        <f t="shared" si="6"/>
        <v>商业繁华度</v>
      </c>
      <c r="R15" s="1574" t="s">
        <v>8</v>
      </c>
      <c r="S15" s="1575">
        <f t="shared" si="0"/>
        <v>100</v>
      </c>
      <c r="T15" s="1574" t="s">
        <v>8</v>
      </c>
      <c r="U15" s="1575">
        <f t="shared" si="1"/>
        <v>100</v>
      </c>
      <c r="V15" s="1574" t="s">
        <v>8</v>
      </c>
      <c r="W15" s="1575">
        <f t="shared" si="2"/>
        <v>100</v>
      </c>
      <c r="X15" s="1568"/>
      <c r="Y15" s="3391"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25"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618"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2"/>
      <c r="Q21" s="2604" t="str">
        <f>B21</f>
        <v>基础设施水平</v>
      </c>
      <c r="R21" s="1574" t="s">
        <v>8</v>
      </c>
      <c r="S21" s="1575">
        <f>F21</f>
        <v>100</v>
      </c>
      <c r="T21" s="1574" t="s">
        <v>8</v>
      </c>
      <c r="U21" s="1575">
        <f>H21</f>
        <v>100</v>
      </c>
      <c r="V21" s="1574" t="s">
        <v>8</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392"/>
      <c r="Q22" s="2604"/>
      <c r="R22" s="1574"/>
      <c r="S22" s="1575"/>
      <c r="T22" s="1574"/>
      <c r="U22" s="1575"/>
      <c r="V22" s="1574"/>
      <c r="W22" s="1575"/>
      <c r="X22" s="2606"/>
      <c r="Y22" s="3392"/>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2"/>
      <c r="Q23" s="1573" t="str">
        <f>B23</f>
        <v>自然及人文环境</v>
      </c>
      <c r="R23" s="1574" t="s">
        <v>8</v>
      </c>
      <c r="S23" s="1575">
        <f>F23</f>
        <v>100</v>
      </c>
      <c r="T23" s="1574" t="s">
        <v>8</v>
      </c>
      <c r="U23" s="1575">
        <f>H23</f>
        <v>100</v>
      </c>
      <c r="V23" s="1574" t="s">
        <v>8</v>
      </c>
      <c r="W23" s="1575">
        <f>J23</f>
        <v>100</v>
      </c>
      <c r="X23" s="1568"/>
      <c r="Y23" s="339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2"/>
      <c r="Q25" s="1573" t="str">
        <f t="shared" ref="Q25:Q46" si="11">B25</f>
        <v>临街状况</v>
      </c>
      <c r="R25" s="1574" t="s">
        <v>8</v>
      </c>
      <c r="S25" s="1575">
        <f>F25</f>
        <v>100</v>
      </c>
      <c r="T25" s="1574" t="s">
        <v>8</v>
      </c>
      <c r="U25" s="1575">
        <f>H25</f>
        <v>100</v>
      </c>
      <c r="V25" s="1574" t="s">
        <v>8</v>
      </c>
      <c r="W25" s="1575">
        <f>J25</f>
        <v>100</v>
      </c>
      <c r="X25" s="1568"/>
      <c r="Y25" s="3392"/>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2"/>
      <c r="Q26" s="1573" t="str">
        <f t="shared" si="11"/>
        <v>平面位置/可视性</v>
      </c>
      <c r="R26" s="1574" t="s">
        <v>8</v>
      </c>
      <c r="S26" s="1575">
        <f>F26</f>
        <v>100</v>
      </c>
      <c r="T26" s="1574" t="s">
        <v>8</v>
      </c>
      <c r="U26" s="1575">
        <f>H26</f>
        <v>100</v>
      </c>
      <c r="V26" s="1574" t="s">
        <v>8</v>
      </c>
      <c r="W26" s="1575">
        <f>J26</f>
        <v>100</v>
      </c>
      <c r="X26" s="1568"/>
      <c r="Y26" s="3392"/>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2"/>
      <c r="Q27" s="1151" t="str">
        <f t="shared" si="11"/>
        <v>人流量</v>
      </c>
      <c r="R27" s="1569" t="s">
        <v>8</v>
      </c>
      <c r="S27" s="1570">
        <f>F27</f>
        <v>100</v>
      </c>
      <c r="T27" s="1569" t="s">
        <v>8</v>
      </c>
      <c r="U27" s="1570">
        <f>H27</f>
        <v>100</v>
      </c>
      <c r="V27" s="1569" t="s">
        <v>8</v>
      </c>
      <c r="W27" s="1570">
        <f>J27</f>
        <v>100</v>
      </c>
      <c r="X27" s="1571"/>
      <c r="Y27" s="3392"/>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2"/>
      <c r="Q29" s="1573">
        <f t="shared" si="11"/>
        <v>111</v>
      </c>
      <c r="R29" s="1574" t="s">
        <v>8</v>
      </c>
      <c r="S29" s="1575">
        <f t="shared" si="12"/>
        <v>100</v>
      </c>
      <c r="T29" s="1574" t="s">
        <v>8</v>
      </c>
      <c r="U29" s="1575">
        <f t="shared" si="13"/>
        <v>100</v>
      </c>
      <c r="V29" s="1574" t="s">
        <v>8</v>
      </c>
      <c r="W29" s="1575">
        <f t="shared" si="14"/>
        <v>100</v>
      </c>
      <c r="X29" s="1568"/>
      <c r="Y29" s="339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2"/>
      <c r="Q30" s="1573">
        <f t="shared" si="11"/>
        <v>111</v>
      </c>
      <c r="R30" s="1574" t="s">
        <v>8</v>
      </c>
      <c r="S30" s="1575">
        <f t="shared" si="12"/>
        <v>100</v>
      </c>
      <c r="T30" s="1574" t="s">
        <v>8</v>
      </c>
      <c r="U30" s="1575">
        <f t="shared" si="13"/>
        <v>100</v>
      </c>
      <c r="V30" s="1574" t="s">
        <v>8</v>
      </c>
      <c r="W30" s="1575">
        <f t="shared" si="14"/>
        <v>100</v>
      </c>
      <c r="X30" s="1568"/>
      <c r="Y30" s="339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2"/>
      <c r="Q31" s="1573">
        <f t="shared" si="11"/>
        <v>111</v>
      </c>
      <c r="R31" s="1574" t="s">
        <v>8</v>
      </c>
      <c r="S31" s="1575">
        <f t="shared" si="12"/>
        <v>100</v>
      </c>
      <c r="T31" s="1574" t="s">
        <v>8</v>
      </c>
      <c r="U31" s="1575">
        <f t="shared" si="13"/>
        <v>100</v>
      </c>
      <c r="V31" s="1574" t="s">
        <v>8</v>
      </c>
      <c r="W31" s="1575">
        <f t="shared" si="14"/>
        <v>100</v>
      </c>
      <c r="X31" s="1568"/>
      <c r="Y31" s="3392"/>
      <c r="Z31" s="1576">
        <f t="shared" si="15"/>
        <v>111</v>
      </c>
      <c r="AA31" s="1577">
        <f t="shared" si="3"/>
        <v>1</v>
      </c>
      <c r="AB31" s="1577">
        <f t="shared" si="4"/>
        <v>1</v>
      </c>
      <c r="AC31" s="1577">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3" t="s">
        <v>551</v>
      </c>
      <c r="Q32" s="1573" t="str">
        <f t="shared" si="11"/>
        <v>商业类型</v>
      </c>
      <c r="R32" s="1574" t="s">
        <v>8</v>
      </c>
      <c r="S32" s="1575">
        <f t="shared" si="12"/>
        <v>100</v>
      </c>
      <c r="T32" s="1574" t="s">
        <v>8</v>
      </c>
      <c r="U32" s="1575">
        <f t="shared" si="13"/>
        <v>100</v>
      </c>
      <c r="V32" s="1574" t="s">
        <v>8</v>
      </c>
      <c r="W32" s="1575">
        <f t="shared" si="14"/>
        <v>100</v>
      </c>
      <c r="X32" s="1568"/>
      <c r="Y32" s="3394"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4"/>
      <c r="Q33" s="1606" t="str">
        <f t="shared" si="11"/>
        <v>项目建筑规模</v>
      </c>
      <c r="R33" s="1578" t="s">
        <v>8</v>
      </c>
      <c r="S33" s="1579" t="e">
        <f t="shared" si="12"/>
        <v>#N/A</v>
      </c>
      <c r="T33" s="1578" t="s">
        <v>8</v>
      </c>
      <c r="U33" s="1579" t="e">
        <f t="shared" si="13"/>
        <v>#N/A</v>
      </c>
      <c r="V33" s="1578" t="s">
        <v>8</v>
      </c>
      <c r="W33" s="1579" t="e">
        <f t="shared" si="14"/>
        <v>#N/A</v>
      </c>
      <c r="X33" s="1580"/>
      <c r="Y33" s="3394"/>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4"/>
      <c r="Q34" s="1573" t="str">
        <f t="shared" si="11"/>
        <v>建筑结构</v>
      </c>
      <c r="R34" s="1574" t="s">
        <v>8</v>
      </c>
      <c r="S34" s="1575">
        <f t="shared" si="12"/>
        <v>100</v>
      </c>
      <c r="T34" s="1574" t="s">
        <v>8</v>
      </c>
      <c r="U34" s="1575">
        <f t="shared" si="13"/>
        <v>100</v>
      </c>
      <c r="V34" s="1574" t="s">
        <v>8</v>
      </c>
      <c r="W34" s="1575">
        <f t="shared" si="14"/>
        <v>100</v>
      </c>
      <c r="X34" s="1568"/>
      <c r="Y34" s="3394"/>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4"/>
      <c r="Q35" s="1573" t="str">
        <f t="shared" si="11"/>
        <v>公共部分装修</v>
      </c>
      <c r="R35" s="1574" t="s">
        <v>8</v>
      </c>
      <c r="S35" s="1575">
        <f t="shared" si="12"/>
        <v>100</v>
      </c>
      <c r="T35" s="1574" t="s">
        <v>8</v>
      </c>
      <c r="U35" s="1575">
        <f t="shared" si="13"/>
        <v>100</v>
      </c>
      <c r="V35" s="1574" t="s">
        <v>8</v>
      </c>
      <c r="W35" s="1575">
        <f t="shared" si="14"/>
        <v>100</v>
      </c>
      <c r="X35" s="1568"/>
      <c r="Y35" s="3394"/>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4"/>
      <c r="Q36" s="1573" t="str">
        <f t="shared" si="11"/>
        <v>成新度</v>
      </c>
      <c r="R36" s="1574" t="s">
        <v>8</v>
      </c>
      <c r="S36" s="1575" t="e">
        <f t="shared" si="12"/>
        <v>#N/A</v>
      </c>
      <c r="T36" s="1574" t="s">
        <v>8</v>
      </c>
      <c r="U36" s="1575" t="e">
        <f t="shared" si="13"/>
        <v>#N/A</v>
      </c>
      <c r="V36" s="1574" t="s">
        <v>8</v>
      </c>
      <c r="W36" s="1575" t="e">
        <f t="shared" si="14"/>
        <v>#N/A</v>
      </c>
      <c r="X36" s="1568"/>
      <c r="Y36" s="3394"/>
      <c r="Z36" s="1576" t="str">
        <f t="shared" si="15"/>
        <v>成新度</v>
      </c>
      <c r="AA36" s="1577" t="e">
        <f t="shared" si="3"/>
        <v>#N/A</v>
      </c>
      <c r="AB36" s="1577" t="e">
        <f t="shared" si="4"/>
        <v>#N/A</v>
      </c>
      <c r="AC36" s="1577" t="e">
        <f t="shared" si="5"/>
        <v>#N/A</v>
      </c>
    </row>
    <row r="37" spans="1:29" s="1220" customFormat="1" ht="15">
      <c r="A37" s="600"/>
      <c r="B37" s="1896"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4"/>
      <c r="Q37" s="1151" t="str">
        <f t="shared" si="11"/>
        <v>市政基础设施</v>
      </c>
      <c r="R37" s="1569" t="s">
        <v>8</v>
      </c>
      <c r="S37" s="1570">
        <f t="shared" si="12"/>
        <v>100</v>
      </c>
      <c r="T37" s="1569" t="s">
        <v>8</v>
      </c>
      <c r="U37" s="1570">
        <f t="shared" si="13"/>
        <v>100</v>
      </c>
      <c r="V37" s="1569" t="s">
        <v>8</v>
      </c>
      <c r="W37" s="1570">
        <f t="shared" si="14"/>
        <v>100</v>
      </c>
      <c r="X37" s="1571"/>
      <c r="Y37" s="3394"/>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4" t="s">
        <v>767</v>
      </c>
      <c r="Q38" s="1573" t="str">
        <f t="shared" si="11"/>
        <v>业态</v>
      </c>
      <c r="R38" s="1574" t="s">
        <v>8</v>
      </c>
      <c r="S38" s="1575">
        <f t="shared" si="12"/>
        <v>100</v>
      </c>
      <c r="T38" s="1574" t="s">
        <v>8</v>
      </c>
      <c r="U38" s="1575">
        <f t="shared" si="13"/>
        <v>100</v>
      </c>
      <c r="V38" s="1574" t="s">
        <v>8</v>
      </c>
      <c r="W38" s="1575">
        <f t="shared" si="14"/>
        <v>100</v>
      </c>
      <c r="X38" s="1568"/>
      <c r="Y38" s="3394"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c r="Q39" s="1573" t="str">
        <f t="shared" si="11"/>
        <v>层高</v>
      </c>
      <c r="R39" s="1574" t="s">
        <v>8</v>
      </c>
      <c r="S39" s="1575">
        <f t="shared" si="12"/>
        <v>100</v>
      </c>
      <c r="T39" s="1574" t="s">
        <v>8</v>
      </c>
      <c r="U39" s="1575">
        <f t="shared" si="13"/>
        <v>100</v>
      </c>
      <c r="V39" s="1574" t="s">
        <v>8</v>
      </c>
      <c r="W39" s="1575">
        <f t="shared" si="14"/>
        <v>100</v>
      </c>
      <c r="X39" s="1568"/>
      <c r="Y39" s="3394"/>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4"/>
      <c r="Q40" s="1573" t="str">
        <f t="shared" si="11"/>
        <v>单套建筑面积</v>
      </c>
      <c r="R40" s="1574" t="s">
        <v>8</v>
      </c>
      <c r="S40" s="1575">
        <f t="shared" si="12"/>
        <v>100</v>
      </c>
      <c r="T40" s="1574" t="s">
        <v>8</v>
      </c>
      <c r="U40" s="1575">
        <f t="shared" si="13"/>
        <v>100</v>
      </c>
      <c r="V40" s="1574" t="s">
        <v>8</v>
      </c>
      <c r="W40" s="1575">
        <f t="shared" si="14"/>
        <v>100</v>
      </c>
      <c r="X40" s="1568"/>
      <c r="Y40" s="3394"/>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4"/>
      <c r="Q41" s="1606" t="str">
        <f t="shared" si="11"/>
        <v>进深比</v>
      </c>
      <c r="R41" s="1578" t="s">
        <v>8</v>
      </c>
      <c r="S41" s="1579">
        <f t="shared" si="12"/>
        <v>100</v>
      </c>
      <c r="T41" s="1578" t="s">
        <v>8</v>
      </c>
      <c r="U41" s="1579">
        <f t="shared" si="13"/>
        <v>100</v>
      </c>
      <c r="V41" s="1578" t="s">
        <v>8</v>
      </c>
      <c r="W41" s="1579">
        <f t="shared" si="14"/>
        <v>100</v>
      </c>
      <c r="X41" s="1580"/>
      <c r="Y41" s="3394"/>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4"/>
      <c r="Q42" s="1573" t="str">
        <f t="shared" si="11"/>
        <v>内部装修</v>
      </c>
      <c r="R42" s="1574" t="s">
        <v>8</v>
      </c>
      <c r="S42" s="1575">
        <f t="shared" si="12"/>
        <v>100</v>
      </c>
      <c r="T42" s="1574" t="s">
        <v>8</v>
      </c>
      <c r="U42" s="1575">
        <f t="shared" si="13"/>
        <v>100</v>
      </c>
      <c r="V42" s="1574" t="s">
        <v>8</v>
      </c>
      <c r="W42" s="1575">
        <f t="shared" si="14"/>
        <v>100</v>
      </c>
      <c r="X42" s="1568"/>
      <c r="Y42" s="3394"/>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4"/>
      <c r="Q43" s="1573" t="str">
        <f t="shared" si="11"/>
        <v>内部装修维护情况</v>
      </c>
      <c r="R43" s="1574" t="s">
        <v>8</v>
      </c>
      <c r="S43" s="1575">
        <f t="shared" si="12"/>
        <v>100</v>
      </c>
      <c r="T43" s="1574" t="s">
        <v>8</v>
      </c>
      <c r="U43" s="1575">
        <f t="shared" si="13"/>
        <v>100</v>
      </c>
      <c r="V43" s="1574" t="s">
        <v>8</v>
      </c>
      <c r="W43" s="1575">
        <f t="shared" si="14"/>
        <v>100</v>
      </c>
      <c r="X43" s="1568"/>
      <c r="Y43" s="339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4"/>
      <c r="Q44" s="1151">
        <f t="shared" si="11"/>
        <v>111</v>
      </c>
      <c r="R44" s="1569" t="s">
        <v>8</v>
      </c>
      <c r="S44" s="1570">
        <f t="shared" si="12"/>
        <v>100</v>
      </c>
      <c r="T44" s="1569" t="s">
        <v>8</v>
      </c>
      <c r="U44" s="1570">
        <f t="shared" si="13"/>
        <v>100</v>
      </c>
      <c r="V44" s="1569" t="s">
        <v>8</v>
      </c>
      <c r="W44" s="1570">
        <f t="shared" si="14"/>
        <v>100</v>
      </c>
      <c r="X44" s="1571"/>
      <c r="Y44" s="339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4"/>
      <c r="Q45" s="1573">
        <f t="shared" si="11"/>
        <v>111</v>
      </c>
      <c r="R45" s="1574" t="s">
        <v>8</v>
      </c>
      <c r="S45" s="1575">
        <f t="shared" si="12"/>
        <v>100</v>
      </c>
      <c r="T45" s="1574" t="s">
        <v>8</v>
      </c>
      <c r="U45" s="1575">
        <f t="shared" si="13"/>
        <v>100</v>
      </c>
      <c r="V45" s="1574" t="s">
        <v>8</v>
      </c>
      <c r="W45" s="1575">
        <f t="shared" si="14"/>
        <v>100</v>
      </c>
      <c r="X45" s="1568"/>
      <c r="Y45" s="339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0"/>
      <c r="Q46" s="1573">
        <f t="shared" si="11"/>
        <v>111</v>
      </c>
      <c r="R46" s="1574" t="s">
        <v>8</v>
      </c>
      <c r="S46" s="1575">
        <f t="shared" si="12"/>
        <v>100</v>
      </c>
      <c r="T46" s="1574" t="s">
        <v>8</v>
      </c>
      <c r="U46" s="1575">
        <f t="shared" si="13"/>
        <v>100</v>
      </c>
      <c r="V46" s="1574" t="s">
        <v>8</v>
      </c>
      <c r="W46" s="1575">
        <f t="shared" si="14"/>
        <v>100</v>
      </c>
      <c r="X46" s="1568"/>
      <c r="Y46" s="3470"/>
      <c r="Z46" s="1576">
        <f t="shared" si="15"/>
        <v>111</v>
      </c>
      <c r="AA46" s="1577">
        <f t="shared" si="3"/>
        <v>1</v>
      </c>
      <c r="AB46" s="1577">
        <f t="shared" si="4"/>
        <v>1</v>
      </c>
      <c r="AC46" s="1577">
        <f t="shared" si="5"/>
        <v>1</v>
      </c>
    </row>
    <row r="47" spans="1:29" ht="15">
      <c r="A47" s="607" t="s">
        <v>737</v>
      </c>
      <c r="B47" s="887"/>
      <c r="C47" s="2652" t="s">
        <v>1</v>
      </c>
      <c r="D47" s="2653"/>
      <c r="E47" s="2654"/>
      <c r="F47" s="2655"/>
      <c r="G47" s="2656"/>
      <c r="H47" s="2657"/>
      <c r="I47" s="2654"/>
      <c r="J47" s="2657"/>
      <c r="K47" s="1612"/>
      <c r="L47" s="2145"/>
      <c r="M47" s="2146"/>
      <c r="N47" s="2135"/>
      <c r="O47" s="2146"/>
      <c r="P47" s="3355" t="str">
        <f>A47</f>
        <v>成交单价（元/平方米）</v>
      </c>
      <c r="Q47" s="3355"/>
      <c r="R47" s="3469">
        <f>E47</f>
        <v>0</v>
      </c>
      <c r="S47" s="3469"/>
      <c r="T47" s="3469">
        <f>G47</f>
        <v>0</v>
      </c>
      <c r="U47" s="3469"/>
      <c r="V47" s="3469">
        <f>I47</f>
        <v>0</v>
      </c>
      <c r="W47" s="3469"/>
      <c r="X47" s="1560"/>
      <c r="Y47" s="1582"/>
      <c r="Z47" s="1560"/>
      <c r="AA47" s="1560"/>
      <c r="AB47" s="1560"/>
      <c r="AC47" s="1560"/>
    </row>
    <row r="48" spans="1:29" ht="15.75" thickBot="1">
      <c r="A48" s="615" t="s">
        <v>2766</v>
      </c>
      <c r="B48" s="888"/>
      <c r="C48" s="2658" t="e">
        <f>R49</f>
        <v>#DIV/0!</v>
      </c>
      <c r="D48" s="2659"/>
      <c r="E48" s="2660" t="e">
        <f>R48</f>
        <v>#DIV/0!</v>
      </c>
      <c r="F48" s="2660"/>
      <c r="G48" s="2658" t="e">
        <f>T48</f>
        <v>#DIV/0!</v>
      </c>
      <c r="H48" s="2659"/>
      <c r="I48" s="2660" t="e">
        <f>V48</f>
        <v>#DIV/0!</v>
      </c>
      <c r="J48" s="2659"/>
      <c r="K48" s="1613"/>
      <c r="L48" s="2145"/>
      <c r="M48" s="2146"/>
      <c r="N48" s="2135"/>
      <c r="O48" s="2146"/>
      <c r="P48" s="3355" t="str">
        <f>A48</f>
        <v>比较价格（元/平方米）</v>
      </c>
      <c r="Q48" s="3355"/>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0"/>
      <c r="Y48" s="1560"/>
      <c r="Z48" s="1560"/>
      <c r="AA48" s="1560"/>
      <c r="AB48" s="1560"/>
      <c r="AC48" s="1560"/>
    </row>
    <row r="49" spans="1:29" ht="15.75" thickBot="1">
      <c r="A49" s="621" t="s">
        <v>2938</v>
      </c>
      <c r="B49" s="622"/>
      <c r="C49" s="2661" t="e">
        <f>R49</f>
        <v>#DIV/0!</v>
      </c>
      <c r="D49" s="2661"/>
      <c r="E49" s="2661"/>
      <c r="F49" s="2661"/>
      <c r="G49" s="2661"/>
      <c r="H49" s="2661"/>
      <c r="I49" s="2661"/>
      <c r="J49" s="2661"/>
      <c r="K49" s="1614"/>
      <c r="L49" s="2145"/>
      <c r="M49" s="2146"/>
      <c r="N49" s="2135"/>
      <c r="O49" s="2146"/>
      <c r="P49" s="3352" t="str">
        <f>A49</f>
        <v>估价对象XX用房的比较价格（楼面单价，元/平方米）</v>
      </c>
      <c r="Q49" s="3353"/>
      <c r="R49" s="3468" t="e">
        <f>IF(F1="售价",ROUND(AVERAGE(R48:V48),0),ROUND(AVERAGE(R48:V48),1))</f>
        <v>#DIV/0!</v>
      </c>
      <c r="S49" s="3468"/>
      <c r="T49" s="3468"/>
      <c r="U49" s="3468"/>
      <c r="V49" s="3468"/>
      <c r="W49" s="346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2560</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361" t="s">
        <v>523</v>
      </c>
      <c r="D4" s="3362"/>
      <c r="E4" s="3398" t="s">
        <v>524</v>
      </c>
      <c r="F4" s="3399"/>
      <c r="G4" s="3361" t="s">
        <v>525</v>
      </c>
      <c r="H4" s="3362"/>
      <c r="I4" s="3361" t="s">
        <v>526</v>
      </c>
      <c r="J4" s="3362"/>
      <c r="K4" s="514" t="s">
        <v>527</v>
      </c>
      <c r="L4" s="2134"/>
      <c r="M4" s="2135"/>
      <c r="N4" s="2135"/>
      <c r="O4" s="2135"/>
      <c r="P4" s="3474" t="s">
        <v>528</v>
      </c>
      <c r="Q4" s="3364"/>
      <c r="R4" s="3369" t="s">
        <v>524</v>
      </c>
      <c r="S4" s="3370"/>
      <c r="T4" s="3369" t="s">
        <v>525</v>
      </c>
      <c r="U4" s="3370"/>
      <c r="V4" s="3356" t="s">
        <v>526</v>
      </c>
      <c r="W4" s="3356"/>
      <c r="X4" s="1568"/>
      <c r="Y4" s="3369" t="s">
        <v>528</v>
      </c>
      <c r="Z4" s="3370"/>
      <c r="AA4" s="3358" t="s">
        <v>524</v>
      </c>
      <c r="AB4" s="3358" t="s">
        <v>525</v>
      </c>
      <c r="AC4" s="3358" t="s">
        <v>526</v>
      </c>
    </row>
    <row r="5" spans="1:29" ht="15">
      <c r="A5" s="515"/>
      <c r="B5" s="516"/>
      <c r="C5" s="3379" t="s">
        <v>2932</v>
      </c>
      <c r="D5" s="3378"/>
      <c r="E5" s="3400" t="s">
        <v>2933</v>
      </c>
      <c r="F5" s="3401"/>
      <c r="G5" s="3379" t="s">
        <v>2934</v>
      </c>
      <c r="H5" s="3378"/>
      <c r="I5" s="3379" t="s">
        <v>2935</v>
      </c>
      <c r="J5" s="3378"/>
      <c r="K5" s="514"/>
      <c r="L5" s="2134"/>
      <c r="M5" s="2135"/>
      <c r="N5" s="2135"/>
      <c r="O5" s="2135"/>
      <c r="P5" s="3475"/>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476"/>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0" t="s">
        <v>531</v>
      </c>
      <c r="Q7" s="3390"/>
      <c r="R7" s="1569" t="s">
        <v>8</v>
      </c>
      <c r="S7" s="1570">
        <f t="shared" ref="S7:S15" si="0">F7</f>
        <v>0</v>
      </c>
      <c r="T7" s="1569" t="s">
        <v>8</v>
      </c>
      <c r="U7" s="1570">
        <f t="shared" ref="U7:U15" si="1">H7</f>
        <v>0</v>
      </c>
      <c r="V7" s="1569" t="s">
        <v>8</v>
      </c>
      <c r="W7" s="1570">
        <f t="shared" ref="W7:W15"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0" t="s">
        <v>534</v>
      </c>
      <c r="Q8" s="3389"/>
      <c r="R8" s="1569" t="s">
        <v>8</v>
      </c>
      <c r="S8" s="1570">
        <f t="shared" si="0"/>
        <v>0</v>
      </c>
      <c r="T8" s="1569" t="s">
        <v>8</v>
      </c>
      <c r="U8" s="1570">
        <f t="shared" si="1"/>
        <v>0</v>
      </c>
      <c r="V8" s="1569" t="s">
        <v>8</v>
      </c>
      <c r="W8" s="1570">
        <f t="shared" si="2"/>
        <v>0</v>
      </c>
      <c r="X8" s="1571"/>
      <c r="Y8" s="3388" t="s">
        <v>534</v>
      </c>
      <c r="Z8" s="3389"/>
      <c r="AA8" s="1572" t="e">
        <f t="shared" ref="AA8:AA47" si="3">D8/F8</f>
        <v>#DIV/0!</v>
      </c>
      <c r="AB8" s="1572" t="e">
        <f t="shared" ref="AB8:AB47" si="4">D8/H8</f>
        <v>#DIV/0!</v>
      </c>
      <c r="AC8" s="1572" t="e">
        <f t="shared" ref="AC8:AC47" si="5">D8/J8</f>
        <v>#DIV/0!</v>
      </c>
    </row>
    <row r="9" spans="1:29" s="1220" customFormat="1" ht="15">
      <c r="A9" s="2941"/>
      <c r="B9" s="2948" t="s">
        <v>2762</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71.25">
      <c r="A15" s="2937"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1" t="s">
        <v>541</v>
      </c>
      <c r="Q15" s="1573" t="str">
        <f t="shared" si="6"/>
        <v>办公集聚程度</v>
      </c>
      <c r="R15" s="1574" t="s">
        <v>8</v>
      </c>
      <c r="S15" s="1575">
        <f t="shared" si="0"/>
        <v>100</v>
      </c>
      <c r="T15" s="1574" t="s">
        <v>8</v>
      </c>
      <c r="U15" s="1575">
        <f t="shared" si="1"/>
        <v>100</v>
      </c>
      <c r="V15" s="1574" t="s">
        <v>8</v>
      </c>
      <c r="W15" s="1575">
        <f t="shared" si="2"/>
        <v>100</v>
      </c>
      <c r="X15" s="1568"/>
      <c r="Y15" s="3391"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2"/>
      <c r="Q16" s="1573"/>
      <c r="R16" s="1574"/>
      <c r="S16" s="1575"/>
      <c r="T16" s="1574"/>
      <c r="U16" s="1575"/>
      <c r="V16" s="1574"/>
      <c r="W16" s="1575"/>
      <c r="X16" s="1568"/>
      <c r="Y16" s="339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2"/>
      <c r="Q18" s="1573"/>
      <c r="R18" s="1574"/>
      <c r="S18" s="1575"/>
      <c r="T18" s="1574"/>
      <c r="U18" s="1575"/>
      <c r="V18" s="1574"/>
      <c r="W18" s="1575"/>
      <c r="X18" s="1568"/>
      <c r="Y18" s="3392"/>
      <c r="Z18" s="1576"/>
      <c r="AA18" s="1577">
        <v>1</v>
      </c>
      <c r="AB18" s="1577">
        <v>1</v>
      </c>
      <c r="AC18" s="1577">
        <v>1</v>
      </c>
    </row>
    <row r="19" spans="1:29" ht="42.75">
      <c r="A19" s="532"/>
      <c r="B19" s="2628" t="s">
        <v>2550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2"/>
      <c r="Q20" s="1573"/>
      <c r="R20" s="1574"/>
      <c r="S20" s="1575"/>
      <c r="T20" s="1574"/>
      <c r="U20" s="1575"/>
      <c r="V20" s="1574"/>
      <c r="W20" s="1575"/>
      <c r="X20" s="1568"/>
      <c r="Y20" s="3392"/>
      <c r="Z20" s="1576"/>
      <c r="AA20" s="1577">
        <v>1</v>
      </c>
      <c r="AB20" s="1577">
        <v>1</v>
      </c>
      <c r="AC20" s="1577">
        <v>1</v>
      </c>
    </row>
    <row r="21" spans="1:29" ht="28.5">
      <c r="A21" s="532"/>
      <c r="B21" s="2616" t="s">
        <v>2562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2"/>
      <c r="Q21" s="2604" t="str">
        <f>B21</f>
        <v>基础设施水平</v>
      </c>
      <c r="R21" s="1574" t="s">
        <v>8</v>
      </c>
      <c r="S21" s="1575">
        <f>F21</f>
        <v>100</v>
      </c>
      <c r="T21" s="1574" t="s">
        <v>8</v>
      </c>
      <c r="U21" s="1575">
        <f>H21</f>
        <v>100</v>
      </c>
      <c r="V21" s="1574" t="s">
        <v>8</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392"/>
      <c r="Q22" s="2604"/>
      <c r="R22" s="1574"/>
      <c r="S22" s="1575"/>
      <c r="T22" s="1574"/>
      <c r="U22" s="1575"/>
      <c r="V22" s="1574"/>
      <c r="W22" s="1575"/>
      <c r="X22" s="2606"/>
      <c r="Y22" s="3392"/>
      <c r="Z22" s="2605"/>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2"/>
      <c r="Q23" s="1573" t="str">
        <f>B23</f>
        <v>环境质量</v>
      </c>
      <c r="R23" s="1574" t="s">
        <v>8</v>
      </c>
      <c r="S23" s="1575">
        <f>F23</f>
        <v>100</v>
      </c>
      <c r="T23" s="1574" t="s">
        <v>8</v>
      </c>
      <c r="U23" s="1575">
        <f>H23</f>
        <v>100</v>
      </c>
      <c r="V23" s="1574" t="s">
        <v>8</v>
      </c>
      <c r="W23" s="1575">
        <f>J23</f>
        <v>100</v>
      </c>
      <c r="X23" s="1568"/>
      <c r="Y23" s="339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2"/>
      <c r="Q24" s="1573"/>
      <c r="R24" s="1574"/>
      <c r="S24" s="1575"/>
      <c r="T24" s="1574"/>
      <c r="U24" s="1575"/>
      <c r="V24" s="1574"/>
      <c r="W24" s="1575"/>
      <c r="X24" s="1568"/>
      <c r="Y24" s="3392"/>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2"/>
      <c r="Q25" s="1573" t="str">
        <f>B25</f>
        <v>毗邻道路的类型与等级</v>
      </c>
      <c r="R25" s="1574" t="s">
        <v>8</v>
      </c>
      <c r="S25" s="1575">
        <f>F25</f>
        <v>100</v>
      </c>
      <c r="T25" s="1574" t="s">
        <v>8</v>
      </c>
      <c r="U25" s="1575">
        <f>H25</f>
        <v>100</v>
      </c>
      <c r="V25" s="1574" t="s">
        <v>8</v>
      </c>
      <c r="W25" s="1575">
        <f>J25</f>
        <v>100</v>
      </c>
      <c r="X25" s="1568"/>
      <c r="Y25" s="339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2"/>
      <c r="Q26" s="1573"/>
      <c r="R26" s="1574"/>
      <c r="S26" s="1575"/>
      <c r="T26" s="1574"/>
      <c r="U26" s="1575"/>
      <c r="V26" s="1574"/>
      <c r="W26" s="1575"/>
      <c r="X26" s="1568"/>
      <c r="Y26" s="3392"/>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2"/>
      <c r="Q27" s="1573" t="str">
        <f t="shared" ref="Q27:Q47" si="11">B27</f>
        <v>楼层</v>
      </c>
      <c r="R27" s="1574" t="s">
        <v>8</v>
      </c>
      <c r="S27" s="1575">
        <f>F27</f>
        <v>100</v>
      </c>
      <c r="T27" s="1574" t="s">
        <v>8</v>
      </c>
      <c r="U27" s="1575">
        <f>H27</f>
        <v>100</v>
      </c>
      <c r="V27" s="1574" t="s">
        <v>8</v>
      </c>
      <c r="W27" s="1575">
        <f>J27</f>
        <v>100</v>
      </c>
      <c r="X27" s="1568"/>
      <c r="Y27" s="3392"/>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2"/>
      <c r="Q28" s="1151" t="str">
        <f t="shared" si="11"/>
        <v>朝向</v>
      </c>
      <c r="R28" s="1569" t="s">
        <v>8</v>
      </c>
      <c r="S28" s="1570">
        <f>F28</f>
        <v>100</v>
      </c>
      <c r="T28" s="1569" t="s">
        <v>8</v>
      </c>
      <c r="U28" s="1570">
        <f>H28</f>
        <v>100</v>
      </c>
      <c r="V28" s="1569" t="s">
        <v>8</v>
      </c>
      <c r="W28" s="1570">
        <f>J28</f>
        <v>100</v>
      </c>
      <c r="X28" s="1571"/>
      <c r="Y28" s="339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2"/>
      <c r="Q29" s="1573">
        <f t="shared" si="11"/>
        <v>111</v>
      </c>
      <c r="R29" s="1574" t="s">
        <v>8</v>
      </c>
      <c r="S29" s="1575">
        <f t="shared" ref="S29:S47" si="12">F29</f>
        <v>100</v>
      </c>
      <c r="T29" s="1574" t="s">
        <v>8</v>
      </c>
      <c r="U29" s="1575">
        <f t="shared" ref="U29:U47" si="13">H29</f>
        <v>100</v>
      </c>
      <c r="V29" s="1574" t="s">
        <v>8</v>
      </c>
      <c r="W29" s="1575">
        <f t="shared" ref="W29:W47" si="14">J29</f>
        <v>100</v>
      </c>
      <c r="X29" s="1568"/>
      <c r="Y29" s="339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2"/>
      <c r="Q30" s="1573">
        <f t="shared" si="11"/>
        <v>111</v>
      </c>
      <c r="R30" s="1574" t="s">
        <v>8</v>
      </c>
      <c r="S30" s="1575">
        <f t="shared" si="12"/>
        <v>100</v>
      </c>
      <c r="T30" s="1574" t="s">
        <v>8</v>
      </c>
      <c r="U30" s="1575">
        <f t="shared" si="13"/>
        <v>100</v>
      </c>
      <c r="V30" s="1574" t="s">
        <v>8</v>
      </c>
      <c r="W30" s="1575">
        <f t="shared" si="14"/>
        <v>100</v>
      </c>
      <c r="X30" s="1568"/>
      <c r="Y30" s="339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2"/>
      <c r="Q31" s="1573">
        <f t="shared" si="11"/>
        <v>111</v>
      </c>
      <c r="R31" s="1574" t="s">
        <v>8</v>
      </c>
      <c r="S31" s="1575">
        <f t="shared" si="12"/>
        <v>100</v>
      </c>
      <c r="T31" s="1574" t="s">
        <v>8</v>
      </c>
      <c r="U31" s="1575">
        <f t="shared" si="13"/>
        <v>100</v>
      </c>
      <c r="V31" s="1574" t="s">
        <v>8</v>
      </c>
      <c r="W31" s="1575">
        <f t="shared" si="14"/>
        <v>100</v>
      </c>
      <c r="X31" s="1568"/>
      <c r="Y31" s="339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2"/>
      <c r="Q32" s="1573">
        <f t="shared" si="11"/>
        <v>111</v>
      </c>
      <c r="R32" s="1574" t="s">
        <v>8</v>
      </c>
      <c r="S32" s="1575">
        <f t="shared" si="12"/>
        <v>100</v>
      </c>
      <c r="T32" s="1574" t="s">
        <v>8</v>
      </c>
      <c r="U32" s="1575">
        <f t="shared" si="13"/>
        <v>100</v>
      </c>
      <c r="V32" s="1574" t="s">
        <v>8</v>
      </c>
      <c r="W32" s="1575">
        <f t="shared" si="14"/>
        <v>100</v>
      </c>
      <c r="X32" s="1568"/>
      <c r="Y32" s="3392"/>
      <c r="Z32" s="1576">
        <f t="shared" si="15"/>
        <v>111</v>
      </c>
      <c r="AA32" s="1577">
        <f t="shared" si="3"/>
        <v>1</v>
      </c>
      <c r="AB32" s="1577">
        <f t="shared" si="4"/>
        <v>1</v>
      </c>
      <c r="AC32" s="1577">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3" t="s">
        <v>551</v>
      </c>
      <c r="Q33" s="1573" t="str">
        <f t="shared" si="11"/>
        <v>建筑类型</v>
      </c>
      <c r="R33" s="1574" t="s">
        <v>8</v>
      </c>
      <c r="S33" s="1575">
        <f t="shared" si="12"/>
        <v>100</v>
      </c>
      <c r="T33" s="1574" t="s">
        <v>8</v>
      </c>
      <c r="U33" s="1575">
        <f t="shared" si="13"/>
        <v>100</v>
      </c>
      <c r="V33" s="1574" t="s">
        <v>8</v>
      </c>
      <c r="W33" s="1575">
        <f t="shared" si="14"/>
        <v>100</v>
      </c>
      <c r="X33" s="1568"/>
      <c r="Y33" s="3394"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4"/>
      <c r="Q34" s="1606" t="str">
        <f t="shared" si="11"/>
        <v>项目建筑规模</v>
      </c>
      <c r="R34" s="1578" t="s">
        <v>8</v>
      </c>
      <c r="S34" s="1579" t="e">
        <f t="shared" si="12"/>
        <v>#N/A</v>
      </c>
      <c r="T34" s="1578" t="s">
        <v>8</v>
      </c>
      <c r="U34" s="1579" t="e">
        <f t="shared" si="13"/>
        <v>#N/A</v>
      </c>
      <c r="V34" s="1578" t="s">
        <v>8</v>
      </c>
      <c r="W34" s="1579" t="e">
        <f t="shared" si="14"/>
        <v>#N/A</v>
      </c>
      <c r="X34" s="1580"/>
      <c r="Y34" s="3394"/>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4"/>
      <c r="Q35" s="1573" t="str">
        <f t="shared" si="11"/>
        <v>建筑结构</v>
      </c>
      <c r="R35" s="1574" t="s">
        <v>8</v>
      </c>
      <c r="S35" s="1575">
        <f t="shared" si="12"/>
        <v>100</v>
      </c>
      <c r="T35" s="1574" t="s">
        <v>8</v>
      </c>
      <c r="U35" s="1575">
        <f t="shared" si="13"/>
        <v>100</v>
      </c>
      <c r="V35" s="1574" t="s">
        <v>8</v>
      </c>
      <c r="W35" s="1575">
        <f t="shared" si="14"/>
        <v>100</v>
      </c>
      <c r="X35" s="1568"/>
      <c r="Y35" s="3394"/>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4"/>
      <c r="Q36" s="1573" t="str">
        <f t="shared" si="11"/>
        <v>公共部分装修</v>
      </c>
      <c r="R36" s="1574" t="s">
        <v>8</v>
      </c>
      <c r="S36" s="1575">
        <f t="shared" si="12"/>
        <v>100</v>
      </c>
      <c r="T36" s="1574" t="s">
        <v>8</v>
      </c>
      <c r="U36" s="1575">
        <f t="shared" si="13"/>
        <v>100</v>
      </c>
      <c r="V36" s="1574" t="s">
        <v>8</v>
      </c>
      <c r="W36" s="1575">
        <f t="shared" si="14"/>
        <v>100</v>
      </c>
      <c r="X36" s="1568"/>
      <c r="Y36" s="3394"/>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4"/>
      <c r="Q37" s="1573" t="str">
        <f t="shared" si="11"/>
        <v>成新度</v>
      </c>
      <c r="R37" s="1574" t="s">
        <v>8</v>
      </c>
      <c r="S37" s="1575" t="e">
        <f t="shared" si="12"/>
        <v>#N/A</v>
      </c>
      <c r="T37" s="1574" t="s">
        <v>8</v>
      </c>
      <c r="U37" s="1575" t="e">
        <f t="shared" si="13"/>
        <v>#N/A</v>
      </c>
      <c r="V37" s="1574" t="s">
        <v>8</v>
      </c>
      <c r="W37" s="1575" t="e">
        <f t="shared" si="14"/>
        <v>#N/A</v>
      </c>
      <c r="X37" s="1568"/>
      <c r="Y37" s="3394"/>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4"/>
      <c r="Q38" s="1151" t="str">
        <f t="shared" si="11"/>
        <v>写字楼等级</v>
      </c>
      <c r="R38" s="1569" t="s">
        <v>8</v>
      </c>
      <c r="S38" s="1570">
        <f t="shared" si="12"/>
        <v>100</v>
      </c>
      <c r="T38" s="1569" t="s">
        <v>8</v>
      </c>
      <c r="U38" s="1570">
        <f t="shared" si="13"/>
        <v>100</v>
      </c>
      <c r="V38" s="1569" t="s">
        <v>8</v>
      </c>
      <c r="W38" s="1570">
        <f t="shared" si="14"/>
        <v>100</v>
      </c>
      <c r="X38" s="1571"/>
      <c r="Y38" s="3394"/>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4" t="s">
        <v>551</v>
      </c>
      <c r="Q39" s="1573" t="str">
        <f t="shared" si="11"/>
        <v>物业管理</v>
      </c>
      <c r="R39" s="1574" t="s">
        <v>8</v>
      </c>
      <c r="S39" s="1575">
        <f t="shared" si="12"/>
        <v>100</v>
      </c>
      <c r="T39" s="1574" t="s">
        <v>8</v>
      </c>
      <c r="U39" s="1575">
        <f t="shared" si="13"/>
        <v>100</v>
      </c>
      <c r="V39" s="1574" t="s">
        <v>8</v>
      </c>
      <c r="W39" s="1575">
        <f t="shared" si="14"/>
        <v>100</v>
      </c>
      <c r="X39" s="1568"/>
      <c r="Y39" s="3394" t="s">
        <v>551</v>
      </c>
      <c r="Z39" s="1576" t="str">
        <f t="shared" si="15"/>
        <v>物业管理</v>
      </c>
      <c r="AA39" s="1577">
        <f t="shared" si="3"/>
        <v>1</v>
      </c>
      <c r="AB39" s="1577">
        <f t="shared" si="4"/>
        <v>1</v>
      </c>
      <c r="AC39" s="1577">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4"/>
      <c r="Q40" s="1573" t="str">
        <f t="shared" si="11"/>
        <v>市政基础设施</v>
      </c>
      <c r="R40" s="1574" t="s">
        <v>8</v>
      </c>
      <c r="S40" s="1575">
        <f t="shared" si="12"/>
        <v>100</v>
      </c>
      <c r="T40" s="1574" t="s">
        <v>8</v>
      </c>
      <c r="U40" s="1575">
        <f t="shared" si="13"/>
        <v>100</v>
      </c>
      <c r="V40" s="1574" t="s">
        <v>8</v>
      </c>
      <c r="W40" s="1575">
        <f t="shared" si="14"/>
        <v>100</v>
      </c>
      <c r="X40" s="1568"/>
      <c r="Y40" s="3394"/>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4"/>
      <c r="Q41" s="1573" t="str">
        <f t="shared" si="11"/>
        <v>层高</v>
      </c>
      <c r="R41" s="1574" t="s">
        <v>8</v>
      </c>
      <c r="S41" s="1575">
        <f t="shared" si="12"/>
        <v>100</v>
      </c>
      <c r="T41" s="1574" t="s">
        <v>8</v>
      </c>
      <c r="U41" s="1575">
        <f t="shared" si="13"/>
        <v>100</v>
      </c>
      <c r="V41" s="1574" t="s">
        <v>8</v>
      </c>
      <c r="W41" s="1575">
        <f t="shared" si="14"/>
        <v>100</v>
      </c>
      <c r="X41" s="1568"/>
      <c r="Y41" s="3394"/>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4"/>
      <c r="Q42" s="1606" t="str">
        <f t="shared" si="11"/>
        <v>单套建筑面积</v>
      </c>
      <c r="R42" s="1578" t="s">
        <v>8</v>
      </c>
      <c r="S42" s="1579">
        <f t="shared" si="12"/>
        <v>100</v>
      </c>
      <c r="T42" s="1578" t="s">
        <v>8</v>
      </c>
      <c r="U42" s="1579">
        <f t="shared" si="13"/>
        <v>100</v>
      </c>
      <c r="V42" s="1578" t="s">
        <v>8</v>
      </c>
      <c r="W42" s="1579">
        <f t="shared" si="14"/>
        <v>100</v>
      </c>
      <c r="X42" s="1580"/>
      <c r="Y42" s="3394"/>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4"/>
      <c r="Q43" s="1573" t="str">
        <f t="shared" si="11"/>
        <v>内部装修</v>
      </c>
      <c r="R43" s="1574" t="s">
        <v>8</v>
      </c>
      <c r="S43" s="1575">
        <f t="shared" si="12"/>
        <v>100</v>
      </c>
      <c r="T43" s="1574" t="s">
        <v>8</v>
      </c>
      <c r="U43" s="1575">
        <f t="shared" si="13"/>
        <v>100</v>
      </c>
      <c r="V43" s="1574" t="s">
        <v>8</v>
      </c>
      <c r="W43" s="1575">
        <f t="shared" si="14"/>
        <v>100</v>
      </c>
      <c r="X43" s="1568"/>
      <c r="Y43" s="3394"/>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4"/>
      <c r="Q44" s="1573" t="str">
        <f t="shared" si="11"/>
        <v>内部装修维护情况</v>
      </c>
      <c r="R44" s="1574" t="s">
        <v>8</v>
      </c>
      <c r="S44" s="1575">
        <f t="shared" si="12"/>
        <v>100</v>
      </c>
      <c r="T44" s="1574" t="s">
        <v>8</v>
      </c>
      <c r="U44" s="1575">
        <f t="shared" si="13"/>
        <v>100</v>
      </c>
      <c r="V44" s="1574" t="s">
        <v>8</v>
      </c>
      <c r="W44" s="1575">
        <f t="shared" si="14"/>
        <v>100</v>
      </c>
      <c r="X44" s="1568"/>
      <c r="Y44" s="339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4"/>
      <c r="Q45" s="1151">
        <f t="shared" si="11"/>
        <v>111</v>
      </c>
      <c r="R45" s="1569" t="s">
        <v>8</v>
      </c>
      <c r="S45" s="1570">
        <f t="shared" si="12"/>
        <v>100</v>
      </c>
      <c r="T45" s="1569" t="s">
        <v>8</v>
      </c>
      <c r="U45" s="1570">
        <f t="shared" si="13"/>
        <v>100</v>
      </c>
      <c r="V45" s="1569" t="s">
        <v>8</v>
      </c>
      <c r="W45" s="1570">
        <f t="shared" si="14"/>
        <v>100</v>
      </c>
      <c r="X45" s="1571"/>
      <c r="Y45" s="339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4"/>
      <c r="Q46" s="1573">
        <f t="shared" si="11"/>
        <v>111</v>
      </c>
      <c r="R46" s="1574" t="s">
        <v>8</v>
      </c>
      <c r="S46" s="1575">
        <f t="shared" si="12"/>
        <v>100</v>
      </c>
      <c r="T46" s="1574" t="s">
        <v>8</v>
      </c>
      <c r="U46" s="1575">
        <f t="shared" si="13"/>
        <v>100</v>
      </c>
      <c r="V46" s="1574" t="s">
        <v>8</v>
      </c>
      <c r="W46" s="1575">
        <f t="shared" si="14"/>
        <v>100</v>
      </c>
      <c r="X46" s="1568"/>
      <c r="Y46" s="339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0"/>
      <c r="Q47" s="1573">
        <f t="shared" si="11"/>
        <v>111</v>
      </c>
      <c r="R47" s="1574" t="s">
        <v>8</v>
      </c>
      <c r="S47" s="1575">
        <f t="shared" si="12"/>
        <v>100</v>
      </c>
      <c r="T47" s="1574" t="s">
        <v>8</v>
      </c>
      <c r="U47" s="1575">
        <f t="shared" si="13"/>
        <v>100</v>
      </c>
      <c r="V47" s="1574" t="s">
        <v>8</v>
      </c>
      <c r="W47" s="1575">
        <f t="shared" si="14"/>
        <v>100</v>
      </c>
      <c r="X47" s="1568"/>
      <c r="Y47" s="3470"/>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353" t="str">
        <f>A48</f>
        <v>成交单价（元/平方米）</v>
      </c>
      <c r="Q48" s="3355"/>
      <c r="R48" s="3469">
        <f>E48</f>
        <v>0</v>
      </c>
      <c r="S48" s="3469"/>
      <c r="T48" s="3469">
        <f>G48</f>
        <v>0</v>
      </c>
      <c r="U48" s="3469"/>
      <c r="V48" s="3469">
        <f>I48</f>
        <v>0</v>
      </c>
      <c r="W48" s="3469"/>
      <c r="X48" s="1560"/>
      <c r="Y48" s="1582"/>
      <c r="Z48" s="1560"/>
      <c r="AA48" s="1560"/>
      <c r="AB48" s="1560"/>
      <c r="AC48" s="1560"/>
    </row>
    <row r="49" spans="1:29" ht="15.75" thickBot="1">
      <c r="A49" s="615" t="s">
        <v>2766</v>
      </c>
      <c r="B49" s="888"/>
      <c r="C49" s="2658" t="e">
        <f>R50</f>
        <v>#DIV/0!</v>
      </c>
      <c r="D49" s="2659"/>
      <c r="E49" s="2660" t="e">
        <f>R49</f>
        <v>#DIV/0!</v>
      </c>
      <c r="F49" s="2660"/>
      <c r="G49" s="2658" t="e">
        <f>T49</f>
        <v>#DIV/0!</v>
      </c>
      <c r="H49" s="2659"/>
      <c r="I49" s="2660" t="e">
        <f>V49</f>
        <v>#DIV/0!</v>
      </c>
      <c r="J49" s="2659"/>
      <c r="K49" s="1613"/>
      <c r="L49" s="2145"/>
      <c r="M49" s="2135"/>
      <c r="N49" s="2135"/>
      <c r="O49" s="2135"/>
      <c r="P49" s="3353" t="str">
        <f>A49</f>
        <v>比较价格（元/平方米）</v>
      </c>
      <c r="Q49" s="3355"/>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60"/>
      <c r="Y49" s="1560"/>
      <c r="Z49" s="1560"/>
      <c r="AA49" s="1560"/>
      <c r="AB49" s="1560"/>
      <c r="AC49" s="1560"/>
    </row>
    <row r="50" spans="1:29" ht="15.75" thickBot="1">
      <c r="A50" s="621" t="s">
        <v>2938</v>
      </c>
      <c r="B50" s="622"/>
      <c r="C50" s="2661" t="e">
        <f>R50</f>
        <v>#DIV/0!</v>
      </c>
      <c r="D50" s="2661"/>
      <c r="E50" s="2661"/>
      <c r="F50" s="2661"/>
      <c r="G50" s="2661"/>
      <c r="H50" s="2661"/>
      <c r="I50" s="2661"/>
      <c r="J50" s="2661"/>
      <c r="K50" s="1614"/>
      <c r="L50" s="2145"/>
      <c r="M50" s="2135"/>
      <c r="N50" s="2135"/>
      <c r="O50" s="2135"/>
      <c r="P50" s="3473" t="str">
        <f>A50</f>
        <v>估价对象XX用房的比较价格（楼面单价，元/平方米）</v>
      </c>
      <c r="Q50" s="3353"/>
      <c r="R50" s="3468" t="e">
        <f>IF(F1="售价",ROUND(AVERAGE(R49:V49),0),ROUND(AVERAGE(R49:V49),1))</f>
        <v>#DIV/0!</v>
      </c>
      <c r="S50" s="3468"/>
      <c r="T50" s="3468"/>
      <c r="U50" s="3468"/>
      <c r="V50" s="3468"/>
      <c r="W50" s="3468"/>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2017-11</v>
      </c>
      <c r="D59" s="2831">
        <f>EDATE(C59,-1)</f>
        <v>43009</v>
      </c>
      <c r="E59" s="2831">
        <f t="shared" ref="E59:O59" si="16">EDATE(D59,-1)</f>
        <v>42979</v>
      </c>
      <c r="F59" s="2831">
        <f t="shared" si="16"/>
        <v>42948</v>
      </c>
      <c r="G59" s="2831">
        <f t="shared" si="16"/>
        <v>42917</v>
      </c>
      <c r="H59" s="2831">
        <f t="shared" si="16"/>
        <v>42887</v>
      </c>
      <c r="I59" s="2831">
        <f t="shared" si="16"/>
        <v>42856</v>
      </c>
      <c r="J59" s="2831">
        <f t="shared" si="16"/>
        <v>42826</v>
      </c>
      <c r="K59" s="2831">
        <f t="shared" si="16"/>
        <v>42795</v>
      </c>
      <c r="L59" s="2831">
        <f t="shared" si="16"/>
        <v>42767</v>
      </c>
      <c r="M59" s="2831">
        <f t="shared" si="16"/>
        <v>42736</v>
      </c>
      <c r="N59" s="2831">
        <f t="shared" si="16"/>
        <v>42705</v>
      </c>
      <c r="O59" s="2831">
        <f t="shared" si="16"/>
        <v>42675</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2562</v>
      </c>
      <c r="C83" s="2623" t="s">
        <v>2563</v>
      </c>
      <c r="D83" s="2623" t="s">
        <v>2564</v>
      </c>
      <c r="E83" s="2623" t="s">
        <v>2565</v>
      </c>
      <c r="F83" s="2623" t="s">
        <v>2566</v>
      </c>
      <c r="G83" s="2623" t="s">
        <v>2567</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361" t="s">
        <v>523</v>
      </c>
      <c r="D4" s="3362"/>
      <c r="E4" s="3398" t="s">
        <v>524</v>
      </c>
      <c r="F4" s="3399"/>
      <c r="G4" s="3361" t="s">
        <v>525</v>
      </c>
      <c r="H4" s="3362"/>
      <c r="I4" s="3361" t="s">
        <v>526</v>
      </c>
      <c r="J4" s="3362"/>
      <c r="K4" s="514" t="s">
        <v>527</v>
      </c>
      <c r="L4" s="2134"/>
      <c r="M4" s="2135"/>
      <c r="N4" s="2135"/>
      <c r="O4" s="2135"/>
      <c r="P4" s="3363" t="s">
        <v>528</v>
      </c>
      <c r="Q4" s="3364"/>
      <c r="R4" s="3369" t="s">
        <v>524</v>
      </c>
      <c r="S4" s="3370"/>
      <c r="T4" s="3369" t="s">
        <v>525</v>
      </c>
      <c r="U4" s="3370"/>
      <c r="V4" s="3356" t="s">
        <v>526</v>
      </c>
      <c r="W4" s="3356"/>
      <c r="X4" s="1568"/>
      <c r="Y4" s="3369" t="s">
        <v>528</v>
      </c>
      <c r="Z4" s="3370"/>
      <c r="AA4" s="3358" t="s">
        <v>524</v>
      </c>
      <c r="AB4" s="3359" t="s">
        <v>525</v>
      </c>
      <c r="AC4" s="3358" t="s">
        <v>526</v>
      </c>
    </row>
    <row r="5" spans="1:29" ht="15">
      <c r="A5" s="515"/>
      <c r="B5" s="516"/>
      <c r="C5" s="3379" t="s">
        <v>2932</v>
      </c>
      <c r="D5" s="3378"/>
      <c r="E5" s="3400" t="s">
        <v>2933</v>
      </c>
      <c r="F5" s="3401"/>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8" t="s">
        <v>531</v>
      </c>
      <c r="Q7" s="3390"/>
      <c r="R7" s="1569" t="s">
        <v>8</v>
      </c>
      <c r="S7" s="1570">
        <f t="shared" ref="S7:S15" si="0">F7</f>
        <v>0</v>
      </c>
      <c r="T7" s="1569" t="s">
        <v>8</v>
      </c>
      <c r="U7" s="1570">
        <f t="shared" ref="U7:U15" si="1">H7</f>
        <v>0</v>
      </c>
      <c r="V7" s="1569" t="s">
        <v>8</v>
      </c>
      <c r="W7" s="1570">
        <f t="shared" ref="W7:W15"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40" si="3">D8/F8</f>
        <v>#DIV/0!</v>
      </c>
      <c r="AB8" s="1572" t="e">
        <f t="shared" ref="AB8:AB40" si="4">D8/H8</f>
        <v>#DIV/0!</v>
      </c>
      <c r="AC8" s="1572" t="e">
        <f t="shared" ref="AC8:AC40" si="5">D8/J8</f>
        <v>#DIV/0!</v>
      </c>
    </row>
    <row r="9" spans="1:29" s="1220" customFormat="1" ht="15">
      <c r="A9" s="2941"/>
      <c r="B9" s="2948" t="s">
        <v>2762</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57">
      <c r="A15" s="2937"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1" t="s">
        <v>541</v>
      </c>
      <c r="Q15" s="1573" t="str">
        <f t="shared" si="6"/>
        <v>产业集聚程度</v>
      </c>
      <c r="R15" s="1574" t="s">
        <v>8</v>
      </c>
      <c r="S15" s="1575">
        <f t="shared" si="0"/>
        <v>100</v>
      </c>
      <c r="T15" s="1574" t="s">
        <v>8</v>
      </c>
      <c r="U15" s="1575">
        <f t="shared" si="1"/>
        <v>100</v>
      </c>
      <c r="V15" s="1574" t="s">
        <v>8</v>
      </c>
      <c r="W15" s="1575">
        <f t="shared" si="2"/>
        <v>100</v>
      </c>
      <c r="X15" s="1568"/>
      <c r="Y15" s="3391"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28"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616"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2"/>
      <c r="Q21" s="2604" t="str">
        <f>B21</f>
        <v>基础设施水平</v>
      </c>
      <c r="R21" s="1574" t="s">
        <v>8</v>
      </c>
      <c r="S21" s="1575">
        <f>F21</f>
        <v>100</v>
      </c>
      <c r="T21" s="1574" t="s">
        <v>8</v>
      </c>
      <c r="U21" s="1575">
        <f>H21</f>
        <v>100</v>
      </c>
      <c r="V21" s="1574" t="s">
        <v>8</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392"/>
      <c r="Q22" s="2604"/>
      <c r="R22" s="1574"/>
      <c r="S22" s="1575"/>
      <c r="T22" s="1574"/>
      <c r="U22" s="1575"/>
      <c r="V22" s="1574"/>
      <c r="W22" s="1575"/>
      <c r="X22" s="2606"/>
      <c r="Y22" s="3392"/>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2"/>
      <c r="Q23" s="1573" t="str">
        <f>B23</f>
        <v>环境质量</v>
      </c>
      <c r="R23" s="1574" t="s">
        <v>8</v>
      </c>
      <c r="S23" s="1575">
        <f>F23</f>
        <v>100</v>
      </c>
      <c r="T23" s="1574" t="s">
        <v>8</v>
      </c>
      <c r="U23" s="1575">
        <f>H23</f>
        <v>100</v>
      </c>
      <c r="V23" s="1574" t="s">
        <v>8</v>
      </c>
      <c r="W23" s="1575">
        <f>J23</f>
        <v>100</v>
      </c>
      <c r="X23" s="1568"/>
      <c r="Y23" s="339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2"/>
      <c r="Q25" s="1573">
        <f>B25</f>
        <v>111</v>
      </c>
      <c r="R25" s="1574" t="s">
        <v>8</v>
      </c>
      <c r="S25" s="1575">
        <f>F25</f>
        <v>100</v>
      </c>
      <c r="T25" s="1574" t="s">
        <v>8</v>
      </c>
      <c r="U25" s="1575">
        <f>H25</f>
        <v>100</v>
      </c>
      <c r="V25" s="1574" t="s">
        <v>8</v>
      </c>
      <c r="W25" s="1575">
        <f>J25</f>
        <v>100</v>
      </c>
      <c r="X25" s="1568"/>
      <c r="Y25" s="339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2"/>
      <c r="Q26" s="1573">
        <f t="shared" ref="Q26:Q40" si="11">B26</f>
        <v>111</v>
      </c>
      <c r="R26" s="1574" t="s">
        <v>8</v>
      </c>
      <c r="S26" s="1575">
        <f>F26</f>
        <v>100</v>
      </c>
      <c r="T26" s="1574" t="s">
        <v>8</v>
      </c>
      <c r="U26" s="1575">
        <f>H26</f>
        <v>100</v>
      </c>
      <c r="V26" s="1574" t="s">
        <v>8</v>
      </c>
      <c r="W26" s="1575">
        <f>J26</f>
        <v>100</v>
      </c>
      <c r="X26" s="1568"/>
      <c r="Y26" s="339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2"/>
      <c r="Q27" s="1151">
        <f t="shared" si="11"/>
        <v>111</v>
      </c>
      <c r="R27" s="1569" t="s">
        <v>8</v>
      </c>
      <c r="S27" s="1570">
        <f>F27</f>
        <v>100</v>
      </c>
      <c r="T27" s="1569" t="s">
        <v>8</v>
      </c>
      <c r="U27" s="1570">
        <f>H27</f>
        <v>100</v>
      </c>
      <c r="V27" s="1569" t="s">
        <v>8</v>
      </c>
      <c r="W27" s="1570">
        <f>J27</f>
        <v>100</v>
      </c>
      <c r="X27" s="1571"/>
      <c r="Y27" s="339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2"/>
      <c r="Q28" s="1573">
        <f t="shared" si="11"/>
        <v>111</v>
      </c>
      <c r="R28" s="1574" t="s">
        <v>8</v>
      </c>
      <c r="S28" s="1575">
        <f t="shared" ref="S28:S40" si="12">F28</f>
        <v>100</v>
      </c>
      <c r="T28" s="1574" t="s">
        <v>8</v>
      </c>
      <c r="U28" s="1575">
        <f t="shared" ref="U28:U40" si="13">H28</f>
        <v>100</v>
      </c>
      <c r="V28" s="1574" t="s">
        <v>8</v>
      </c>
      <c r="W28" s="1575">
        <f t="shared" ref="W28:W40" si="14">J28</f>
        <v>100</v>
      </c>
      <c r="X28" s="1568"/>
      <c r="Y28" s="3392"/>
      <c r="Z28" s="1576">
        <f t="shared" ref="Z28:Z40" si="15">Q28</f>
        <v>111</v>
      </c>
      <c r="AA28" s="1577">
        <f t="shared" si="3"/>
        <v>1</v>
      </c>
      <c r="AB28" s="1577">
        <f t="shared" si="4"/>
        <v>1</v>
      </c>
      <c r="AC28" s="1577">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3" t="s">
        <v>551</v>
      </c>
      <c r="Q29" s="1573" t="str">
        <f t="shared" si="11"/>
        <v>建筑类型</v>
      </c>
      <c r="R29" s="1574" t="s">
        <v>8</v>
      </c>
      <c r="S29" s="1575">
        <f t="shared" si="12"/>
        <v>100</v>
      </c>
      <c r="T29" s="1574" t="s">
        <v>8</v>
      </c>
      <c r="U29" s="1575">
        <f t="shared" si="13"/>
        <v>100</v>
      </c>
      <c r="V29" s="1574" t="s">
        <v>8</v>
      </c>
      <c r="W29" s="1575">
        <f t="shared" si="14"/>
        <v>100</v>
      </c>
      <c r="X29" s="1568"/>
      <c r="Y29" s="3394"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4"/>
      <c r="Q30" s="1606" t="str">
        <f t="shared" si="11"/>
        <v>项目建筑规模</v>
      </c>
      <c r="R30" s="1578" t="s">
        <v>8</v>
      </c>
      <c r="S30" s="1579" t="e">
        <f t="shared" si="12"/>
        <v>#N/A</v>
      </c>
      <c r="T30" s="1578" t="s">
        <v>8</v>
      </c>
      <c r="U30" s="1579" t="e">
        <f t="shared" si="13"/>
        <v>#N/A</v>
      </c>
      <c r="V30" s="1578" t="s">
        <v>8</v>
      </c>
      <c r="W30" s="1579" t="e">
        <f t="shared" si="14"/>
        <v>#N/A</v>
      </c>
      <c r="X30" s="1580"/>
      <c r="Y30" s="3394"/>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4"/>
      <c r="Q31" s="1573" t="str">
        <f t="shared" si="11"/>
        <v>建筑结构</v>
      </c>
      <c r="R31" s="1574" t="s">
        <v>8</v>
      </c>
      <c r="S31" s="1575">
        <f t="shared" si="12"/>
        <v>100</v>
      </c>
      <c r="T31" s="1574" t="s">
        <v>8</v>
      </c>
      <c r="U31" s="1575">
        <f t="shared" si="13"/>
        <v>100</v>
      </c>
      <c r="V31" s="1574" t="s">
        <v>8</v>
      </c>
      <c r="W31" s="1575">
        <f t="shared" si="14"/>
        <v>100</v>
      </c>
      <c r="X31" s="1568"/>
      <c r="Y31" s="3394"/>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4"/>
      <c r="Q32" s="1573" t="str">
        <f t="shared" si="11"/>
        <v>公共部分装修</v>
      </c>
      <c r="R32" s="1574" t="s">
        <v>8</v>
      </c>
      <c r="S32" s="1575">
        <f t="shared" si="12"/>
        <v>100</v>
      </c>
      <c r="T32" s="1574" t="s">
        <v>8</v>
      </c>
      <c r="U32" s="1575">
        <f t="shared" si="13"/>
        <v>100</v>
      </c>
      <c r="V32" s="1574" t="s">
        <v>8</v>
      </c>
      <c r="W32" s="1575">
        <f t="shared" si="14"/>
        <v>100</v>
      </c>
      <c r="X32" s="1568"/>
      <c r="Y32" s="3394"/>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4"/>
      <c r="Q33" s="1573" t="str">
        <f t="shared" si="11"/>
        <v>成新度</v>
      </c>
      <c r="R33" s="1574" t="s">
        <v>8</v>
      </c>
      <c r="S33" s="1575" t="e">
        <f t="shared" si="12"/>
        <v>#N/A</v>
      </c>
      <c r="T33" s="1574" t="s">
        <v>8</v>
      </c>
      <c r="U33" s="1575" t="e">
        <f t="shared" si="13"/>
        <v>#N/A</v>
      </c>
      <c r="V33" s="1574" t="s">
        <v>8</v>
      </c>
      <c r="W33" s="1575" t="e">
        <f t="shared" si="14"/>
        <v>#N/A</v>
      </c>
      <c r="X33" s="1568"/>
      <c r="Y33" s="3394"/>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4"/>
      <c r="Q34" s="1151" t="str">
        <f t="shared" si="11"/>
        <v>物业管理</v>
      </c>
      <c r="R34" s="1569" t="s">
        <v>8</v>
      </c>
      <c r="S34" s="1570">
        <f t="shared" si="12"/>
        <v>100</v>
      </c>
      <c r="T34" s="1569" t="s">
        <v>8</v>
      </c>
      <c r="U34" s="1570">
        <f t="shared" si="13"/>
        <v>100</v>
      </c>
      <c r="V34" s="1569" t="s">
        <v>8</v>
      </c>
      <c r="W34" s="1570">
        <f t="shared" si="14"/>
        <v>100</v>
      </c>
      <c r="X34" s="1571"/>
      <c r="Y34" s="3394"/>
      <c r="Z34" s="1150" t="str">
        <f t="shared" si="15"/>
        <v>物业管理</v>
      </c>
      <c r="AA34" s="1572">
        <f t="shared" si="3"/>
        <v>1</v>
      </c>
      <c r="AB34" s="1572">
        <f t="shared" si="4"/>
        <v>1</v>
      </c>
      <c r="AC34" s="1572">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4" t="s">
        <v>551</v>
      </c>
      <c r="Q35" s="1573" t="str">
        <f t="shared" si="11"/>
        <v>市政基础设施</v>
      </c>
      <c r="R35" s="1574" t="s">
        <v>8</v>
      </c>
      <c r="S35" s="1575">
        <f t="shared" si="12"/>
        <v>100</v>
      </c>
      <c r="T35" s="1574" t="s">
        <v>8</v>
      </c>
      <c r="U35" s="1575">
        <f t="shared" si="13"/>
        <v>100</v>
      </c>
      <c r="V35" s="1574" t="s">
        <v>8</v>
      </c>
      <c r="W35" s="1575">
        <f t="shared" si="14"/>
        <v>100</v>
      </c>
      <c r="X35" s="1568"/>
      <c r="Y35" s="3394"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4"/>
      <c r="Q36" s="1573" t="str">
        <f t="shared" si="11"/>
        <v>内部装修</v>
      </c>
      <c r="R36" s="1574" t="s">
        <v>8</v>
      </c>
      <c r="S36" s="1575">
        <f t="shared" si="12"/>
        <v>100</v>
      </c>
      <c r="T36" s="1574" t="s">
        <v>8</v>
      </c>
      <c r="U36" s="1575">
        <f t="shared" si="13"/>
        <v>100</v>
      </c>
      <c r="V36" s="1574" t="s">
        <v>8</v>
      </c>
      <c r="W36" s="1575">
        <f t="shared" si="14"/>
        <v>100</v>
      </c>
      <c r="X36" s="1568"/>
      <c r="Y36" s="3394"/>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4"/>
      <c r="Q37" s="1573" t="str">
        <f t="shared" si="11"/>
        <v>内部装修状况</v>
      </c>
      <c r="R37" s="1574" t="s">
        <v>8</v>
      </c>
      <c r="S37" s="1575">
        <f t="shared" si="12"/>
        <v>100</v>
      </c>
      <c r="T37" s="1574" t="s">
        <v>8</v>
      </c>
      <c r="U37" s="1575">
        <f t="shared" si="13"/>
        <v>100</v>
      </c>
      <c r="V37" s="1574" t="s">
        <v>8</v>
      </c>
      <c r="W37" s="1575">
        <f t="shared" si="14"/>
        <v>100</v>
      </c>
      <c r="X37" s="1568"/>
      <c r="Y37" s="339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4"/>
      <c r="Q38" s="1606">
        <f t="shared" si="11"/>
        <v>111</v>
      </c>
      <c r="R38" s="1578" t="s">
        <v>8</v>
      </c>
      <c r="S38" s="1579">
        <f t="shared" si="12"/>
        <v>100</v>
      </c>
      <c r="T38" s="1578" t="s">
        <v>8</v>
      </c>
      <c r="U38" s="1579">
        <f t="shared" si="13"/>
        <v>100</v>
      </c>
      <c r="V38" s="1578" t="s">
        <v>8</v>
      </c>
      <c r="W38" s="1579">
        <f t="shared" si="14"/>
        <v>100</v>
      </c>
      <c r="X38" s="1580"/>
      <c r="Y38" s="339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4"/>
      <c r="Q39" s="1573">
        <f t="shared" si="11"/>
        <v>111</v>
      </c>
      <c r="R39" s="1574" t="s">
        <v>8</v>
      </c>
      <c r="S39" s="1575">
        <f t="shared" si="12"/>
        <v>100</v>
      </c>
      <c r="T39" s="1574" t="s">
        <v>8</v>
      </c>
      <c r="U39" s="1575">
        <f t="shared" si="13"/>
        <v>100</v>
      </c>
      <c r="V39" s="1574" t="s">
        <v>8</v>
      </c>
      <c r="W39" s="1575">
        <f t="shared" si="14"/>
        <v>100</v>
      </c>
      <c r="X39" s="1568"/>
      <c r="Y39" s="339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0"/>
      <c r="Q40" s="1573">
        <f t="shared" si="11"/>
        <v>111</v>
      </c>
      <c r="R40" s="1574" t="s">
        <v>8</v>
      </c>
      <c r="S40" s="1575">
        <f t="shared" si="12"/>
        <v>100</v>
      </c>
      <c r="T40" s="1574" t="s">
        <v>8</v>
      </c>
      <c r="U40" s="1575">
        <f t="shared" si="13"/>
        <v>100</v>
      </c>
      <c r="V40" s="1574" t="s">
        <v>8</v>
      </c>
      <c r="W40" s="1575">
        <f t="shared" si="14"/>
        <v>100</v>
      </c>
      <c r="X40" s="1568"/>
      <c r="Y40" s="3470"/>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355" t="str">
        <f>A41</f>
        <v>成交单价（元/平方米）</v>
      </c>
      <c r="Q41" s="3355"/>
      <c r="R41" s="3469">
        <f>E41</f>
        <v>0</v>
      </c>
      <c r="S41" s="3469"/>
      <c r="T41" s="3469">
        <f>G41</f>
        <v>0</v>
      </c>
      <c r="U41" s="3469"/>
      <c r="V41" s="3469">
        <f>I41</f>
        <v>0</v>
      </c>
      <c r="W41" s="3469"/>
      <c r="X41" s="1560"/>
      <c r="Y41" s="1582"/>
      <c r="Z41" s="1560"/>
      <c r="AA41" s="1560"/>
      <c r="AB41" s="1560"/>
      <c r="AC41" s="1560"/>
    </row>
    <row r="42" spans="1:29" ht="15.75" thickBot="1">
      <c r="A42" s="615" t="s">
        <v>2766</v>
      </c>
      <c r="B42" s="888"/>
      <c r="C42" s="2658" t="e">
        <f>R43</f>
        <v>#DIV/0!</v>
      </c>
      <c r="D42" s="2659"/>
      <c r="E42" s="2660" t="e">
        <f>R42</f>
        <v>#DIV/0!</v>
      </c>
      <c r="F42" s="2660"/>
      <c r="G42" s="2658" t="e">
        <f>T42</f>
        <v>#DIV/0!</v>
      </c>
      <c r="H42" s="2659"/>
      <c r="I42" s="2660" t="e">
        <f>V42</f>
        <v>#DIV/0!</v>
      </c>
      <c r="J42" s="2659"/>
      <c r="K42" s="1613"/>
      <c r="L42" s="2145"/>
      <c r="M42" s="2146"/>
      <c r="N42" s="2135"/>
      <c r="O42" s="2146"/>
      <c r="P42" s="3355" t="str">
        <f>A42</f>
        <v>比较价格（元/平方米）</v>
      </c>
      <c r="Q42" s="3355"/>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60"/>
      <c r="Y42" s="1560"/>
      <c r="Z42" s="1560"/>
      <c r="AA42" s="1560"/>
      <c r="AB42" s="1560"/>
      <c r="AC42" s="1560"/>
    </row>
    <row r="43" spans="1:29" ht="15.75" thickBot="1">
      <c r="A43" s="621" t="s">
        <v>2938</v>
      </c>
      <c r="B43" s="622"/>
      <c r="C43" s="2661" t="e">
        <f>R43</f>
        <v>#DIV/0!</v>
      </c>
      <c r="D43" s="2661"/>
      <c r="E43" s="2661"/>
      <c r="F43" s="2661"/>
      <c r="G43" s="2661"/>
      <c r="H43" s="2661"/>
      <c r="I43" s="2661"/>
      <c r="J43" s="2661"/>
      <c r="K43" s="1614"/>
      <c r="L43" s="2145"/>
      <c r="M43" s="2146"/>
      <c r="N43" s="2146"/>
      <c r="O43" s="2146"/>
      <c r="P43" s="3352" t="str">
        <f>A43</f>
        <v>估价对象XX用房的比较价格（楼面单价，元/平方米）</v>
      </c>
      <c r="Q43" s="3353"/>
      <c r="R43" s="3468" t="e">
        <f>IF(F1="售价",ROUND(AVERAGE(R42:V42),0),ROUND(AVERAGE(R42:V42),1))</f>
        <v>#DIV/0!</v>
      </c>
      <c r="S43" s="3468"/>
      <c r="T43" s="3468"/>
      <c r="U43" s="3468"/>
      <c r="V43" s="3468"/>
      <c r="W43" s="3468"/>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2017-11</v>
      </c>
      <c r="D52" s="2831">
        <f>EDATE(C52,-1)</f>
        <v>43009</v>
      </c>
      <c r="E52" s="2831">
        <f t="shared" ref="E52:O52" si="16">EDATE(D52,-1)</f>
        <v>42979</v>
      </c>
      <c r="F52" s="2831">
        <f t="shared" si="16"/>
        <v>42948</v>
      </c>
      <c r="G52" s="2831">
        <f t="shared" si="16"/>
        <v>42917</v>
      </c>
      <c r="H52" s="2831">
        <f t="shared" si="16"/>
        <v>42887</v>
      </c>
      <c r="I52" s="2831">
        <f t="shared" si="16"/>
        <v>42856</v>
      </c>
      <c r="J52" s="2831">
        <f t="shared" si="16"/>
        <v>42826</v>
      </c>
      <c r="K52" s="2831">
        <f t="shared" si="16"/>
        <v>42795</v>
      </c>
      <c r="L52" s="2831">
        <f t="shared" si="16"/>
        <v>42767</v>
      </c>
      <c r="M52" s="2831">
        <f t="shared" si="16"/>
        <v>42736</v>
      </c>
      <c r="N52" s="2831">
        <f t="shared" si="16"/>
        <v>42705</v>
      </c>
      <c r="O52" s="2831">
        <f t="shared" si="16"/>
        <v>42675</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2562</v>
      </c>
      <c r="C76" s="2623" t="s">
        <v>2563</v>
      </c>
      <c r="D76" s="2623" t="s">
        <v>2564</v>
      </c>
      <c r="E76" s="2623" t="s">
        <v>2565</v>
      </c>
      <c r="F76" s="2623" t="s">
        <v>2566</v>
      </c>
      <c r="G76" s="2623" t="s">
        <v>2567</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361" t="s">
        <v>799</v>
      </c>
      <c r="D4" s="3362"/>
      <c r="E4" s="3361" t="s">
        <v>800</v>
      </c>
      <c r="F4" s="3362"/>
      <c r="G4" s="3361" t="s">
        <v>801</v>
      </c>
      <c r="H4" s="3362"/>
      <c r="I4" s="3361" t="s">
        <v>802</v>
      </c>
      <c r="J4" s="3362"/>
      <c r="K4" s="514" t="s">
        <v>803</v>
      </c>
      <c r="L4" s="2134"/>
      <c r="M4" s="2135"/>
      <c r="N4" s="2135"/>
      <c r="O4" s="2135"/>
      <c r="P4" s="3363" t="s">
        <v>804</v>
      </c>
      <c r="Q4" s="3364"/>
      <c r="R4" s="3369" t="s">
        <v>800</v>
      </c>
      <c r="S4" s="3370"/>
      <c r="T4" s="3369" t="s">
        <v>801</v>
      </c>
      <c r="U4" s="3370"/>
      <c r="V4" s="3356" t="s">
        <v>802</v>
      </c>
      <c r="W4" s="3356"/>
      <c r="X4" s="1568"/>
      <c r="Y4" s="3369" t="s">
        <v>804</v>
      </c>
      <c r="Z4" s="3370"/>
      <c r="AA4" s="3358" t="s">
        <v>800</v>
      </c>
      <c r="AB4" s="3359" t="s">
        <v>801</v>
      </c>
      <c r="AC4" s="3358" t="s">
        <v>802</v>
      </c>
    </row>
    <row r="5" spans="1:29" ht="15">
      <c r="A5" s="515"/>
      <c r="B5" s="516"/>
      <c r="C5" s="3379" t="s">
        <v>2932</v>
      </c>
      <c r="D5" s="3378"/>
      <c r="E5" s="3379" t="s">
        <v>2933</v>
      </c>
      <c r="F5" s="3378"/>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80" t="s">
        <v>2936</v>
      </c>
      <c r="F6" s="3381"/>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8" t="s">
        <v>531</v>
      </c>
      <c r="Q7" s="3390"/>
      <c r="R7" s="1569" t="s">
        <v>8</v>
      </c>
      <c r="S7" s="1570">
        <f t="shared" ref="S7:S14" si="0">F7</f>
        <v>0</v>
      </c>
      <c r="T7" s="1569" t="s">
        <v>8</v>
      </c>
      <c r="U7" s="1570">
        <f t="shared" ref="U7:U14" si="1">H7</f>
        <v>0</v>
      </c>
      <c r="V7" s="1569" t="s">
        <v>8</v>
      </c>
      <c r="W7" s="1570">
        <f t="shared" ref="W7:W14"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36" si="3">D8/F8</f>
        <v>#DIV/0!</v>
      </c>
      <c r="AB8" s="1572" t="e">
        <f t="shared" ref="AB8:AB36" si="4">D8/H8</f>
        <v>#DIV/0!</v>
      </c>
      <c r="AC8" s="1572" t="e">
        <f t="shared" ref="AC8:AC36" si="5">D8/J8</f>
        <v>#DIV/0!</v>
      </c>
    </row>
    <row r="9" spans="1:29" s="1220" customFormat="1" ht="15">
      <c r="A9" s="2941"/>
      <c r="B9" s="2948" t="s">
        <v>2762</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5" t="s">
        <v>536</v>
      </c>
      <c r="Q9" s="1151" t="str">
        <f t="shared" ref="Q9:Q14" si="6">B9</f>
        <v>用途</v>
      </c>
      <c r="R9" s="1569" t="s">
        <v>8</v>
      </c>
      <c r="S9" s="1570">
        <f t="shared" si="0"/>
        <v>100</v>
      </c>
      <c r="T9" s="1569" t="s">
        <v>8</v>
      </c>
      <c r="U9" s="1570">
        <f t="shared" si="1"/>
        <v>100</v>
      </c>
      <c r="V9" s="1569" t="s">
        <v>8</v>
      </c>
      <c r="W9" s="1570">
        <f t="shared" si="2"/>
        <v>100</v>
      </c>
      <c r="X9" s="1571"/>
      <c r="Y9" s="3301"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5"/>
      <c r="Q11" s="1151">
        <f t="shared" si="6"/>
        <v>111</v>
      </c>
      <c r="R11" s="1569" t="s">
        <v>8</v>
      </c>
      <c r="S11" s="1570">
        <f t="shared" si="0"/>
        <v>100</v>
      </c>
      <c r="T11" s="1569" t="s">
        <v>8</v>
      </c>
      <c r="U11" s="1570">
        <f t="shared" si="1"/>
        <v>100</v>
      </c>
      <c r="V11" s="1569" t="s">
        <v>8</v>
      </c>
      <c r="W11" s="1570">
        <f t="shared" si="2"/>
        <v>100</v>
      </c>
      <c r="X11" s="1571"/>
      <c r="Y11" s="330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85.5">
      <c r="A14" s="2937"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1" t="s">
        <v>541</v>
      </c>
      <c r="Q14" s="1573" t="str">
        <f t="shared" si="6"/>
        <v>交通便捷度</v>
      </c>
      <c r="R14" s="1574" t="s">
        <v>8</v>
      </c>
      <c r="S14" s="1575">
        <f t="shared" si="0"/>
        <v>100</v>
      </c>
      <c r="T14" s="1574" t="s">
        <v>8</v>
      </c>
      <c r="U14" s="1575">
        <f t="shared" si="1"/>
        <v>100</v>
      </c>
      <c r="V14" s="1574" t="s">
        <v>8</v>
      </c>
      <c r="W14" s="1575">
        <f t="shared" si="2"/>
        <v>100</v>
      </c>
      <c r="X14" s="1568"/>
      <c r="Y14" s="3391"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2"/>
      <c r="Q15" s="1573"/>
      <c r="R15" s="1574"/>
      <c r="S15" s="1575"/>
      <c r="T15" s="1574"/>
      <c r="U15" s="1575"/>
      <c r="V15" s="1574"/>
      <c r="W15" s="1575"/>
      <c r="X15" s="1568"/>
      <c r="Y15" s="3392"/>
      <c r="Z15" s="1576"/>
      <c r="AA15" s="1577">
        <v>1</v>
      </c>
      <c r="AB15" s="1577">
        <v>1</v>
      </c>
      <c r="AC15" s="1577">
        <v>1</v>
      </c>
    </row>
    <row r="16" spans="1:29" ht="42.75">
      <c r="A16" s="515"/>
      <c r="B16" s="2628" t="s">
        <v>2550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2"/>
      <c r="Q16" s="1573" t="str">
        <f>B16</f>
        <v>公共配套设施</v>
      </c>
      <c r="R16" s="1574" t="s">
        <v>8</v>
      </c>
      <c r="S16" s="1575">
        <f>F16</f>
        <v>100</v>
      </c>
      <c r="T16" s="1574" t="s">
        <v>8</v>
      </c>
      <c r="U16" s="1575">
        <f>H16</f>
        <v>100</v>
      </c>
      <c r="V16" s="1574" t="s">
        <v>8</v>
      </c>
      <c r="W16" s="1575">
        <f>J16</f>
        <v>100</v>
      </c>
      <c r="X16" s="1568"/>
      <c r="Y16" s="339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2"/>
      <c r="Q17" s="1573"/>
      <c r="R17" s="1574"/>
      <c r="S17" s="1575"/>
      <c r="T17" s="1574"/>
      <c r="U17" s="1575"/>
      <c r="V17" s="1574"/>
      <c r="W17" s="1575"/>
      <c r="X17" s="1568"/>
      <c r="Y17" s="3392"/>
      <c r="Z17" s="1576"/>
      <c r="AA17" s="1577">
        <v>1</v>
      </c>
      <c r="AB17" s="1577">
        <v>1</v>
      </c>
      <c r="AC17" s="1577">
        <v>1</v>
      </c>
    </row>
    <row r="18" spans="1:29" ht="28.5">
      <c r="A18" s="515"/>
      <c r="B18" s="2616" t="s">
        <v>2562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2"/>
      <c r="Q18" s="2604" t="str">
        <f>B18</f>
        <v>基础设施水平</v>
      </c>
      <c r="R18" s="1574" t="s">
        <v>8</v>
      </c>
      <c r="S18" s="1575">
        <f>F18</f>
        <v>100</v>
      </c>
      <c r="T18" s="1574" t="s">
        <v>8</v>
      </c>
      <c r="U18" s="1575">
        <f>H18</f>
        <v>100</v>
      </c>
      <c r="V18" s="1574" t="s">
        <v>8</v>
      </c>
      <c r="W18" s="1575">
        <f>J18</f>
        <v>100</v>
      </c>
      <c r="X18" s="2606"/>
      <c r="Y18" s="3392"/>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392"/>
      <c r="Q19" s="2604"/>
      <c r="R19" s="1574"/>
      <c r="S19" s="1575"/>
      <c r="T19" s="1574"/>
      <c r="U19" s="1575"/>
      <c r="V19" s="1574"/>
      <c r="W19" s="1575"/>
      <c r="X19" s="2606"/>
      <c r="Y19" s="3392"/>
      <c r="Z19" s="2605"/>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2"/>
      <c r="Q20" s="1573" t="str">
        <f>B20</f>
        <v>自然及人文环境</v>
      </c>
      <c r="R20" s="1574" t="s">
        <v>8</v>
      </c>
      <c r="S20" s="1575">
        <f>F20</f>
        <v>100</v>
      </c>
      <c r="T20" s="1574" t="s">
        <v>8</v>
      </c>
      <c r="U20" s="1575">
        <f>H20</f>
        <v>100</v>
      </c>
      <c r="V20" s="1574" t="s">
        <v>8</v>
      </c>
      <c r="W20" s="1575">
        <f>J20</f>
        <v>100</v>
      </c>
      <c r="X20" s="1568"/>
      <c r="Y20" s="339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2"/>
      <c r="Q21" s="1573"/>
      <c r="R21" s="1574"/>
      <c r="S21" s="1575"/>
      <c r="T21" s="1574"/>
      <c r="U21" s="1575"/>
      <c r="V21" s="1574"/>
      <c r="W21" s="1575"/>
      <c r="X21" s="1568"/>
      <c r="Y21" s="3392"/>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2"/>
      <c r="Q22" s="1573" t="str">
        <f>B22</f>
        <v>楼层</v>
      </c>
      <c r="R22" s="1574" t="s">
        <v>8</v>
      </c>
      <c r="S22" s="1575">
        <f>F22</f>
        <v>100</v>
      </c>
      <c r="T22" s="1574" t="s">
        <v>8</v>
      </c>
      <c r="U22" s="1575">
        <f>H22</f>
        <v>100</v>
      </c>
      <c r="V22" s="1574" t="s">
        <v>8</v>
      </c>
      <c r="W22" s="1575">
        <f>J22</f>
        <v>100</v>
      </c>
      <c r="X22" s="1568"/>
      <c r="Y22" s="339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2"/>
      <c r="Q23" s="1573">
        <f>B23</f>
        <v>111</v>
      </c>
      <c r="R23" s="1574" t="s">
        <v>8</v>
      </c>
      <c r="S23" s="1575">
        <f>F23</f>
        <v>100</v>
      </c>
      <c r="T23" s="1574" t="s">
        <v>8</v>
      </c>
      <c r="U23" s="1575">
        <f>H23</f>
        <v>100</v>
      </c>
      <c r="V23" s="1574" t="s">
        <v>8</v>
      </c>
      <c r="W23" s="1575">
        <f>J23</f>
        <v>100</v>
      </c>
      <c r="X23" s="1568"/>
      <c r="Y23" s="339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2"/>
      <c r="Q24" s="1573">
        <f t="shared" ref="Q24:Q36" si="11">B24</f>
        <v>111</v>
      </c>
      <c r="R24" s="1574" t="s">
        <v>8</v>
      </c>
      <c r="S24" s="1575">
        <f>F24</f>
        <v>100</v>
      </c>
      <c r="T24" s="1574" t="s">
        <v>8</v>
      </c>
      <c r="U24" s="1575">
        <f>H24</f>
        <v>100</v>
      </c>
      <c r="V24" s="1574" t="s">
        <v>8</v>
      </c>
      <c r="W24" s="1575">
        <f>J24</f>
        <v>100</v>
      </c>
      <c r="X24" s="1568"/>
      <c r="Y24" s="339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2"/>
      <c r="Q25" s="1151">
        <f t="shared" si="11"/>
        <v>111</v>
      </c>
      <c r="R25" s="1569" t="s">
        <v>8</v>
      </c>
      <c r="S25" s="1570">
        <f>F25</f>
        <v>100</v>
      </c>
      <c r="T25" s="1569" t="s">
        <v>8</v>
      </c>
      <c r="U25" s="1570">
        <f>H25</f>
        <v>100</v>
      </c>
      <c r="V25" s="1569" t="s">
        <v>8</v>
      </c>
      <c r="W25" s="1570">
        <f>J25</f>
        <v>100</v>
      </c>
      <c r="X25" s="1571"/>
      <c r="Y25" s="3392"/>
      <c r="Z25" s="1150">
        <f>Q25</f>
        <v>111</v>
      </c>
      <c r="AA25" s="1577">
        <f>D25/F25</f>
        <v>1</v>
      </c>
      <c r="AB25" s="1577">
        <f>D25/H25</f>
        <v>1</v>
      </c>
      <c r="AC25" s="1577">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3"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4"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4"/>
      <c r="Q27" s="1606" t="str">
        <f t="shared" si="11"/>
        <v>项目停车位配比</v>
      </c>
      <c r="R27" s="1578" t="s">
        <v>8</v>
      </c>
      <c r="S27" s="1579">
        <f t="shared" si="12"/>
        <v>100</v>
      </c>
      <c r="T27" s="1578" t="s">
        <v>8</v>
      </c>
      <c r="U27" s="1579">
        <f t="shared" si="13"/>
        <v>100</v>
      </c>
      <c r="V27" s="1578" t="s">
        <v>8</v>
      </c>
      <c r="W27" s="1579">
        <f t="shared" si="14"/>
        <v>100</v>
      </c>
      <c r="X27" s="1580"/>
      <c r="Y27" s="3394"/>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4"/>
      <c r="Q28" s="1573" t="str">
        <f t="shared" si="11"/>
        <v>公共部分装修</v>
      </c>
      <c r="R28" s="1574" t="s">
        <v>8</v>
      </c>
      <c r="S28" s="1575">
        <f t="shared" si="12"/>
        <v>100</v>
      </c>
      <c r="T28" s="1574" t="s">
        <v>8</v>
      </c>
      <c r="U28" s="1575">
        <f t="shared" si="13"/>
        <v>100</v>
      </c>
      <c r="V28" s="1574" t="s">
        <v>8</v>
      </c>
      <c r="W28" s="1575">
        <f t="shared" si="14"/>
        <v>100</v>
      </c>
      <c r="X28" s="1568"/>
      <c r="Y28" s="3394"/>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4"/>
      <c r="Q29" s="1573" t="str">
        <f t="shared" si="11"/>
        <v>成新率</v>
      </c>
      <c r="R29" s="1574" t="s">
        <v>8</v>
      </c>
      <c r="S29" s="1575" t="e">
        <f t="shared" si="12"/>
        <v>#N/A</v>
      </c>
      <c r="T29" s="1574" t="s">
        <v>8</v>
      </c>
      <c r="U29" s="1575" t="e">
        <f t="shared" si="13"/>
        <v>#N/A</v>
      </c>
      <c r="V29" s="1574" t="s">
        <v>8</v>
      </c>
      <c r="W29" s="1575" t="e">
        <f t="shared" si="14"/>
        <v>#N/A</v>
      </c>
      <c r="X29" s="1568"/>
      <c r="Y29" s="3394"/>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4"/>
      <c r="Q30" s="1573" t="str">
        <f t="shared" si="11"/>
        <v>物业等级</v>
      </c>
      <c r="R30" s="1574" t="s">
        <v>8</v>
      </c>
      <c r="S30" s="1575">
        <f t="shared" si="12"/>
        <v>100</v>
      </c>
      <c r="T30" s="1574" t="s">
        <v>8</v>
      </c>
      <c r="U30" s="1575">
        <f t="shared" si="13"/>
        <v>100</v>
      </c>
      <c r="V30" s="1574" t="s">
        <v>8</v>
      </c>
      <c r="W30" s="1575">
        <f t="shared" si="14"/>
        <v>100</v>
      </c>
      <c r="X30" s="1568"/>
      <c r="Y30" s="3394"/>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4"/>
      <c r="Q31" s="1151" t="str">
        <f t="shared" si="11"/>
        <v>停车位面积</v>
      </c>
      <c r="R31" s="1569" t="s">
        <v>8</v>
      </c>
      <c r="S31" s="1570" t="e">
        <f t="shared" si="12"/>
        <v>#N/A</v>
      </c>
      <c r="T31" s="1569" t="s">
        <v>8</v>
      </c>
      <c r="U31" s="1570" t="e">
        <f t="shared" si="13"/>
        <v>#N/A</v>
      </c>
      <c r="V31" s="1569" t="s">
        <v>8</v>
      </c>
      <c r="W31" s="1570" t="e">
        <f t="shared" si="14"/>
        <v>#N/A</v>
      </c>
      <c r="X31" s="1571"/>
      <c r="Y31" s="3394"/>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4" t="s">
        <v>551</v>
      </c>
      <c r="Q32" s="1573" t="str">
        <f t="shared" si="11"/>
        <v>车位类型</v>
      </c>
      <c r="R32" s="1574" t="s">
        <v>8</v>
      </c>
      <c r="S32" s="1575">
        <f t="shared" si="12"/>
        <v>100</v>
      </c>
      <c r="T32" s="1574" t="s">
        <v>8</v>
      </c>
      <c r="U32" s="1575">
        <f t="shared" si="13"/>
        <v>100</v>
      </c>
      <c r="V32" s="1574" t="s">
        <v>8</v>
      </c>
      <c r="W32" s="1575">
        <f t="shared" si="14"/>
        <v>100</v>
      </c>
      <c r="X32" s="1568"/>
      <c r="Y32" s="3394"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4"/>
      <c r="Q33" s="1573" t="str">
        <f t="shared" si="11"/>
        <v>是否直接入户</v>
      </c>
      <c r="R33" s="1574" t="s">
        <v>8</v>
      </c>
      <c r="S33" s="1575">
        <f t="shared" si="12"/>
        <v>100</v>
      </c>
      <c r="T33" s="1574" t="s">
        <v>8</v>
      </c>
      <c r="U33" s="1575">
        <f t="shared" si="13"/>
        <v>100</v>
      </c>
      <c r="V33" s="1574" t="s">
        <v>8</v>
      </c>
      <c r="W33" s="1575">
        <f t="shared" si="14"/>
        <v>100</v>
      </c>
      <c r="X33" s="1568"/>
      <c r="Y33" s="339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4"/>
      <c r="Q34" s="1573">
        <f t="shared" si="11"/>
        <v>111</v>
      </c>
      <c r="R34" s="1574" t="s">
        <v>8</v>
      </c>
      <c r="S34" s="1575">
        <f t="shared" si="12"/>
        <v>100</v>
      </c>
      <c r="T34" s="1574" t="s">
        <v>8</v>
      </c>
      <c r="U34" s="1575">
        <f t="shared" si="13"/>
        <v>100</v>
      </c>
      <c r="V34" s="1574" t="s">
        <v>8</v>
      </c>
      <c r="W34" s="1575">
        <f t="shared" si="14"/>
        <v>100</v>
      </c>
      <c r="X34" s="1568"/>
      <c r="Y34" s="339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4"/>
      <c r="Q35" s="1606">
        <f t="shared" si="11"/>
        <v>111</v>
      </c>
      <c r="R35" s="1578" t="s">
        <v>8</v>
      </c>
      <c r="S35" s="1579">
        <f t="shared" si="12"/>
        <v>100</v>
      </c>
      <c r="T35" s="1578" t="s">
        <v>8</v>
      </c>
      <c r="U35" s="1579">
        <f t="shared" si="13"/>
        <v>100</v>
      </c>
      <c r="V35" s="1578" t="s">
        <v>8</v>
      </c>
      <c r="W35" s="1579">
        <f t="shared" si="14"/>
        <v>100</v>
      </c>
      <c r="X35" s="1580"/>
      <c r="Y35" s="339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4"/>
      <c r="Q36" s="1573">
        <f t="shared" si="11"/>
        <v>111</v>
      </c>
      <c r="R36" s="1574" t="s">
        <v>8</v>
      </c>
      <c r="S36" s="1575">
        <f t="shared" si="12"/>
        <v>100</v>
      </c>
      <c r="T36" s="1574" t="s">
        <v>8</v>
      </c>
      <c r="U36" s="1575">
        <f t="shared" si="13"/>
        <v>100</v>
      </c>
      <c r="V36" s="1574" t="s">
        <v>8</v>
      </c>
      <c r="W36" s="1575">
        <f t="shared" si="14"/>
        <v>100</v>
      </c>
      <c r="X36" s="1568"/>
      <c r="Y36" s="3394"/>
      <c r="Z36" s="1576">
        <f t="shared" si="15"/>
        <v>111</v>
      </c>
      <c r="AA36" s="1577">
        <f t="shared" si="3"/>
        <v>1</v>
      </c>
      <c r="AB36" s="1577">
        <f t="shared" si="4"/>
        <v>1</v>
      </c>
      <c r="AC36" s="1577">
        <f t="shared" si="5"/>
        <v>1</v>
      </c>
    </row>
    <row r="37" spans="1:29" ht="15">
      <c r="A37" s="1847" t="s">
        <v>2079</v>
      </c>
      <c r="B37" s="1848" t="s">
        <v>2080</v>
      </c>
      <c r="C37" s="2652" t="s">
        <v>1</v>
      </c>
      <c r="D37" s="2653"/>
      <c r="E37" s="2654"/>
      <c r="F37" s="2655"/>
      <c r="G37" s="2656"/>
      <c r="H37" s="2657"/>
      <c r="I37" s="2654"/>
      <c r="J37" s="2657"/>
      <c r="K37" s="1612"/>
      <c r="L37" s="2145"/>
      <c r="M37" s="2146"/>
      <c r="N37" s="2135"/>
      <c r="O37" s="2146"/>
      <c r="P37" s="3355" t="str">
        <f>A37</f>
        <v>成交单价</v>
      </c>
      <c r="Q37" s="3355"/>
      <c r="R37" s="3469">
        <f>E37</f>
        <v>0</v>
      </c>
      <c r="S37" s="3469"/>
      <c r="T37" s="3469">
        <f>G37</f>
        <v>0</v>
      </c>
      <c r="U37" s="3469"/>
      <c r="V37" s="3469">
        <f>I37</f>
        <v>0</v>
      </c>
      <c r="W37" s="3469"/>
      <c r="X37" s="1560"/>
      <c r="Y37" s="1582"/>
      <c r="Z37" s="1560"/>
      <c r="AA37" s="1560"/>
      <c r="AB37" s="1560"/>
      <c r="AC37" s="1560"/>
    </row>
    <row r="38" spans="1:29" ht="15.75" thickBot="1">
      <c r="A38" s="615" t="s">
        <v>2766</v>
      </c>
      <c r="B38" s="888"/>
      <c r="C38" s="2658" t="e">
        <f>R39</f>
        <v>#DIV/0!</v>
      </c>
      <c r="D38" s="2659"/>
      <c r="E38" s="2660" t="e">
        <f>R38</f>
        <v>#DIV/0!</v>
      </c>
      <c r="F38" s="2660"/>
      <c r="G38" s="2658" t="e">
        <f>T38</f>
        <v>#DIV/0!</v>
      </c>
      <c r="H38" s="2659"/>
      <c r="I38" s="2660" t="e">
        <f>V38</f>
        <v>#DIV/0!</v>
      </c>
      <c r="J38" s="2659"/>
      <c r="K38" s="1613"/>
      <c r="L38" s="2145"/>
      <c r="M38" s="2146"/>
      <c r="N38" s="2146"/>
      <c r="O38" s="2146"/>
      <c r="P38" s="3355" t="str">
        <f>A38</f>
        <v>比较价格（元/平方米）</v>
      </c>
      <c r="Q38" s="3355"/>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60"/>
      <c r="Y38" s="1560"/>
      <c r="Z38" s="1560"/>
      <c r="AA38" s="1560"/>
      <c r="AB38" s="1560"/>
      <c r="AC38" s="1560"/>
    </row>
    <row r="39" spans="1:29" ht="15.75" thickBot="1">
      <c r="A39" s="621" t="s">
        <v>2938</v>
      </c>
      <c r="B39" s="622"/>
      <c r="C39" s="2661" t="e">
        <f>R39</f>
        <v>#DIV/0!</v>
      </c>
      <c r="D39" s="2661"/>
      <c r="E39" s="2661"/>
      <c r="F39" s="2661"/>
      <c r="G39" s="2661"/>
      <c r="H39" s="2661"/>
      <c r="I39" s="2661"/>
      <c r="J39" s="2661"/>
      <c r="K39" s="1614"/>
      <c r="L39" s="2145"/>
      <c r="M39" s="2146"/>
      <c r="N39" s="2146"/>
      <c r="O39" s="2146"/>
      <c r="P39" s="3352" t="str">
        <f>A39</f>
        <v>估价对象XX用房的比较价格（楼面单价，元/平方米）</v>
      </c>
      <c r="Q39" s="3353"/>
      <c r="R39" s="3468" t="e">
        <f>IF(F1="售价",ROUND(AVERAGE(R38:V38),0),ROUND(AVERAGE(R38:V38),1))</f>
        <v>#DIV/0!</v>
      </c>
      <c r="S39" s="3468"/>
      <c r="T39" s="3468"/>
      <c r="U39" s="3468"/>
      <c r="V39" s="3468"/>
      <c r="W39" s="3468"/>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2017-11</v>
      </c>
      <c r="D48" s="2831">
        <f>EDATE(C48,-1)</f>
        <v>43009</v>
      </c>
      <c r="E48" s="2831">
        <f t="shared" ref="E48:O48" si="16">EDATE(D48,-1)</f>
        <v>42979</v>
      </c>
      <c r="F48" s="2831">
        <f t="shared" si="16"/>
        <v>42948</v>
      </c>
      <c r="G48" s="2831">
        <f t="shared" si="16"/>
        <v>42917</v>
      </c>
      <c r="H48" s="2831">
        <f t="shared" si="16"/>
        <v>42887</v>
      </c>
      <c r="I48" s="2831">
        <f t="shared" si="16"/>
        <v>42856</v>
      </c>
      <c r="J48" s="2831">
        <f t="shared" si="16"/>
        <v>42826</v>
      </c>
      <c r="K48" s="2831">
        <f t="shared" si="16"/>
        <v>42795</v>
      </c>
      <c r="L48" s="2831">
        <f t="shared" si="16"/>
        <v>42767</v>
      </c>
      <c r="M48" s="2831">
        <f t="shared" si="16"/>
        <v>42736</v>
      </c>
      <c r="N48" s="2831">
        <f t="shared" si="16"/>
        <v>42705</v>
      </c>
      <c r="O48" s="2831">
        <f t="shared" si="16"/>
        <v>42675</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2562</v>
      </c>
      <c r="C67" s="2623" t="s">
        <v>2563</v>
      </c>
      <c r="D67" s="2623" t="s">
        <v>2564</v>
      </c>
      <c r="E67" s="2623" t="s">
        <v>2565</v>
      </c>
      <c r="F67" s="2623" t="s">
        <v>2566</v>
      </c>
      <c r="G67" s="2623" t="s">
        <v>2567</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361" t="s">
        <v>799</v>
      </c>
      <c r="D4" s="3362"/>
      <c r="E4" s="3398" t="s">
        <v>800</v>
      </c>
      <c r="F4" s="3399"/>
      <c r="G4" s="3361" t="s">
        <v>801</v>
      </c>
      <c r="H4" s="3362"/>
      <c r="I4" s="3361" t="s">
        <v>802</v>
      </c>
      <c r="J4" s="3362"/>
      <c r="K4" s="514" t="s">
        <v>803</v>
      </c>
      <c r="L4" s="2134"/>
      <c r="M4" s="2135"/>
      <c r="N4" s="2135"/>
      <c r="O4" s="2135"/>
      <c r="P4" s="3363" t="s">
        <v>804</v>
      </c>
      <c r="Q4" s="3364"/>
      <c r="R4" s="3369" t="s">
        <v>800</v>
      </c>
      <c r="S4" s="3370"/>
      <c r="T4" s="3369" t="s">
        <v>801</v>
      </c>
      <c r="U4" s="3370"/>
      <c r="V4" s="3356" t="s">
        <v>802</v>
      </c>
      <c r="W4" s="3356"/>
      <c r="X4" s="1568"/>
      <c r="Y4" s="3369" t="s">
        <v>804</v>
      </c>
      <c r="Z4" s="3370"/>
      <c r="AA4" s="3358" t="s">
        <v>800</v>
      </c>
      <c r="AB4" s="3359" t="s">
        <v>801</v>
      </c>
      <c r="AC4" s="3358" t="s">
        <v>802</v>
      </c>
    </row>
    <row r="5" spans="1:29" ht="15">
      <c r="A5" s="515"/>
      <c r="B5" s="516"/>
      <c r="C5" s="3379" t="s">
        <v>2932</v>
      </c>
      <c r="D5" s="3378"/>
      <c r="E5" s="3400" t="s">
        <v>2933</v>
      </c>
      <c r="F5" s="3401"/>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8" t="s">
        <v>531</v>
      </c>
      <c r="Q7" s="3390"/>
      <c r="R7" s="1569" t="s">
        <v>8</v>
      </c>
      <c r="S7" s="1570">
        <f t="shared" ref="S7:S14" si="0">F7</f>
        <v>0</v>
      </c>
      <c r="T7" s="1569" t="s">
        <v>8</v>
      </c>
      <c r="U7" s="1570">
        <f t="shared" ref="U7:U14" si="1">H7</f>
        <v>0</v>
      </c>
      <c r="V7" s="1569" t="s">
        <v>8</v>
      </c>
      <c r="W7" s="1570">
        <f t="shared" ref="W7:W14"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34" si="3">D8/F8</f>
        <v>#DIV/0!</v>
      </c>
      <c r="AB8" s="1572" t="e">
        <f t="shared" ref="AB8:AB34" si="4">D8/H8</f>
        <v>#DIV/0!</v>
      </c>
      <c r="AC8" s="1572" t="e">
        <f t="shared" ref="AC8:AC34" si="5">D8/J8</f>
        <v>#DIV/0!</v>
      </c>
    </row>
    <row r="9" spans="1:29" s="1220" customFormat="1" ht="15">
      <c r="A9" s="2941"/>
      <c r="B9" s="2948" t="s">
        <v>2762</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5" t="s">
        <v>536</v>
      </c>
      <c r="Q9" s="1151" t="str">
        <f t="shared" ref="Q9:Q14" si="6">B9</f>
        <v>用途</v>
      </c>
      <c r="R9" s="1569" t="s">
        <v>8</v>
      </c>
      <c r="S9" s="1570">
        <f t="shared" si="0"/>
        <v>100</v>
      </c>
      <c r="T9" s="1569" t="s">
        <v>8</v>
      </c>
      <c r="U9" s="1570">
        <f t="shared" si="1"/>
        <v>100</v>
      </c>
      <c r="V9" s="1569" t="s">
        <v>8</v>
      </c>
      <c r="W9" s="1570">
        <f t="shared" si="2"/>
        <v>100</v>
      </c>
      <c r="X9" s="1571"/>
      <c r="Y9" s="3301"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5"/>
      <c r="Q11" s="1151">
        <f t="shared" si="6"/>
        <v>111</v>
      </c>
      <c r="R11" s="1569" t="s">
        <v>8</v>
      </c>
      <c r="S11" s="1570">
        <f t="shared" si="0"/>
        <v>100</v>
      </c>
      <c r="T11" s="1569" t="s">
        <v>8</v>
      </c>
      <c r="U11" s="1570">
        <f t="shared" si="1"/>
        <v>100</v>
      </c>
      <c r="V11" s="1569" t="s">
        <v>8</v>
      </c>
      <c r="W11" s="1570">
        <f t="shared" si="2"/>
        <v>100</v>
      </c>
      <c r="X11" s="1571"/>
      <c r="Y11" s="330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85.5">
      <c r="A14" s="2937"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1" t="s">
        <v>541</v>
      </c>
      <c r="Q14" s="1573" t="str">
        <f t="shared" si="6"/>
        <v>交通便捷度</v>
      </c>
      <c r="R14" s="1574" t="s">
        <v>8</v>
      </c>
      <c r="S14" s="1575">
        <f t="shared" si="0"/>
        <v>100</v>
      </c>
      <c r="T14" s="1574" t="s">
        <v>8</v>
      </c>
      <c r="U14" s="1575">
        <f t="shared" si="1"/>
        <v>100</v>
      </c>
      <c r="V14" s="1574" t="s">
        <v>8</v>
      </c>
      <c r="W14" s="1575">
        <f t="shared" si="2"/>
        <v>100</v>
      </c>
      <c r="X14" s="1568"/>
      <c r="Y14" s="3391"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2"/>
      <c r="Q15" s="1573"/>
      <c r="R15" s="1574"/>
      <c r="S15" s="1575"/>
      <c r="T15" s="1574"/>
      <c r="U15" s="1575"/>
      <c r="V15" s="1574"/>
      <c r="W15" s="1575"/>
      <c r="X15" s="1568"/>
      <c r="Y15" s="3392"/>
      <c r="Z15" s="1576"/>
      <c r="AA15" s="1577">
        <v>1</v>
      </c>
      <c r="AB15" s="1577">
        <v>1</v>
      </c>
      <c r="AC15" s="1577">
        <v>1</v>
      </c>
    </row>
    <row r="16" spans="1:29" ht="42.75">
      <c r="A16" s="532"/>
      <c r="B16" s="2628" t="s">
        <v>2550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2"/>
      <c r="Q16" s="1573" t="str">
        <f>B16</f>
        <v>公共配套设施</v>
      </c>
      <c r="R16" s="1574" t="s">
        <v>8</v>
      </c>
      <c r="S16" s="1575">
        <f>F16</f>
        <v>100</v>
      </c>
      <c r="T16" s="1574" t="s">
        <v>8</v>
      </c>
      <c r="U16" s="1575">
        <f>H16</f>
        <v>100</v>
      </c>
      <c r="V16" s="1574" t="s">
        <v>8</v>
      </c>
      <c r="W16" s="1575">
        <f>J16</f>
        <v>100</v>
      </c>
      <c r="X16" s="1568"/>
      <c r="Y16" s="339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2"/>
      <c r="Q17" s="1573"/>
      <c r="R17" s="1574"/>
      <c r="S17" s="1575"/>
      <c r="T17" s="1574"/>
      <c r="U17" s="1575"/>
      <c r="V17" s="1574"/>
      <c r="W17" s="1575"/>
      <c r="X17" s="1568"/>
      <c r="Y17" s="3392"/>
      <c r="Z17" s="1576"/>
      <c r="AA17" s="1577">
        <v>1</v>
      </c>
      <c r="AB17" s="1577">
        <v>1</v>
      </c>
      <c r="AC17" s="1577">
        <v>1</v>
      </c>
    </row>
    <row r="18" spans="1:29" ht="28.5">
      <c r="A18" s="532"/>
      <c r="B18" s="2616" t="s">
        <v>2562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2"/>
      <c r="Q18" s="2604" t="str">
        <f>B18</f>
        <v>基础设施水平</v>
      </c>
      <c r="R18" s="1574" t="s">
        <v>8</v>
      </c>
      <c r="S18" s="1575">
        <f>F18</f>
        <v>100</v>
      </c>
      <c r="T18" s="1574" t="s">
        <v>8</v>
      </c>
      <c r="U18" s="1575">
        <f>H18</f>
        <v>100</v>
      </c>
      <c r="V18" s="1574" t="s">
        <v>8</v>
      </c>
      <c r="W18" s="1575">
        <f>J18</f>
        <v>100</v>
      </c>
      <c r="X18" s="2606"/>
      <c r="Y18" s="3392"/>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392"/>
      <c r="Q19" s="2604"/>
      <c r="R19" s="1574"/>
      <c r="S19" s="1575"/>
      <c r="T19" s="1574"/>
      <c r="U19" s="1575"/>
      <c r="V19" s="1574"/>
      <c r="W19" s="1575"/>
      <c r="X19" s="2606"/>
      <c r="Y19" s="3392"/>
      <c r="Z19" s="2605"/>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2"/>
      <c r="Q20" s="1573" t="str">
        <f>B20</f>
        <v>自然及人文环境</v>
      </c>
      <c r="R20" s="1574" t="s">
        <v>8</v>
      </c>
      <c r="S20" s="1575">
        <f>F20</f>
        <v>100</v>
      </c>
      <c r="T20" s="1574" t="s">
        <v>8</v>
      </c>
      <c r="U20" s="1575">
        <f>H20</f>
        <v>100</v>
      </c>
      <c r="V20" s="1574" t="s">
        <v>8</v>
      </c>
      <c r="W20" s="1575">
        <f>J20</f>
        <v>100</v>
      </c>
      <c r="X20" s="1568"/>
      <c r="Y20" s="339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2"/>
      <c r="Q21" s="1573"/>
      <c r="R21" s="1574"/>
      <c r="S21" s="1575"/>
      <c r="T21" s="1574"/>
      <c r="U21" s="1575"/>
      <c r="V21" s="1574"/>
      <c r="W21" s="1575"/>
      <c r="X21" s="1568"/>
      <c r="Y21" s="3392"/>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2"/>
      <c r="Q22" s="1573" t="str">
        <f>B22</f>
        <v>楼层</v>
      </c>
      <c r="R22" s="1574" t="s">
        <v>8</v>
      </c>
      <c r="S22" s="1575">
        <f>F22</f>
        <v>100</v>
      </c>
      <c r="T22" s="1574" t="s">
        <v>8</v>
      </c>
      <c r="U22" s="1575">
        <f>H22</f>
        <v>100</v>
      </c>
      <c r="V22" s="1574" t="s">
        <v>8</v>
      </c>
      <c r="W22" s="1575">
        <f>J22</f>
        <v>100</v>
      </c>
      <c r="X22" s="1568"/>
      <c r="Y22" s="339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2"/>
      <c r="Q23" s="1573">
        <f>B23</f>
        <v>111</v>
      </c>
      <c r="R23" s="1574" t="s">
        <v>8</v>
      </c>
      <c r="S23" s="1575">
        <f>F23</f>
        <v>100</v>
      </c>
      <c r="T23" s="1574" t="s">
        <v>8</v>
      </c>
      <c r="U23" s="1575">
        <f>H23</f>
        <v>100</v>
      </c>
      <c r="V23" s="1574" t="s">
        <v>8</v>
      </c>
      <c r="W23" s="1575">
        <f>J23</f>
        <v>100</v>
      </c>
      <c r="X23" s="1568"/>
      <c r="Y23" s="339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2"/>
      <c r="Q24" s="1573">
        <f t="shared" ref="Q24:Q34" si="11">B24</f>
        <v>111</v>
      </c>
      <c r="R24" s="1574" t="s">
        <v>8</v>
      </c>
      <c r="S24" s="1575">
        <f>F24</f>
        <v>100</v>
      </c>
      <c r="T24" s="1574" t="s">
        <v>8</v>
      </c>
      <c r="U24" s="1575">
        <f>H24</f>
        <v>100</v>
      </c>
      <c r="V24" s="1574" t="s">
        <v>8</v>
      </c>
      <c r="W24" s="1575">
        <f>J24</f>
        <v>100</v>
      </c>
      <c r="X24" s="1568"/>
      <c r="Y24" s="339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2"/>
      <c r="Q25" s="1151">
        <f t="shared" si="11"/>
        <v>111</v>
      </c>
      <c r="R25" s="1569" t="s">
        <v>8</v>
      </c>
      <c r="S25" s="1570">
        <f>F25</f>
        <v>100</v>
      </c>
      <c r="T25" s="1569" t="s">
        <v>8</v>
      </c>
      <c r="U25" s="1570">
        <f>H25</f>
        <v>100</v>
      </c>
      <c r="V25" s="1569" t="s">
        <v>8</v>
      </c>
      <c r="W25" s="1570">
        <f>J25</f>
        <v>100</v>
      </c>
      <c r="X25" s="1571"/>
      <c r="Y25" s="3392"/>
      <c r="Z25" s="1150">
        <f>Q25</f>
        <v>111</v>
      </c>
      <c r="AA25" s="1577">
        <f>D25/F25</f>
        <v>1</v>
      </c>
      <c r="AB25" s="1577">
        <f>D25/H25</f>
        <v>1</v>
      </c>
      <c r="AC25" s="1577">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3"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4"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4"/>
      <c r="Q27" s="1606" t="str">
        <f t="shared" si="11"/>
        <v>成新率</v>
      </c>
      <c r="R27" s="1578" t="s">
        <v>8</v>
      </c>
      <c r="S27" s="1579" t="e">
        <f t="shared" si="12"/>
        <v>#N/A</v>
      </c>
      <c r="T27" s="1578" t="s">
        <v>8</v>
      </c>
      <c r="U27" s="1579" t="e">
        <f t="shared" si="13"/>
        <v>#N/A</v>
      </c>
      <c r="V27" s="1578" t="s">
        <v>8</v>
      </c>
      <c r="W27" s="1579" t="e">
        <f t="shared" si="14"/>
        <v>#N/A</v>
      </c>
      <c r="X27" s="1580"/>
      <c r="Y27" s="3394"/>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4"/>
      <c r="Q28" s="1573" t="str">
        <f t="shared" si="11"/>
        <v>物业等级</v>
      </c>
      <c r="R28" s="1574" t="s">
        <v>8</v>
      </c>
      <c r="S28" s="1575">
        <f t="shared" si="12"/>
        <v>100</v>
      </c>
      <c r="T28" s="1574" t="s">
        <v>8</v>
      </c>
      <c r="U28" s="1575">
        <f t="shared" si="13"/>
        <v>100</v>
      </c>
      <c r="V28" s="1574" t="s">
        <v>8</v>
      </c>
      <c r="W28" s="1575">
        <f t="shared" si="14"/>
        <v>100</v>
      </c>
      <c r="X28" s="1568"/>
      <c r="Y28" s="3394"/>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4"/>
      <c r="Q29" s="1573" t="str">
        <f t="shared" si="11"/>
        <v>有无电梯</v>
      </c>
      <c r="R29" s="1574" t="s">
        <v>8</v>
      </c>
      <c r="S29" s="1575">
        <f t="shared" si="12"/>
        <v>100</v>
      </c>
      <c r="T29" s="1574" t="s">
        <v>8</v>
      </c>
      <c r="U29" s="1575">
        <f t="shared" si="13"/>
        <v>100</v>
      </c>
      <c r="V29" s="1574" t="s">
        <v>8</v>
      </c>
      <c r="W29" s="1575">
        <f t="shared" si="14"/>
        <v>100</v>
      </c>
      <c r="X29" s="1568"/>
      <c r="Y29" s="3394"/>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4"/>
      <c r="Q30" s="1573" t="str">
        <f t="shared" si="11"/>
        <v>建筑面积</v>
      </c>
      <c r="R30" s="1574" t="s">
        <v>8</v>
      </c>
      <c r="S30" s="1575" t="e">
        <f t="shared" si="12"/>
        <v>#N/A</v>
      </c>
      <c r="T30" s="1574" t="s">
        <v>8</v>
      </c>
      <c r="U30" s="1575" t="e">
        <f t="shared" si="13"/>
        <v>#N/A</v>
      </c>
      <c r="V30" s="1574" t="s">
        <v>8</v>
      </c>
      <c r="W30" s="1575" t="e">
        <f t="shared" si="14"/>
        <v>#N/A</v>
      </c>
      <c r="X30" s="1568"/>
      <c r="Y30" s="3394"/>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4"/>
      <c r="Q31" s="1151" t="str">
        <f t="shared" si="11"/>
        <v>是否封闭</v>
      </c>
      <c r="R31" s="1569" t="s">
        <v>8</v>
      </c>
      <c r="S31" s="1570">
        <f t="shared" si="12"/>
        <v>100</v>
      </c>
      <c r="T31" s="1569" t="s">
        <v>8</v>
      </c>
      <c r="U31" s="1570">
        <f t="shared" si="13"/>
        <v>100</v>
      </c>
      <c r="V31" s="1569" t="s">
        <v>8</v>
      </c>
      <c r="W31" s="1570">
        <f t="shared" si="14"/>
        <v>100</v>
      </c>
      <c r="X31" s="1571"/>
      <c r="Y31" s="339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4" t="s">
        <v>551</v>
      </c>
      <c r="Q32" s="1573">
        <f t="shared" si="11"/>
        <v>111</v>
      </c>
      <c r="R32" s="1574" t="s">
        <v>8</v>
      </c>
      <c r="S32" s="1575">
        <f t="shared" si="12"/>
        <v>100</v>
      </c>
      <c r="T32" s="1574" t="s">
        <v>8</v>
      </c>
      <c r="U32" s="1575">
        <f t="shared" si="13"/>
        <v>100</v>
      </c>
      <c r="V32" s="1574" t="s">
        <v>8</v>
      </c>
      <c r="W32" s="1575">
        <f t="shared" si="14"/>
        <v>100</v>
      </c>
      <c r="X32" s="1568"/>
      <c r="Y32" s="3394"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4"/>
      <c r="Q33" s="1573">
        <f t="shared" si="11"/>
        <v>111</v>
      </c>
      <c r="R33" s="1574" t="s">
        <v>8</v>
      </c>
      <c r="S33" s="1575">
        <f t="shared" si="12"/>
        <v>100</v>
      </c>
      <c r="T33" s="1574" t="s">
        <v>8</v>
      </c>
      <c r="U33" s="1575">
        <f t="shared" si="13"/>
        <v>100</v>
      </c>
      <c r="V33" s="1574" t="s">
        <v>8</v>
      </c>
      <c r="W33" s="1575">
        <f t="shared" si="14"/>
        <v>100</v>
      </c>
      <c r="X33" s="1568"/>
      <c r="Y33" s="339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4"/>
      <c r="Q34" s="1573">
        <f t="shared" si="11"/>
        <v>111</v>
      </c>
      <c r="R34" s="1574" t="s">
        <v>8</v>
      </c>
      <c r="S34" s="1575">
        <f t="shared" si="12"/>
        <v>100</v>
      </c>
      <c r="T34" s="1574" t="s">
        <v>8</v>
      </c>
      <c r="U34" s="1575">
        <f t="shared" si="13"/>
        <v>100</v>
      </c>
      <c r="V34" s="1574" t="s">
        <v>8</v>
      </c>
      <c r="W34" s="1575">
        <f t="shared" si="14"/>
        <v>100</v>
      </c>
      <c r="X34" s="1568"/>
      <c r="Y34" s="3394"/>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355" t="str">
        <f>A35</f>
        <v>成交单价（元/平方米）</v>
      </c>
      <c r="Q35" s="3355"/>
      <c r="R35" s="3469">
        <f>E35</f>
        <v>0</v>
      </c>
      <c r="S35" s="3469"/>
      <c r="T35" s="3469">
        <f>G35</f>
        <v>0</v>
      </c>
      <c r="U35" s="3469"/>
      <c r="V35" s="3469">
        <f>I35</f>
        <v>0</v>
      </c>
      <c r="W35" s="3469"/>
      <c r="X35" s="1560"/>
      <c r="Y35" s="1582"/>
      <c r="Z35" s="1560"/>
      <c r="AA35" s="1560"/>
      <c r="AB35" s="1560"/>
      <c r="AC35" s="1560"/>
    </row>
    <row r="36" spans="1:29" ht="15.75" thickBot="1">
      <c r="A36" s="615" t="s">
        <v>2766</v>
      </c>
      <c r="B36" s="888"/>
      <c r="C36" s="2658" t="e">
        <f>R37</f>
        <v>#DIV/0!</v>
      </c>
      <c r="D36" s="2659"/>
      <c r="E36" s="2660" t="e">
        <f>R36</f>
        <v>#DIV/0!</v>
      </c>
      <c r="F36" s="2660"/>
      <c r="G36" s="2658" t="e">
        <f>T36</f>
        <v>#DIV/0!</v>
      </c>
      <c r="H36" s="2659"/>
      <c r="I36" s="2660" t="e">
        <f>V36</f>
        <v>#DIV/0!</v>
      </c>
      <c r="J36" s="2659"/>
      <c r="K36" s="1613"/>
      <c r="L36" s="2145"/>
      <c r="M36" s="2146"/>
      <c r="N36" s="2135"/>
      <c r="O36" s="2146"/>
      <c r="P36" s="3355" t="str">
        <f>A36</f>
        <v>比较价格（元/平方米）</v>
      </c>
      <c r="Q36" s="3355"/>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60"/>
      <c r="Y36" s="1560"/>
      <c r="Z36" s="1560"/>
      <c r="AA36" s="1560"/>
      <c r="AB36" s="1560"/>
      <c r="AC36" s="1560"/>
    </row>
    <row r="37" spans="1:29" ht="15.75" thickBot="1">
      <c r="A37" s="621" t="s">
        <v>2938</v>
      </c>
      <c r="B37" s="622"/>
      <c r="C37" s="2661" t="e">
        <f>R37</f>
        <v>#DIV/0!</v>
      </c>
      <c r="D37" s="2661"/>
      <c r="E37" s="2661"/>
      <c r="F37" s="2661"/>
      <c r="G37" s="2661"/>
      <c r="H37" s="2661"/>
      <c r="I37" s="2661"/>
      <c r="J37" s="2661"/>
      <c r="K37" s="1614"/>
      <c r="L37" s="2145"/>
      <c r="M37" s="2146"/>
      <c r="N37" s="2146"/>
      <c r="O37" s="2146"/>
      <c r="P37" s="3352" t="str">
        <f>A37</f>
        <v>估价对象XX用房的比较价格（楼面单价，元/平方米）</v>
      </c>
      <c r="Q37" s="3353"/>
      <c r="R37" s="3468" t="e">
        <f>IF(F1="售价",ROUND(AVERAGE(R36:V36),0),ROUND(AVERAGE(R36:V36),1))</f>
        <v>#DIV/0!</v>
      </c>
      <c r="S37" s="3468"/>
      <c r="T37" s="3468"/>
      <c r="U37" s="3468"/>
      <c r="V37" s="3468"/>
      <c r="W37" s="3468"/>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2017-11</v>
      </c>
      <c r="D46" s="2831">
        <f>EDATE(C46,-1)</f>
        <v>43009</v>
      </c>
      <c r="E46" s="2831">
        <f t="shared" ref="E46:O46" si="16">EDATE(D46,-1)</f>
        <v>42979</v>
      </c>
      <c r="F46" s="2831">
        <f t="shared" si="16"/>
        <v>42948</v>
      </c>
      <c r="G46" s="2831">
        <f t="shared" si="16"/>
        <v>42917</v>
      </c>
      <c r="H46" s="2831">
        <f t="shared" si="16"/>
        <v>42887</v>
      </c>
      <c r="I46" s="2831">
        <f t="shared" si="16"/>
        <v>42856</v>
      </c>
      <c r="J46" s="2831">
        <f t="shared" si="16"/>
        <v>42826</v>
      </c>
      <c r="K46" s="2831">
        <f t="shared" si="16"/>
        <v>42795</v>
      </c>
      <c r="L46" s="2831">
        <f t="shared" si="16"/>
        <v>42767</v>
      </c>
      <c r="M46" s="2831">
        <f t="shared" si="16"/>
        <v>42736</v>
      </c>
      <c r="N46" s="2831">
        <f t="shared" si="16"/>
        <v>42705</v>
      </c>
      <c r="O46" s="2831">
        <f t="shared" si="16"/>
        <v>42675</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2562</v>
      </c>
      <c r="C65" s="2623" t="s">
        <v>2563</v>
      </c>
      <c r="D65" s="2623" t="s">
        <v>2564</v>
      </c>
      <c r="E65" s="2623" t="s">
        <v>2565</v>
      </c>
      <c r="F65" s="2623" t="s">
        <v>2566</v>
      </c>
      <c r="G65" s="2623" t="s">
        <v>2567</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7" zoomScale="80" zoomScaleNormal="80" workbookViewId="0">
      <selection activeCell="K39" sqref="K3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2988</v>
      </c>
      <c r="D1" s="3159" t="s">
        <v>3082</v>
      </c>
      <c r="E1" s="2412" t="s">
        <v>2376</v>
      </c>
      <c r="F1" s="2413">
        <f ca="1">J53</f>
        <v>34.79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7242</v>
      </c>
      <c r="C2" s="2058"/>
      <c r="D2" s="2056"/>
      <c r="E2" s="2057"/>
      <c r="F2" s="2057"/>
      <c r="G2" s="1591"/>
      <c r="H2" s="2058"/>
      <c r="I2" s="2058"/>
      <c r="J2" s="2058"/>
      <c r="K2" s="2059"/>
      <c r="L2" s="2058"/>
      <c r="M2" s="2058"/>
    </row>
    <row r="3" spans="1:33" ht="18" customHeight="1" thickBot="1">
      <c r="A3" s="833" t="s">
        <v>1729</v>
      </c>
      <c r="B3" s="834">
        <f ca="1">IF(ISERROR(B2*10000/F43),0,ROUND(B2*10000/F43,0))</f>
        <v>11512</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2461</v>
      </c>
      <c r="C5" s="55">
        <f ca="1">C6+C10+C12</f>
        <v>391</v>
      </c>
      <c r="D5" s="2521" t="s">
        <v>2464</v>
      </c>
      <c r="E5" s="2515"/>
      <c r="F5" s="2516"/>
      <c r="G5" s="1593"/>
      <c r="H5" s="781">
        <v>1</v>
      </c>
      <c r="I5" s="782" t="s">
        <v>2461</v>
      </c>
      <c r="J5" s="55">
        <f ca="1">J6+J10+J12</f>
        <v>0</v>
      </c>
      <c r="K5" s="2521" t="s">
        <v>2464</v>
      </c>
      <c r="L5" s="2515"/>
      <c r="M5" s="2516"/>
    </row>
    <row r="6" spans="1:33" ht="18" customHeight="1">
      <c r="A6" s="1831" t="s">
        <v>1826</v>
      </c>
      <c r="B6" s="3431" t="s">
        <v>2466</v>
      </c>
      <c r="C6" s="783">
        <f ca="1">ROUND(F6*F8*F7*(1-F9)/10000,0)</f>
        <v>390</v>
      </c>
      <c r="D6" s="2522" t="s">
        <v>2465</v>
      </c>
      <c r="E6" s="784" t="s">
        <v>1740</v>
      </c>
      <c r="F6" s="785">
        <f ca="1">INDIRECT("'数据-取费表'!u"&amp;$G$1)</f>
        <v>2</v>
      </c>
      <c r="G6" s="1593"/>
      <c r="H6" s="2529" t="s">
        <v>2472</v>
      </c>
      <c r="I6" s="3431" t="s">
        <v>2466</v>
      </c>
      <c r="J6" s="783">
        <f ca="1">ROUND(M6*M8*M7*(1-M9)/10000,0)</f>
        <v>0</v>
      </c>
      <c r="K6" s="341" t="s">
        <v>1739</v>
      </c>
      <c r="L6" s="784" t="s">
        <v>1740</v>
      </c>
      <c r="M6" s="785">
        <f ca="1">INDIRECT("'数据-取费表'!z"&amp;$G$1)</f>
        <v>0</v>
      </c>
    </row>
    <row r="7" spans="1:33" ht="18" customHeight="1">
      <c r="A7" s="2525"/>
      <c r="B7" s="3432"/>
      <c r="C7" s="788"/>
      <c r="D7" s="789"/>
      <c r="E7" s="784" t="s">
        <v>1741</v>
      </c>
      <c r="F7" s="785">
        <f ca="1">IF(INDIRECT("'数据-取费表'!ah"&amp;$G$1)="",INDIRECT("'数据-取费表'!k"&amp;$G$1),INDIRECT("'数据-取费表'!ah"&amp;$G$1))</f>
        <v>6290.64</v>
      </c>
      <c r="G7" s="1593"/>
      <c r="H7" s="2514"/>
      <c r="I7" s="3432"/>
      <c r="J7" s="788"/>
      <c r="K7" s="789"/>
      <c r="L7" s="784" t="s">
        <v>1741</v>
      </c>
      <c r="M7" s="785">
        <f ca="1">F7</f>
        <v>6290.64</v>
      </c>
    </row>
    <row r="8" spans="1:33" ht="18" customHeight="1">
      <c r="A8" s="2518"/>
      <c r="B8" s="3433"/>
      <c r="C8" s="788"/>
      <c r="D8" s="789"/>
      <c r="E8" s="784" t="s">
        <v>1742</v>
      </c>
      <c r="F8" s="785">
        <f ca="1">INDIRECT("'数据-取费表'!ai"&amp;$G$1)</f>
        <v>365</v>
      </c>
      <c r="G8" s="1593"/>
      <c r="H8" s="2514"/>
      <c r="I8" s="3433"/>
      <c r="J8" s="788"/>
      <c r="K8" s="789"/>
      <c r="L8" s="784" t="s">
        <v>1742</v>
      </c>
      <c r="M8" s="785">
        <f ca="1">INDIRECT("'数据-取费表'!ai"&amp;$G$1)</f>
        <v>365</v>
      </c>
    </row>
    <row r="9" spans="1:33" ht="18" customHeight="1">
      <c r="A9" s="786"/>
      <c r="B9" s="3434"/>
      <c r="C9" s="788"/>
      <c r="D9" s="789"/>
      <c r="E9" s="784" t="s">
        <v>1743</v>
      </c>
      <c r="F9" s="794">
        <f ca="1">INDIRECT("'数据-取费表'!w"&amp;$G$1)</f>
        <v>0.15</v>
      </c>
      <c r="G9" s="1593"/>
      <c r="H9" s="2530"/>
      <c r="I9" s="3433"/>
      <c r="J9" s="788"/>
      <c r="K9" s="789"/>
      <c r="L9" s="795" t="s">
        <v>1743</v>
      </c>
      <c r="M9" s="796">
        <f ca="1">INDIRECT("'数据-取费表'!ab"&amp;$G$1)</f>
        <v>0</v>
      </c>
    </row>
    <row r="10" spans="1:33" ht="18" customHeight="1">
      <c r="A10" s="1831" t="s">
        <v>2470</v>
      </c>
      <c r="B10" s="2519" t="s">
        <v>2462</v>
      </c>
      <c r="C10" s="799">
        <f ca="1">ROUND(IF(F10="押一",F6*F8*F7/12*F11,IF(F10="押二",F6*F8*F7/12*2*F11,IF(F10="押三",F6*F8*F7/12*3*F11,C11*F11)))/10000,0)</f>
        <v>1</v>
      </c>
      <c r="D10" s="2526" t="s">
        <v>2469</v>
      </c>
      <c r="E10" s="2523" t="s">
        <v>2467</v>
      </c>
      <c r="F10" s="2646" t="s">
        <v>3087</v>
      </c>
      <c r="G10" s="1593"/>
      <c r="H10" s="2586" t="s">
        <v>2473</v>
      </c>
      <c r="I10" s="2591" t="s">
        <v>2462</v>
      </c>
      <c r="J10" s="783">
        <f ca="1">ROUND(IF(M10="押一",M6*M8*M7/12*M11,IF(M10="押二",M6*M8*M7/12*2*M11,IF(M10="押三",M6*M8*M7/12*3*M11,J11*M11)))/10000,0)</f>
        <v>0</v>
      </c>
      <c r="K10" s="2526" t="s">
        <v>2469</v>
      </c>
      <c r="L10" s="2523" t="s">
        <v>2467</v>
      </c>
      <c r="M10" s="2646"/>
    </row>
    <row r="11" spans="1:33" ht="18" customHeight="1">
      <c r="A11" s="790"/>
      <c r="B11" s="2520" t="s">
        <v>2577</v>
      </c>
      <c r="C11" s="2524"/>
      <c r="D11" s="789"/>
      <c r="E11" s="2523" t="s">
        <v>2468</v>
      </c>
      <c r="F11" s="796">
        <f ca="1">'数据-取费表'!B39</f>
        <v>1.4999999999999999E-2</v>
      </c>
      <c r="G11" s="1593"/>
      <c r="H11" s="2587"/>
      <c r="I11" s="2520" t="s">
        <v>2577</v>
      </c>
      <c r="J11" s="2524"/>
      <c r="K11" s="2588"/>
      <c r="L11" s="2523" t="s">
        <v>2468</v>
      </c>
      <c r="M11" s="2517">
        <f ca="1">'数据-取费表'!B39</f>
        <v>1.4999999999999999E-2</v>
      </c>
    </row>
    <row r="12" spans="1:33" ht="18" customHeight="1" thickBot="1">
      <c r="A12" s="2562" t="s">
        <v>2471</v>
      </c>
      <c r="B12" s="2563" t="s">
        <v>2463</v>
      </c>
      <c r="C12" s="2564"/>
      <c r="D12" s="2565"/>
      <c r="E12" s="2566"/>
      <c r="F12" s="2567"/>
      <c r="G12" s="1593"/>
      <c r="H12" s="2576" t="s">
        <v>2474</v>
      </c>
      <c r="I12" s="2589" t="s">
        <v>2463</v>
      </c>
      <c r="J12" s="2590"/>
      <c r="K12" s="2565"/>
      <c r="L12" s="2566"/>
      <c r="M12" s="2579"/>
    </row>
    <row r="13" spans="1:33" ht="18" customHeight="1" thickTop="1">
      <c r="A13" s="1830">
        <v>2</v>
      </c>
      <c r="B13" s="1828" t="s">
        <v>1744</v>
      </c>
      <c r="C13" s="792">
        <f ca="1">ROUND(C29*F13,0)</f>
        <v>1823</v>
      </c>
      <c r="D13" s="1835" t="s">
        <v>2299</v>
      </c>
      <c r="E13" s="1835" t="s">
        <v>1746</v>
      </c>
      <c r="F13" s="2561">
        <f ca="1">INDIRECT("'数据-取费表'!y"&amp;$G$1)</f>
        <v>1</v>
      </c>
      <c r="G13" s="1593"/>
      <c r="H13" s="1830">
        <v>2</v>
      </c>
      <c r="I13" s="1828" t="s">
        <v>1744</v>
      </c>
      <c r="J13" s="1820">
        <f ca="1">ROUND(J14*J15,0)</f>
        <v>0</v>
      </c>
      <c r="K13" s="1822" t="s">
        <v>1745</v>
      </c>
      <c r="L13" s="2577"/>
      <c r="M13" s="2578"/>
    </row>
    <row r="14" spans="1:33" ht="18" customHeight="1">
      <c r="A14" s="1649" t="s">
        <v>1886</v>
      </c>
      <c r="B14" s="784" t="s">
        <v>646</v>
      </c>
      <c r="C14" s="804">
        <f ca="1">INDIRECT("'数据-取费表'!m"&amp;$G$1)+INDIRECT("'数据-取费表'!t"&amp;$G$1)</f>
        <v>1132</v>
      </c>
      <c r="D14" s="1980" t="s">
        <v>1747</v>
      </c>
      <c r="E14" s="1981"/>
      <c r="F14" s="805"/>
      <c r="G14" s="1593"/>
      <c r="H14" s="1650" t="s">
        <v>1832</v>
      </c>
      <c r="I14" s="2232" t="s">
        <v>2832</v>
      </c>
      <c r="J14" s="53">
        <f ca="1">C29</f>
        <v>1823</v>
      </c>
      <c r="K14" s="26"/>
      <c r="L14" s="801"/>
      <c r="M14" s="802"/>
    </row>
    <row r="15" spans="1:33" s="2065" customFormat="1" ht="18" customHeight="1" thickBot="1">
      <c r="A15" s="1649" t="s">
        <v>1887</v>
      </c>
      <c r="B15" s="784" t="s">
        <v>648</v>
      </c>
      <c r="C15" s="53">
        <f ca="1">ROUND(C14*F15,0)</f>
        <v>34</v>
      </c>
      <c r="D15" s="806" t="s">
        <v>1748</v>
      </c>
      <c r="E15" s="806" t="s">
        <v>1749</v>
      </c>
      <c r="F15" s="807">
        <f>'数据-取费表'!B33</f>
        <v>0.03</v>
      </c>
      <c r="G15" s="1594"/>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42</v>
      </c>
      <c r="K16" s="1822" t="s">
        <v>1752</v>
      </c>
      <c r="L16" s="2511"/>
      <c r="M16" s="2516"/>
    </row>
    <row r="17" spans="1:33" s="2065" customFormat="1" ht="18" customHeight="1">
      <c r="A17" s="1649" t="s">
        <v>1889</v>
      </c>
      <c r="B17" s="784" t="s">
        <v>654</v>
      </c>
      <c r="C17" s="53">
        <f ca="1">ROUND(F17*(F43+INDIRECT("'数据-取费表'!S"&amp;$G$1))/10000,0)</f>
        <v>94</v>
      </c>
      <c r="D17" s="784" t="s">
        <v>1753</v>
      </c>
      <c r="E17" s="784" t="s">
        <v>1754</v>
      </c>
      <c r="F17" s="56">
        <f>'数据-取费表'!B35</f>
        <v>150</v>
      </c>
      <c r="G17" s="1594"/>
      <c r="H17" s="1650" t="s">
        <v>1832</v>
      </c>
      <c r="I17" s="784" t="s">
        <v>657</v>
      </c>
      <c r="J17" s="53">
        <f ca="1">ROUND(IF(项目基本情况!B11="自然人",J5*M17,J18+J19+J20),0)</f>
        <v>15</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17</v>
      </c>
      <c r="D18" s="784" t="s">
        <v>1748</v>
      </c>
      <c r="E18" s="784" t="s">
        <v>1749</v>
      </c>
      <c r="F18" s="809">
        <f>'数据-取费表'!B36</f>
        <v>1.4999999999999999E-2</v>
      </c>
      <c r="G18" s="1594"/>
      <c r="H18" s="1649" t="s">
        <v>1886</v>
      </c>
      <c r="I18" s="784" t="s">
        <v>1757</v>
      </c>
      <c r="J18" s="53">
        <f ca="1">ROUND(J5*M18/1.05,1)</f>
        <v>0</v>
      </c>
      <c r="K18" s="2509" t="s">
        <v>1758</v>
      </c>
      <c r="L18" s="784" t="s">
        <v>1749</v>
      </c>
      <c r="M18" s="809">
        <f>'数据-取费表'!B41</f>
        <v>6.3840000000000008E-2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1277</v>
      </c>
      <c r="D19" s="261" t="s">
        <v>1759</v>
      </c>
      <c r="E19" s="1983"/>
      <c r="F19" s="56"/>
      <c r="G19" s="1593"/>
      <c r="H19" s="1649" t="s">
        <v>1887</v>
      </c>
      <c r="I19" s="784" t="s">
        <v>1760</v>
      </c>
      <c r="J19" s="53">
        <f ca="1">IF(K19="按租金收入计税",ROUND(J5*M19,1),ROUND(C29*F33*0.7,1))</f>
        <v>15.3</v>
      </c>
      <c r="K19" s="811" t="s">
        <v>666</v>
      </c>
      <c r="L19" s="784" t="s">
        <v>1749</v>
      </c>
      <c r="M19" s="809">
        <f>IF(K19="按租金收入计税",'数据-取费表'!B51,'数据-取费表'!B50)</f>
        <v>1.2E-2</v>
      </c>
    </row>
    <row r="20" spans="1:33" s="2065" customFormat="1" ht="18" customHeight="1">
      <c r="A20" s="1650" t="s">
        <v>1891</v>
      </c>
      <c r="B20" s="784" t="s">
        <v>667</v>
      </c>
      <c r="C20" s="53">
        <f ca="1">ROUND(C19*F20,0)</f>
        <v>19</v>
      </c>
      <c r="D20" s="812" t="s">
        <v>1761</v>
      </c>
      <c r="E20" s="784" t="s">
        <v>1749</v>
      </c>
      <c r="F20" s="809">
        <f>'数据-取费表'!B37</f>
        <v>1.4999999999999999E-2</v>
      </c>
      <c r="G20" s="1594"/>
      <c r="H20" s="1652" t="s">
        <v>1882</v>
      </c>
      <c r="I20" s="341" t="s">
        <v>1762</v>
      </c>
      <c r="J20" s="54">
        <f ca="1">ROUND(M20*M21/10000,0)</f>
        <v>0</v>
      </c>
      <c r="K20" s="814" t="s">
        <v>1763</v>
      </c>
      <c r="L20" s="784" t="s">
        <v>1764</v>
      </c>
      <c r="M20" s="640">
        <f>'数据-取费表'!B52</f>
        <v>0</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2300</v>
      </c>
      <c r="E21" s="784" t="s">
        <v>1767</v>
      </c>
      <c r="F21" s="809">
        <f>'数据-取费表'!B38</f>
        <v>0.02</v>
      </c>
      <c r="G21" s="1594"/>
      <c r="H21" s="2531"/>
      <c r="I21" s="793"/>
      <c r="J21" s="69"/>
      <c r="K21" s="816"/>
      <c r="L21" s="784" t="s">
        <v>1768</v>
      </c>
      <c r="M21" s="785">
        <f ca="1">INDIRECT("'数据-取费表'!r"&amp;$G$1)</f>
        <v>2859.38</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7"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27</v>
      </c>
      <c r="K22" s="2509" t="s">
        <v>1771</v>
      </c>
      <c r="L22" s="784" t="s">
        <v>1749</v>
      </c>
      <c r="M22" s="817">
        <f ca="1">INDIRECT("'数据-取费表'!Ak"&amp;$G$1)</f>
        <v>1.4999999999999999E-2</v>
      </c>
    </row>
    <row r="23" spans="1:33" s="2065" customFormat="1" ht="18" customHeight="1">
      <c r="A23" s="1649" t="s">
        <v>1833</v>
      </c>
      <c r="B23" s="784" t="s">
        <v>2539</v>
      </c>
      <c r="C23" s="53">
        <f ca="1">ROUND(IF('数据-取费表'!B22&lt;=1,(C19+C20)*F24*F23/2,(C19+C20)*(POWER((1+F24),F23/2)-1)),0)</f>
        <v>46</v>
      </c>
      <c r="D23" s="2596" t="str">
        <f>IF(F23&lt;=1,"(建造成本+管理费用)×利率×(建设周期÷2)","(建造成本+管理费用)×((1+利率)^(建设周期÷2)-1)")</f>
        <v>(建造成本+管理费用)×((1+利率)^(建设周期÷2)-1)</v>
      </c>
      <c r="E23" s="784" t="s">
        <v>1772</v>
      </c>
      <c r="F23" s="640">
        <f>'数据-取费表'!B20</f>
        <v>1.5</v>
      </c>
      <c r="G23" s="1594"/>
      <c r="H23" s="1650"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6.9999999999999999E-4</v>
      </c>
      <c r="D24" s="2596" t="str">
        <f>IF(F23&lt;=1,"销售费用×利率×(建设周期÷2)","销售费用×((1+利率)^(建设周期÷2)-1)")</f>
        <v>销售费用×((1+利率)^(建设周期÷2)-1)</v>
      </c>
      <c r="E24" s="784" t="s">
        <v>1775</v>
      </c>
      <c r="F24" s="819">
        <f ca="1">'数据-取费表'!B40</f>
        <v>4.7500000000000001E-2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0" t="s">
        <v>1778</v>
      </c>
      <c r="I25" s="3037" t="s">
        <v>2828</v>
      </c>
      <c r="J25" s="792">
        <f ca="1">J5-J16</f>
        <v>-42</v>
      </c>
      <c r="K25" s="2573" t="s">
        <v>1779</v>
      </c>
      <c r="L25" s="2574"/>
      <c r="M25" s="2575"/>
    </row>
    <row r="26" spans="1:33" ht="18" customHeight="1">
      <c r="A26" s="1649" t="s">
        <v>1833</v>
      </c>
      <c r="B26" s="784" t="s">
        <v>2440</v>
      </c>
      <c r="C26" s="53">
        <f ca="1">ROUND((C19+C20)*F26,0)</f>
        <v>324</v>
      </c>
      <c r="D26" s="812" t="s">
        <v>1780</v>
      </c>
      <c r="E26" s="795" t="s">
        <v>1781</v>
      </c>
      <c r="F26" s="794">
        <f ca="1">INDIRECT("'数据-取费表'!q"&amp;$G$1)</f>
        <v>0.25</v>
      </c>
      <c r="G26" s="1593"/>
      <c r="H26" s="2527" t="s">
        <v>1782</v>
      </c>
      <c r="I26" s="2233" t="s">
        <v>2833</v>
      </c>
      <c r="J26" s="783">
        <f ca="1">IF(J5&lt;&gt;0,ROUND(J25*(1-((1+M28)/(1+M26))^M27)/(M26-M28),0),0)</f>
        <v>0</v>
      </c>
      <c r="K26" s="814" t="s">
        <v>1783</v>
      </c>
      <c r="L26" s="784" t="s">
        <v>2421</v>
      </c>
      <c r="M26" s="794">
        <f ca="1">INDIRECT("'数据-取费表'!I"&amp;$G$1)</f>
        <v>4.4999999999999998E-2</v>
      </c>
    </row>
    <row r="27" spans="1:33" ht="18" customHeight="1">
      <c r="A27" s="1649" t="s">
        <v>1834</v>
      </c>
      <c r="B27" s="784" t="s">
        <v>687</v>
      </c>
      <c r="C27" s="53">
        <f ca="1">ROUND(F21*F26,4)</f>
        <v>5.0000000000000001E-3</v>
      </c>
      <c r="D27" s="812" t="s">
        <v>1784</v>
      </c>
      <c r="E27" s="806"/>
      <c r="F27" s="807"/>
      <c r="G27" s="1593"/>
      <c r="H27" s="2528"/>
      <c r="I27" s="787"/>
      <c r="J27" s="788"/>
      <c r="K27" s="821" t="s">
        <v>1785</v>
      </c>
      <c r="L27" s="784" t="s">
        <v>1786</v>
      </c>
      <c r="M27" s="822">
        <f ca="1">INDIRECT("'数据-取费表'!ag"&amp;$G$1)</f>
        <v>0</v>
      </c>
    </row>
    <row r="28" spans="1:33" s="2065" customFormat="1" ht="18" customHeight="1">
      <c r="A28" s="1651" t="s">
        <v>1843</v>
      </c>
      <c r="B28" s="784" t="s">
        <v>688</v>
      </c>
      <c r="C28" s="53">
        <f>ROUND(F28/(1+'数据-取费表'!C42),4)</f>
        <v>6.0499999999999998E-2</v>
      </c>
      <c r="D28" s="812" t="s">
        <v>2301</v>
      </c>
      <c r="E28" s="784" t="s">
        <v>1787</v>
      </c>
      <c r="F28" s="809">
        <f>'数据-取费表'!B41</f>
        <v>6.3840000000000008E-2</v>
      </c>
      <c r="G28" s="1594"/>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1823</v>
      </c>
      <c r="D29" s="2570"/>
      <c r="E29" s="2571"/>
      <c r="F29" s="2572"/>
      <c r="G29" s="1594"/>
      <c r="H29" s="823" t="s">
        <v>1789</v>
      </c>
      <c r="I29" s="824" t="s">
        <v>1790</v>
      </c>
      <c r="J29" s="825">
        <f ca="1">ROUND(J26/(1+F40)^F41,0)</f>
        <v>0</v>
      </c>
      <c r="K29" s="826" t="s">
        <v>1791</v>
      </c>
      <c r="L29" s="827"/>
      <c r="M29" s="828">
        <f ca="1">INDIRECT("'数据-取费表'!k"&amp;$G$1)</f>
        <v>6290.64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73</v>
      </c>
      <c r="D30" s="1822" t="s">
        <v>1793</v>
      </c>
      <c r="E30" s="2511"/>
      <c r="F30" s="2516"/>
      <c r="G30" s="2063"/>
      <c r="H30" s="2066"/>
      <c r="I30" s="2067"/>
      <c r="J30" s="2068"/>
      <c r="K30" s="2069"/>
      <c r="L30" s="2070"/>
      <c r="M30" s="2071"/>
    </row>
    <row r="31" spans="1:33" ht="18" customHeight="1">
      <c r="A31" s="1650" t="s">
        <v>1832</v>
      </c>
      <c r="B31" s="784" t="s">
        <v>657</v>
      </c>
      <c r="C31" s="53">
        <f ca="1">ROUND(IF(项目基本情况!B11="自然人",C5*F31,C32+C33+C34),1)</f>
        <v>39.1</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1833</v>
      </c>
      <c r="B32" s="784" t="s">
        <v>1796</v>
      </c>
      <c r="C32" s="53">
        <f ca="1">ROUND(C5*F32/1.05,1)</f>
        <v>23.8</v>
      </c>
      <c r="D32" s="1978" t="s">
        <v>1797</v>
      </c>
      <c r="E32" s="784" t="s">
        <v>1798</v>
      </c>
      <c r="F32" s="809">
        <f>'数据-取费表'!B41</f>
        <v>6.3840000000000008E-2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15.3</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0</v>
      </c>
      <c r="D34" s="814" t="s">
        <v>1801</v>
      </c>
      <c r="E34" s="784" t="s">
        <v>1802</v>
      </c>
      <c r="F34" s="640">
        <f>'数据-取费表'!B52</f>
        <v>0</v>
      </c>
      <c r="G34" s="2063"/>
      <c r="H34" s="2066"/>
      <c r="I34" s="835" t="s">
        <v>1815</v>
      </c>
      <c r="J34" s="836"/>
      <c r="K34" s="2081"/>
      <c r="L34" s="2080"/>
      <c r="M34" s="2080"/>
    </row>
    <row r="35" spans="1:18" ht="18" customHeight="1">
      <c r="A35" s="815"/>
      <c r="B35" s="793"/>
      <c r="C35" s="69"/>
      <c r="D35" s="816"/>
      <c r="E35" s="784" t="s">
        <v>1803</v>
      </c>
      <c r="F35" s="785">
        <f ca="1">INDIRECT("'数据-取费表'!r"&amp;$G$1)</f>
        <v>2859.38</v>
      </c>
      <c r="G35" s="2063"/>
      <c r="H35" s="2066"/>
      <c r="I35" s="837" t="s">
        <v>1816</v>
      </c>
      <c r="J35" s="838">
        <f ca="1">ROUND(C13*J36,0)</f>
        <v>146</v>
      </c>
      <c r="K35" s="2079"/>
      <c r="L35" s="2078"/>
      <c r="M35" s="2078"/>
    </row>
    <row r="36" spans="1:18" ht="18" customHeight="1">
      <c r="A36" s="1650" t="s">
        <v>1891</v>
      </c>
      <c r="B36" s="784" t="s">
        <v>1804</v>
      </c>
      <c r="C36" s="53">
        <f ca="1">ROUND(C29*F36,1)</f>
        <v>27.3</v>
      </c>
      <c r="D36" s="1978"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50" t="s">
        <v>1892</v>
      </c>
      <c r="B37" s="784" t="s">
        <v>680</v>
      </c>
      <c r="C37" s="53">
        <f ca="1">ROUND(C13*F37,1)</f>
        <v>2.7</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3.9</v>
      </c>
      <c r="D38" s="2570" t="s">
        <v>1807</v>
      </c>
      <c r="E38" s="2571" t="s">
        <v>1798</v>
      </c>
      <c r="F38" s="2567">
        <f ca="1">INDIRECT("'数据-取费表'!Am"&amp;$G$1)</f>
        <v>0.01</v>
      </c>
      <c r="G38" s="2063"/>
      <c r="H38" s="2078"/>
      <c r="I38" s="843" t="s">
        <v>1819</v>
      </c>
      <c r="J38" s="844"/>
      <c r="K38" s="2084"/>
      <c r="L38" s="2078"/>
      <c r="M38" s="2078"/>
    </row>
    <row r="39" spans="1:18" ht="24.6" customHeight="1" thickTop="1">
      <c r="A39" s="1830" t="s">
        <v>1896</v>
      </c>
      <c r="B39" s="3037" t="s">
        <v>2828</v>
      </c>
      <c r="C39" s="792">
        <f ca="1">C5-C30</f>
        <v>318</v>
      </c>
      <c r="D39" s="2573" t="s">
        <v>1808</v>
      </c>
      <c r="E39" s="2574"/>
      <c r="F39" s="2575"/>
      <c r="G39" s="2063"/>
      <c r="H39" s="2078"/>
      <c r="I39" s="837" t="s">
        <v>1820</v>
      </c>
      <c r="J39" s="845">
        <f ca="1">ROUND(J35/C39,3)</f>
        <v>0.45900000000000002</v>
      </c>
      <c r="K39" s="2084"/>
      <c r="L39" s="2078"/>
      <c r="M39" s="2078"/>
    </row>
    <row r="40" spans="1:18" ht="18" customHeight="1">
      <c r="A40" s="781" t="s">
        <v>1897</v>
      </c>
      <c r="B40" s="2233" t="s">
        <v>2303</v>
      </c>
      <c r="C40" s="783">
        <f ca="1">ROUND(C39*(1-((1+F42)/(1+F40))^F41)/(F40-F42),0)</f>
        <v>7242</v>
      </c>
      <c r="D40" s="814" t="s">
        <v>1809</v>
      </c>
      <c r="E40" s="784" t="s">
        <v>2421</v>
      </c>
      <c r="F40" s="794">
        <f ca="1">INDIRECT("'数据-取费表'!I"&amp;$G$1)</f>
        <v>4.4999999999999998E-2</v>
      </c>
      <c r="G40" s="2063"/>
      <c r="H40" s="2063"/>
      <c r="I40" s="837" t="s">
        <v>1821</v>
      </c>
      <c r="J40" s="845">
        <f ca="1">1-J39</f>
        <v>0.54099999999999993</v>
      </c>
      <c r="K40" s="2084"/>
      <c r="L40" s="2063"/>
      <c r="M40" s="2063"/>
    </row>
    <row r="41" spans="1:18" ht="18" customHeight="1">
      <c r="A41" s="786"/>
      <c r="B41" s="787"/>
      <c r="C41" s="788"/>
      <c r="D41" s="821" t="s">
        <v>1810</v>
      </c>
      <c r="E41" s="784" t="s">
        <v>2970</v>
      </c>
      <c r="F41" s="822">
        <f ca="1">IF(INDIRECT("'数据-取费表'!af"&amp;$G$1)=0,INDIRECT("'数据-取费表'!ae"&amp;$G$1),INDIRECT("'数据-取费表'!af"&amp;$G$1))</f>
        <v>34.79</v>
      </c>
      <c r="G41" s="2063"/>
      <c r="H41" s="1989"/>
      <c r="I41" s="843" t="s">
        <v>1822</v>
      </c>
      <c r="J41" s="846"/>
      <c r="K41" s="2083"/>
      <c r="L41" s="1989"/>
      <c r="M41" s="1989"/>
    </row>
    <row r="42" spans="1:18" ht="18" customHeight="1">
      <c r="A42" s="790"/>
      <c r="B42" s="791"/>
      <c r="C42" s="792"/>
      <c r="D42" s="816"/>
      <c r="E42" s="784" t="s">
        <v>1811</v>
      </c>
      <c r="F42" s="794">
        <f ca="1">INDIRECT("'数据-取费表'!v"&amp;$G$1)</f>
        <v>0.02</v>
      </c>
      <c r="G42" s="2063"/>
      <c r="H42" s="1989"/>
      <c r="I42" s="847" t="s">
        <v>1823</v>
      </c>
      <c r="J42" s="845">
        <f ca="1">ROUND(C13/C40,3)</f>
        <v>0.252</v>
      </c>
      <c r="K42" s="2083"/>
      <c r="L42" s="1989"/>
      <c r="M42" s="1989"/>
    </row>
    <row r="43" spans="1:18" ht="18" customHeight="1" thickBot="1">
      <c r="A43" s="823" t="s">
        <v>1789</v>
      </c>
      <c r="B43" s="824" t="s">
        <v>1812</v>
      </c>
      <c r="C43" s="825">
        <f ca="1">ROUND(C40*10000/F43,0)</f>
        <v>11512</v>
      </c>
      <c r="D43" s="826" t="s">
        <v>1813</v>
      </c>
      <c r="E43" s="827" t="s">
        <v>1814</v>
      </c>
      <c r="F43" s="828">
        <f ca="1">INDIRECT("'数据-取费表'!k"&amp;$G$1)</f>
        <v>6290.64</v>
      </c>
      <c r="G43" s="2063"/>
      <c r="H43" s="1989"/>
      <c r="I43" s="847" t="s">
        <v>1824</v>
      </c>
      <c r="J43" s="848">
        <f ca="1">1-J42</f>
        <v>0.748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-8026</v>
      </c>
      <c r="D46" s="2086"/>
      <c r="E46" s="2086"/>
      <c r="F46" s="2086"/>
      <c r="I46" s="2379" t="s">
        <v>2344</v>
      </c>
      <c r="J46" s="2380"/>
      <c r="K46" s="2381"/>
      <c r="L46" s="2382" t="str">
        <f ca="1">IF(M47="住宅",0,IF(L48&gt;J51,L60,J60))</f>
        <v>0</v>
      </c>
      <c r="O46" s="2419" t="s">
        <v>2412</v>
      </c>
      <c r="P46" s="1593"/>
      <c r="Q46" s="1605"/>
      <c r="R46" s="1593"/>
    </row>
    <row r="47" spans="1:18" s="2060" customFormat="1" ht="18" customHeight="1" thickBot="1">
      <c r="A47" s="2373">
        <v>1</v>
      </c>
      <c r="B47" s="2374" t="s">
        <v>636</v>
      </c>
      <c r="C47" s="2599">
        <f ca="1">C48+C52+C54</f>
        <v>0</v>
      </c>
      <c r="D47" s="2086"/>
      <c r="E47" s="2086"/>
      <c r="F47" s="2086"/>
      <c r="I47" s="2383" t="s">
        <v>2345</v>
      </c>
      <c r="J47" s="2388" t="s">
        <v>3053</v>
      </c>
      <c r="K47" s="2389" t="s">
        <v>2351</v>
      </c>
      <c r="L47" s="2390">
        <f ca="1">INDIRECT("'数据-取费表'!d"&amp;$G$1)</f>
        <v>40</v>
      </c>
      <c r="M47" s="1605" t="str">
        <f>IF(ISNUMBER(FIND("住宅",C1)),"住宅","非住宅")</f>
        <v>非住宅</v>
      </c>
      <c r="O47" s="2420" t="s">
        <v>2377</v>
      </c>
      <c r="P47" s="2421" t="s">
        <v>2378</v>
      </c>
      <c r="Q47" s="2422" t="s">
        <v>2379</v>
      </c>
      <c r="R47" s="2421" t="s">
        <v>2380</v>
      </c>
    </row>
    <row r="48" spans="1:18" s="2060" customFormat="1" ht="18" customHeight="1" thickBot="1">
      <c r="A48" s="2668" t="s">
        <v>2541</v>
      </c>
      <c r="B48" s="2669" t="s">
        <v>2542</v>
      </c>
      <c r="C48" s="2375">
        <f ca="1">ROUND(F48*F50*F49*(1-F51)/10000,0)</f>
        <v>0</v>
      </c>
      <c r="D48" s="2376" t="s">
        <v>637</v>
      </c>
      <c r="E48" s="2377" t="s">
        <v>2298</v>
      </c>
      <c r="F48" s="2378"/>
      <c r="G48" s="2091"/>
      <c r="I48" s="2384" t="s">
        <v>2346</v>
      </c>
      <c r="J48" s="2391" t="s">
        <v>2352</v>
      </c>
      <c r="K48" s="2392" t="s">
        <v>2353</v>
      </c>
      <c r="L48" s="2393">
        <f ca="1">INDIRECT("'数据-取费表'!f"&amp;$G$1)</f>
        <v>36.29</v>
      </c>
      <c r="O48" s="2423" t="s">
        <v>2381</v>
      </c>
      <c r="P48" s="2424" t="s">
        <v>2407</v>
      </c>
      <c r="Q48" s="2425">
        <f ca="1">C40+J29</f>
        <v>7242</v>
      </c>
      <c r="R48" s="2424" t="s">
        <v>2382</v>
      </c>
    </row>
    <row r="49" spans="1:18" s="2060" customFormat="1" ht="18" customHeight="1" thickBot="1">
      <c r="A49" s="786"/>
      <c r="B49" s="787"/>
      <c r="C49" s="788"/>
      <c r="D49" s="789"/>
      <c r="E49" s="784" t="s">
        <v>1741</v>
      </c>
      <c r="F49" s="785">
        <f ca="1">F7</f>
        <v>6290.64</v>
      </c>
      <c r="G49" s="2091"/>
      <c r="H49" s="2094"/>
      <c r="I49" s="2384" t="s">
        <v>2347</v>
      </c>
      <c r="J49" s="2394">
        <v>2019</v>
      </c>
      <c r="K49" s="2395" t="s">
        <v>2354</v>
      </c>
      <c r="L49" s="2396"/>
      <c r="O49" s="2423" t="s">
        <v>2383</v>
      </c>
      <c r="P49" s="2424" t="s">
        <v>2408</v>
      </c>
      <c r="Q49" s="2425" t="str">
        <f ca="1">J60</f>
        <v>0</v>
      </c>
      <c r="R49" s="2424" t="s">
        <v>2384</v>
      </c>
    </row>
    <row r="50" spans="1:18" s="2060" customFormat="1" ht="18" customHeight="1" thickBot="1">
      <c r="A50" s="786"/>
      <c r="B50" s="787"/>
      <c r="C50" s="788"/>
      <c r="D50" s="789"/>
      <c r="E50" s="784" t="s">
        <v>1742</v>
      </c>
      <c r="F50" s="785">
        <f ca="1">F8</f>
        <v>365</v>
      </c>
      <c r="G50" s="2096"/>
      <c r="H50" s="2094"/>
      <c r="I50" s="2384" t="s">
        <v>2348</v>
      </c>
      <c r="J50" s="2397">
        <f>SUMPRODUCT((I63:I65=J47)*(J62:L62=J48)*(J63:L65))</f>
        <v>60</v>
      </c>
      <c r="K50" s="2395" t="s">
        <v>2355</v>
      </c>
      <c r="L50" s="2396"/>
      <c r="O50" s="2426" t="s">
        <v>2385</v>
      </c>
      <c r="P50" s="2424" t="s">
        <v>2409</v>
      </c>
      <c r="Q50" s="2425">
        <f ca="1">C29</f>
        <v>1823</v>
      </c>
      <c r="R50" s="2424" t="s">
        <v>2382</v>
      </c>
    </row>
    <row r="51" spans="1:18" s="2060" customFormat="1" ht="18" customHeight="1" thickBot="1">
      <c r="A51" s="786"/>
      <c r="B51" s="787"/>
      <c r="C51" s="788"/>
      <c r="D51" s="789"/>
      <c r="E51" s="784" t="s">
        <v>641</v>
      </c>
      <c r="F51" s="2372"/>
      <c r="H51" s="2094"/>
      <c r="I51" s="2385" t="s">
        <v>2349</v>
      </c>
      <c r="J51" s="2398">
        <f>IF(J49="",J50,J49+J50-YEAR('数据-取费表'!B2))</f>
        <v>62</v>
      </c>
      <c r="K51" s="2384" t="s">
        <v>2356</v>
      </c>
      <c r="L51" s="2399">
        <f ca="1">ROUND(-PV(INDIRECT("'数据-取费表'!h"&amp;$G$1),L48,(C39-C13*J36),0),0)</f>
        <v>3267</v>
      </c>
      <c r="O51" s="2426" t="s">
        <v>2386</v>
      </c>
      <c r="P51" s="2424" t="s">
        <v>2387</v>
      </c>
      <c r="Q51" s="2427" t="e">
        <f ca="1">J58</f>
        <v>#VALUE!</v>
      </c>
      <c r="R51" s="2428"/>
    </row>
    <row r="52" spans="1:18" s="2060" customFormat="1" ht="18" customHeight="1" thickBot="1">
      <c r="A52" s="781" t="s">
        <v>2540</v>
      </c>
      <c r="B52" s="2519" t="s">
        <v>2462</v>
      </c>
      <c r="C52" s="799">
        <f ca="1">ROUND(IF(F52="押一",F48*F50*F49/12*F11,IF(F52="押二",F48*F50*F49/12*2*F11,IF(F52="押三",F48*F50*F49/12*3*F11,C53*F11)))/10000,0)</f>
        <v>0</v>
      </c>
      <c r="D52" s="2526" t="s">
        <v>2469</v>
      </c>
      <c r="E52" s="2523" t="s">
        <v>2467</v>
      </c>
      <c r="F52" s="2646"/>
      <c r="I52" s="2386" t="s">
        <v>2423</v>
      </c>
      <c r="J52" s="2400">
        <v>7.0000000000000007E-2</v>
      </c>
      <c r="K52" s="2386" t="s">
        <v>2422</v>
      </c>
      <c r="L52" s="2400"/>
      <c r="O52" s="2426" t="s">
        <v>2388</v>
      </c>
      <c r="P52" s="2424" t="s">
        <v>2389</v>
      </c>
      <c r="Q52" s="2427">
        <f>J52</f>
        <v>7.0000000000000007E-2</v>
      </c>
      <c r="R52" s="2428"/>
    </row>
    <row r="53" spans="1:18" s="2060" customFormat="1" ht="39.75" customHeight="1" thickBot="1">
      <c r="A53" s="786"/>
      <c r="B53" s="2520" t="s">
        <v>2577</v>
      </c>
      <c r="C53" s="2524"/>
      <c r="D53" s="2526"/>
      <c r="E53" s="2523"/>
      <c r="F53" s="800"/>
      <c r="I53" s="2387" t="s">
        <v>2350</v>
      </c>
      <c r="J53" s="2401">
        <f ca="1">IF(M47="住宅",J51,IF(D1="——",MIN(J51,L48),IF(D1="土地（套用方法）",MIN(J51,L48-'数据-取费表'!B20))))</f>
        <v>34.79</v>
      </c>
      <c r="K53" s="3477" t="s">
        <v>2972</v>
      </c>
      <c r="L53" s="3478"/>
      <c r="O53" s="2426" t="s">
        <v>2390</v>
      </c>
      <c r="P53" s="2424" t="s">
        <v>2391</v>
      </c>
      <c r="Q53" s="2425">
        <f ca="1">J53</f>
        <v>34.79</v>
      </c>
      <c r="R53" s="2424" t="s">
        <v>2392</v>
      </c>
    </row>
    <row r="54" spans="1:18" s="2060" customFormat="1" ht="18" customHeight="1" thickBot="1">
      <c r="A54" s="2562" t="s">
        <v>2471</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2393</v>
      </c>
      <c r="P54" s="2424" t="s">
        <v>2410</v>
      </c>
      <c r="Q54" s="2425">
        <f ca="1">Q48+Q49</f>
        <v>7242</v>
      </c>
      <c r="R54" s="2428" t="s">
        <v>2394</v>
      </c>
    </row>
    <row r="55" spans="1:18" s="2060" customFormat="1" ht="18" customHeight="1" thickTop="1" thickBot="1">
      <c r="A55" s="797">
        <v>2</v>
      </c>
      <c r="B55" s="798" t="s">
        <v>645</v>
      </c>
      <c r="C55" s="799">
        <f ca="1">C13</f>
        <v>1823</v>
      </c>
      <c r="D55" s="795"/>
      <c r="E55" s="795"/>
      <c r="F55" s="800"/>
      <c r="I55" s="3130" t="s">
        <v>2357</v>
      </c>
      <c r="J55" s="3129" t="e">
        <f ca="1">ROUND(IF(J47="钢混",J57/J50,1-(1-2%)*(J50-J57)/J50),3)</f>
        <v>#VALUE!</v>
      </c>
      <c r="K55" s="2402" t="s">
        <v>2358</v>
      </c>
      <c r="L55" s="2403"/>
      <c r="O55" s="2429" t="s">
        <v>2413</v>
      </c>
      <c r="P55" s="1593"/>
      <c r="Q55" s="1605"/>
      <c r="R55" s="1593"/>
    </row>
    <row r="56" spans="1:18" s="2060" customFormat="1" ht="42.75" customHeight="1" thickBot="1">
      <c r="A56" s="1651"/>
      <c r="B56" s="2232" t="s">
        <v>2304</v>
      </c>
      <c r="C56" s="53">
        <f ca="1">C29</f>
        <v>1823</v>
      </c>
      <c r="D56" s="2665"/>
      <c r="E56" s="784"/>
      <c r="F56" s="809"/>
      <c r="I56" s="2404" t="s">
        <v>2359</v>
      </c>
      <c r="J56" s="3153" t="s">
        <v>1680</v>
      </c>
      <c r="K56" s="2384" t="s">
        <v>2364</v>
      </c>
      <c r="L56" s="2393" t="str">
        <f ca="1">IF(L48&lt;J51,"——",L48-J51)</f>
        <v>——</v>
      </c>
      <c r="O56" s="2420" t="s">
        <v>2377</v>
      </c>
      <c r="P56" s="2421" t="s">
        <v>2378</v>
      </c>
      <c r="Q56" s="2422" t="s">
        <v>2379</v>
      </c>
      <c r="R56" s="2421" t="s">
        <v>2380</v>
      </c>
    </row>
    <row r="57" spans="1:18" s="2060" customFormat="1" ht="28.5" customHeight="1" thickBot="1">
      <c r="A57" s="797" t="s">
        <v>1750</v>
      </c>
      <c r="B57" s="798" t="s">
        <v>652</v>
      </c>
      <c r="C57" s="799">
        <f ca="1">ROUND(C58+C63+C64+C65,0)</f>
        <v>45</v>
      </c>
      <c r="D57" s="26" t="s">
        <v>1752</v>
      </c>
      <c r="E57" s="2666"/>
      <c r="F57" s="56"/>
      <c r="I57" s="2405" t="s">
        <v>2360</v>
      </c>
      <c r="J57" s="2407" t="str">
        <f ca="1">IF(OR(M47="住宅",J51&lt;L48,J56="是"),"——",J51-L48)</f>
        <v>——</v>
      </c>
      <c r="K57" s="2384" t="s">
        <v>2365</v>
      </c>
      <c r="L57" s="2393" t="str">
        <f ca="1">IF(L48&lt;J51,"——",IF(L55="比较法",L49,IF(L55="基准地价",L50,L51)))</f>
        <v>——</v>
      </c>
      <c r="O57" s="2423" t="s">
        <v>2381</v>
      </c>
      <c r="P57" s="2424" t="s">
        <v>2411</v>
      </c>
      <c r="Q57" s="2425">
        <f ca="1">C40+J29</f>
        <v>7242</v>
      </c>
      <c r="R57" s="2424" t="s">
        <v>2382</v>
      </c>
    </row>
    <row r="58" spans="1:18" s="2060" customFormat="1" ht="28.5" customHeight="1" thickBot="1">
      <c r="A58" s="1650" t="s">
        <v>1826</v>
      </c>
      <c r="B58" s="784" t="s">
        <v>657</v>
      </c>
      <c r="C58" s="53">
        <f ca="1">ROUND(IF(项目基本情况!B11="自然人",C47*F58,C59+C60+C61),1)</f>
        <v>15.3</v>
      </c>
      <c r="D58" s="2664" t="s">
        <v>658</v>
      </c>
      <c r="E58" s="2665" t="s">
        <v>691</v>
      </c>
      <c r="F58" s="810" t="str">
        <f ca="1">IF(项目基本情况!B11="企业","",IF(INDIRECT("'数据-取费表'!c"&amp;$G$1)="住宅",5%,IF(F48*F49*F50/12/(1+'数据-取费表'!C42)&gt;20000,12%,7%)))</f>
        <v/>
      </c>
      <c r="I58" s="2405" t="s">
        <v>2361</v>
      </c>
      <c r="J58" s="3131" t="e">
        <f ca="1">IF(J55&lt;0.4,0.4,J55)</f>
        <v>#VALUE!</v>
      </c>
      <c r="K58" s="2384" t="s">
        <v>2366</v>
      </c>
      <c r="L58" s="2393" t="e">
        <f ca="1">ROUND(POWER(1+L52,L47-L48)*(POWER(1+L52,L48)-1)/(POWER(1+L52,L47)-1),4)</f>
        <v>#DIV/0!</v>
      </c>
      <c r="O58" s="2423" t="s">
        <v>2383</v>
      </c>
      <c r="P58" s="2424" t="s">
        <v>2414</v>
      </c>
      <c r="Q58" s="2425">
        <f ca="1">L60</f>
        <v>0</v>
      </c>
      <c r="R58" s="2428" t="s">
        <v>2416</v>
      </c>
    </row>
    <row r="59" spans="1:18" s="2060" customFormat="1" ht="28.5" customHeight="1" thickBot="1">
      <c r="A59" s="1649" t="s">
        <v>1833</v>
      </c>
      <c r="B59" s="784" t="s">
        <v>661</v>
      </c>
      <c r="C59" s="53">
        <f ca="1">ROUND(C47*F59/1.05,1)</f>
        <v>0</v>
      </c>
      <c r="D59" s="2665" t="s">
        <v>1758</v>
      </c>
      <c r="E59" s="784" t="s">
        <v>1749</v>
      </c>
      <c r="F59" s="809">
        <f t="shared" ref="F59:F65" si="0">F32</f>
        <v>6.3840000000000008E-2</v>
      </c>
      <c r="I59" s="2405" t="s">
        <v>2362</v>
      </c>
      <c r="J59" s="2407"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2385</v>
      </c>
      <c r="P59" s="2424" t="s">
        <v>2415</v>
      </c>
      <c r="Q59" s="2425">
        <f>IF(L55="比较法",L49,IF(L55="基准地价",L50,0))</f>
        <v>0</v>
      </c>
      <c r="R59" s="2424" t="s">
        <v>2382</v>
      </c>
    </row>
    <row r="60" spans="1:18" s="2060" customFormat="1" ht="18" customHeight="1" thickBot="1">
      <c r="A60" s="1649" t="s">
        <v>1834</v>
      </c>
      <c r="B60" s="784" t="s">
        <v>1760</v>
      </c>
      <c r="C60" s="53">
        <f ca="1">IF(D60="按租金收入计税",ROUND(C47*F60,1),IF(D60="按房产原值计税",ROUND(C56*F60*0.7,1),INDIRECT("'数据-取费表'!Aj"&amp;$G$1)))</f>
        <v>15.3</v>
      </c>
      <c r="D60" s="2665" t="str">
        <f>D33</f>
        <v>按房产原值计税</v>
      </c>
      <c r="E60" s="784" t="s">
        <v>1749</v>
      </c>
      <c r="F60" s="809">
        <f t="shared" si="0"/>
        <v>1.2E-2</v>
      </c>
      <c r="I60" s="2406" t="s">
        <v>2363</v>
      </c>
      <c r="J60" s="2408" t="str">
        <f ca="1">IF(OR(M47="住宅",J51&lt;L48,J56="是"),"0",ROUND(J59/(1+J52)^J53,0))</f>
        <v>0</v>
      </c>
      <c r="K60" s="2409" t="s">
        <v>2368</v>
      </c>
      <c r="L60" s="2408">
        <f ca="1">IF(OR(M47="住宅",L48&lt;J51),0,ROUND(L57*(L58/L59-1),0))</f>
        <v>0</v>
      </c>
      <c r="O60" s="2426" t="s">
        <v>2386</v>
      </c>
      <c r="P60" s="2424" t="s">
        <v>2395</v>
      </c>
      <c r="Q60" s="2427">
        <f>L52</f>
        <v>0</v>
      </c>
      <c r="R60" s="2428"/>
    </row>
    <row r="61" spans="1:18" s="2060" customFormat="1" ht="18" customHeight="1" thickBot="1">
      <c r="A61" s="1652" t="s">
        <v>1835</v>
      </c>
      <c r="B61" s="341" t="s">
        <v>669</v>
      </c>
      <c r="C61" s="54">
        <f ca="1">ROUND(F61*F62/10000,1)</f>
        <v>0</v>
      </c>
      <c r="D61" s="814" t="s">
        <v>670</v>
      </c>
      <c r="E61" s="784" t="s">
        <v>671</v>
      </c>
      <c r="F61" s="640">
        <f t="shared" si="0"/>
        <v>0</v>
      </c>
      <c r="K61" s="2087"/>
      <c r="O61" s="2426" t="s">
        <v>2388</v>
      </c>
      <c r="P61" s="2424" t="s">
        <v>2396</v>
      </c>
      <c r="Q61" s="2425" t="e">
        <f ca="1">L58</f>
        <v>#DIV/0!</v>
      </c>
      <c r="R61" s="2428" t="s">
        <v>2397</v>
      </c>
    </row>
    <row r="62" spans="1:18" s="2060" customFormat="1" ht="15.75" thickBot="1">
      <c r="A62" s="815"/>
      <c r="B62" s="793"/>
      <c r="C62" s="69"/>
      <c r="D62" s="816"/>
      <c r="E62" s="784" t="s">
        <v>675</v>
      </c>
      <c r="F62" s="785">
        <f t="shared" ca="1" si="0"/>
        <v>2859.38</v>
      </c>
      <c r="I62" s="2410" t="s">
        <v>2369</v>
      </c>
      <c r="J62" s="2411" t="s">
        <v>2370</v>
      </c>
      <c r="K62" s="2411" t="s">
        <v>2371</v>
      </c>
      <c r="L62" s="2411" t="s">
        <v>2352</v>
      </c>
      <c r="M62" s="3132" t="s">
        <v>2947</v>
      </c>
      <c r="O62" s="2426" t="s">
        <v>2390</v>
      </c>
      <c r="P62" s="2424" t="str">
        <f>K59</f>
        <v>建设期及建筑物耐用年限下的土地年期修正系数Kn</v>
      </c>
      <c r="Q62" s="2425" t="e">
        <f ca="1">L59</f>
        <v>#DIV/0!</v>
      </c>
      <c r="R62" s="2428" t="s">
        <v>2399</v>
      </c>
    </row>
    <row r="63" spans="1:18" s="2060" customFormat="1" ht="15.75" thickBot="1">
      <c r="A63" s="1650" t="s">
        <v>1891</v>
      </c>
      <c r="B63" s="784" t="s">
        <v>677</v>
      </c>
      <c r="C63" s="53">
        <f ca="1">ROUND(C56*F63,1)</f>
        <v>27.3</v>
      </c>
      <c r="D63" s="2665" t="s">
        <v>1805</v>
      </c>
      <c r="E63" s="784" t="s">
        <v>1749</v>
      </c>
      <c r="F63" s="817">
        <f t="shared" ca="1" si="0"/>
        <v>1.4999999999999999E-2</v>
      </c>
      <c r="I63" s="2410" t="s">
        <v>2372</v>
      </c>
      <c r="J63" s="2411">
        <v>70</v>
      </c>
      <c r="K63" s="2411">
        <v>50</v>
      </c>
      <c r="L63" s="2411">
        <v>80</v>
      </c>
      <c r="M63" s="3133">
        <v>0.02</v>
      </c>
      <c r="O63" s="2423" t="s">
        <v>2393</v>
      </c>
      <c r="P63" s="2424" t="s">
        <v>2410</v>
      </c>
      <c r="Q63" s="2425">
        <f ca="1">Q57+Q58</f>
        <v>7242</v>
      </c>
      <c r="R63" s="2428" t="s">
        <v>2394</v>
      </c>
    </row>
    <row r="64" spans="1:18" s="2060" customFormat="1" ht="16.5" thickBot="1">
      <c r="A64" s="1650" t="s">
        <v>1892</v>
      </c>
      <c r="B64" s="784" t="s">
        <v>680</v>
      </c>
      <c r="C64" s="53">
        <f ca="1">ROUND(C55*F64,1)</f>
        <v>2.7</v>
      </c>
      <c r="D64" s="2665" t="s">
        <v>681</v>
      </c>
      <c r="E64" s="784" t="s">
        <v>1749</v>
      </c>
      <c r="F64" s="818">
        <f t="shared" ca="1" si="0"/>
        <v>1.5E-3</v>
      </c>
      <c r="I64" s="2410" t="s">
        <v>2373</v>
      </c>
      <c r="J64" s="2411">
        <v>50</v>
      </c>
      <c r="K64" s="2411">
        <v>35</v>
      </c>
      <c r="L64" s="2411">
        <v>60</v>
      </c>
      <c r="M64" s="3134">
        <v>0</v>
      </c>
      <c r="O64" s="2429" t="s">
        <v>2417</v>
      </c>
      <c r="P64" s="1593"/>
      <c r="Q64" s="1605"/>
      <c r="R64" s="1593"/>
    </row>
    <row r="65" spans="1:18" s="2060" customFormat="1" ht="15.75" thickBot="1">
      <c r="A65" s="1650" t="s">
        <v>1893</v>
      </c>
      <c r="B65" s="784" t="s">
        <v>667</v>
      </c>
      <c r="C65" s="53">
        <f ca="1">ROUND(C47*F65,1)</f>
        <v>0</v>
      </c>
      <c r="D65" s="2665" t="s">
        <v>684</v>
      </c>
      <c r="E65" s="784" t="s">
        <v>1749</v>
      </c>
      <c r="F65" s="794">
        <f t="shared" ca="1" si="0"/>
        <v>0.01</v>
      </c>
      <c r="I65" s="2410" t="s">
        <v>2374</v>
      </c>
      <c r="J65" s="2411">
        <v>40</v>
      </c>
      <c r="K65" s="2411">
        <v>30</v>
      </c>
      <c r="L65" s="2411">
        <v>50</v>
      </c>
      <c r="M65" s="3133">
        <v>0.02</v>
      </c>
      <c r="O65" s="2420" t="s">
        <v>2377</v>
      </c>
      <c r="P65" s="2421" t="s">
        <v>2378</v>
      </c>
      <c r="Q65" s="2422" t="s">
        <v>2379</v>
      </c>
      <c r="R65" s="2421" t="s">
        <v>2380</v>
      </c>
    </row>
    <row r="66" spans="1:18" s="2060" customFormat="1" ht="24.75" thickBot="1">
      <c r="A66" s="797" t="s">
        <v>1778</v>
      </c>
      <c r="B66" s="3038" t="s">
        <v>2828</v>
      </c>
      <c r="C66" s="799">
        <f ca="1">C47-C57</f>
        <v>-45</v>
      </c>
      <c r="D66" s="2664" t="s">
        <v>701</v>
      </c>
      <c r="E66" s="2663"/>
      <c r="F66" s="820"/>
      <c r="K66" s="2087"/>
      <c r="O66" s="2423" t="s">
        <v>2381</v>
      </c>
      <c r="P66" s="2424" t="s">
        <v>2411</v>
      </c>
      <c r="Q66" s="2425">
        <f ca="1">C40+J29</f>
        <v>7242</v>
      </c>
      <c r="R66" s="2424" t="s">
        <v>2382</v>
      </c>
    </row>
    <row r="67" spans="1:18" s="2060" customFormat="1" ht="20.25" thickBot="1">
      <c r="A67" s="781" t="s">
        <v>1782</v>
      </c>
      <c r="B67" s="2233" t="s">
        <v>2303</v>
      </c>
      <c r="C67" s="783">
        <f ca="1">ROUND(C66*(1-((1+F69)/(1+F67))^F68)/(F67-F69),0)</f>
        <v>-784</v>
      </c>
      <c r="D67" s="814" t="s">
        <v>705</v>
      </c>
      <c r="E67" s="784" t="s">
        <v>706</v>
      </c>
      <c r="F67" s="794">
        <f ca="1">F40</f>
        <v>4.4999999999999998E-2</v>
      </c>
      <c r="K67" s="2087"/>
      <c r="O67" s="2423" t="s">
        <v>2383</v>
      </c>
      <c r="P67" s="2424" t="s">
        <v>2414</v>
      </c>
      <c r="Q67" s="2425">
        <f ca="1">L60</f>
        <v>0</v>
      </c>
      <c r="R67" s="2428" t="s">
        <v>2416</v>
      </c>
    </row>
    <row r="68" spans="1:18" ht="21.75" thickBot="1">
      <c r="A68" s="786"/>
      <c r="B68" s="787"/>
      <c r="C68" s="788"/>
      <c r="D68" s="821" t="s">
        <v>1810</v>
      </c>
      <c r="E68" s="784" t="s">
        <v>1786</v>
      </c>
      <c r="F68" s="822">
        <f ca="1">F41</f>
        <v>34.79</v>
      </c>
      <c r="O68" s="2426" t="s">
        <v>2385</v>
      </c>
      <c r="P68" s="2424" t="s">
        <v>2415</v>
      </c>
      <c r="Q68" s="2430">
        <f ca="1">L51</f>
        <v>3267</v>
      </c>
      <c r="R68" s="2431" t="s">
        <v>2418</v>
      </c>
    </row>
    <row r="69" spans="1:18" ht="20.25" thickBot="1">
      <c r="A69" s="790"/>
      <c r="B69" s="791"/>
      <c r="C69" s="792"/>
      <c r="D69" s="816"/>
      <c r="E69" s="784" t="s">
        <v>711</v>
      </c>
      <c r="F69" s="2372"/>
      <c r="O69" s="2426" t="s">
        <v>2386</v>
      </c>
      <c r="P69" s="2432" t="s">
        <v>2400</v>
      </c>
      <c r="Q69" s="2425">
        <f ca="1">ROUND(Q70-Q71*Q72,0)</f>
        <v>172</v>
      </c>
      <c r="R69" s="2428"/>
    </row>
    <row r="70" spans="1:18" ht="15.75" thickBot="1">
      <c r="A70" s="823" t="s">
        <v>1789</v>
      </c>
      <c r="B70" s="824" t="s">
        <v>1812</v>
      </c>
      <c r="C70" s="825">
        <f ca="1">ROUND(C67*10000/F70,0)</f>
        <v>-1246</v>
      </c>
      <c r="D70" s="826" t="s">
        <v>1813</v>
      </c>
      <c r="E70" s="827" t="s">
        <v>1814</v>
      </c>
      <c r="F70" s="828">
        <f ca="1">F43</f>
        <v>6290.64</v>
      </c>
      <c r="O70" s="2426" t="s">
        <v>2401</v>
      </c>
      <c r="P70" s="2432" t="s">
        <v>2402</v>
      </c>
      <c r="Q70" s="2425">
        <f ca="1">C39</f>
        <v>318</v>
      </c>
      <c r="R70" s="2424" t="s">
        <v>2382</v>
      </c>
    </row>
    <row r="71" spans="1:18" ht="15.75" thickBot="1">
      <c r="O71" s="2426" t="s">
        <v>2403</v>
      </c>
      <c r="P71" s="2432" t="s">
        <v>2404</v>
      </c>
      <c r="Q71" s="2425">
        <f ca="1">C13</f>
        <v>1823</v>
      </c>
      <c r="R71" s="2424" t="s">
        <v>2382</v>
      </c>
    </row>
    <row r="72" spans="1:18" ht="15.75" thickBot="1">
      <c r="O72" s="2426" t="s">
        <v>2405</v>
      </c>
      <c r="P72" s="2432" t="s">
        <v>2406</v>
      </c>
      <c r="Q72" s="2427">
        <f ca="1">J36</f>
        <v>0.08</v>
      </c>
      <c r="R72" s="2428"/>
    </row>
    <row r="73" spans="1:18" ht="15.75" thickBot="1">
      <c r="O73" s="2426" t="s">
        <v>2388</v>
      </c>
      <c r="P73" s="2424" t="s">
        <v>2395</v>
      </c>
      <c r="Q73" s="2427">
        <f>L52</f>
        <v>0</v>
      </c>
      <c r="R73" s="2428"/>
    </row>
    <row r="74" spans="1:18" ht="20.25" thickBot="1">
      <c r="O74" s="2426" t="s">
        <v>2390</v>
      </c>
      <c r="P74" s="2424" t="s">
        <v>2396</v>
      </c>
      <c r="Q74" s="2425" t="e">
        <f ca="1">L58</f>
        <v>#DIV/0!</v>
      </c>
      <c r="R74" s="2428" t="s">
        <v>2397</v>
      </c>
    </row>
    <row r="75" spans="1:18" ht="15.75" thickBot="1">
      <c r="O75" s="2426" t="s">
        <v>2419</v>
      </c>
      <c r="P75" s="2424" t="str">
        <f>K59</f>
        <v>建设期及建筑物耐用年限下的土地年期修正系数Kn</v>
      </c>
      <c r="Q75" s="2425" t="e">
        <f ca="1">L59</f>
        <v>#DIV/0!</v>
      </c>
      <c r="R75" s="2428" t="s">
        <v>2399</v>
      </c>
    </row>
    <row r="76" spans="1:18" ht="15.75" thickBot="1">
      <c r="O76" s="2423" t="s">
        <v>2393</v>
      </c>
      <c r="P76" s="2424" t="s">
        <v>2410</v>
      </c>
      <c r="Q76" s="2425">
        <f ca="1">Q66+Q67</f>
        <v>7242</v>
      </c>
      <c r="R76" s="242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2305</v>
      </c>
      <c r="C1" s="3482" t="s">
        <v>2306</v>
      </c>
      <c r="D1" s="3483"/>
      <c r="E1" s="3483"/>
      <c r="F1" s="3483"/>
      <c r="G1" s="3483"/>
      <c r="H1" s="3483"/>
      <c r="I1" s="3483"/>
      <c r="J1" s="3483"/>
      <c r="K1" s="3483"/>
      <c r="L1" s="3483"/>
      <c r="M1" s="3483"/>
      <c r="N1" s="3483"/>
      <c r="O1" s="3483"/>
      <c r="P1" s="3483"/>
      <c r="Q1" s="3483"/>
      <c r="R1" s="3483"/>
      <c r="S1" s="3484"/>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7"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9"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9"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8"/>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7"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7"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7"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湖北天门汉旺房地产开发有限公司：</v>
      </c>
    </row>
    <row r="4" spans="1:4" ht="37.5">
      <c r="A4" s="1792" t="str">
        <f>"受贵公司委托，我公司对"&amp;项目基本情况!K2&amp;项目基本情况!B9&amp;"进行了预评估。"</f>
        <v>受贵公司委托，我公司对湖北省天门市竟陵办事处东湖村出让国有建设用地使用权抵押价格进行了预评估。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天门市竟陵办事处东湖村出让国有建设用地使用权。根据《国有土地使用证》[天国用（2013）第5549号]，估价对象（分摊）出让国有建设用地使用权面积为28593.8平方米。根据《国有建设用地使用权出让合同》[合同编号:鄂TM-2013-168]及附件，估价对象规划建筑面积为62906.36平方米。</v>
      </c>
    </row>
    <row r="7" spans="1:4" ht="93.75">
      <c r="A7" s="2900" t="s">
        <v>2754</v>
      </c>
    </row>
    <row r="8" spans="1:4" ht="18.75">
      <c r="A8" s="1795" t="s">
        <v>1908</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根据《国有土地使用证》[天国用（2013）第5549号]，本次评估估价对象证载（地类）用途为住宅、商业。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2013）第5549号]，估价对象（分摊）出让国有建设用地使用权面积为28593.8平方米。根据《国有建设用地使用权出让合同》[合同编号:鄂TM-2013-168]及附件，估价对象规划建筑面积为62906.36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2794</v>
      </c>
      <c r="C1" s="3031">
        <f>项目基本情况!D3</f>
        <v>43061</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2825</v>
      </c>
      <c r="C2" s="3032">
        <f>'数据-取费表'!B22</f>
        <v>1.5</v>
      </c>
      <c r="D2" s="3027" t="s">
        <v>2795</v>
      </c>
      <c r="E2" s="3030">
        <f ca="1">INDIRECT("I"&amp;$I$1)/100</f>
        <v>4.7500000000000001E-2</v>
      </c>
      <c r="G2" s="2967"/>
      <c r="H2" s="2967"/>
      <c r="I2" s="2967" t="s">
        <v>2796</v>
      </c>
      <c r="K2" s="2967"/>
      <c r="L2" s="2967"/>
      <c r="M2" s="2967"/>
      <c r="N2" s="2967" t="s">
        <v>2797</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2827</v>
      </c>
      <c r="C3" s="3029">
        <f>'数据-取费表'!B19</f>
        <v>0</v>
      </c>
      <c r="D3" s="3027" t="s">
        <v>2795</v>
      </c>
      <c r="E3" s="3030">
        <f ca="1">INDIRECT("J"&amp;$J$1)/100</f>
        <v>0</v>
      </c>
      <c r="G3" s="2969" t="s">
        <v>2798</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2826</v>
      </c>
      <c r="C4" s="3030">
        <f ca="1">N4/100</f>
        <v>1.4999999999999999E-2</v>
      </c>
      <c r="G4" s="2975" t="s">
        <v>2799</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2800</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2801</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2802</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2803</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2804</v>
      </c>
      <c r="C10" s="2994"/>
      <c r="D10" s="2994"/>
      <c r="E10" s="2994"/>
      <c r="F10" s="2994"/>
      <c r="G10" s="2994"/>
      <c r="H10" s="2994"/>
      <c r="I10" s="2968"/>
      <c r="J10" s="2968"/>
      <c r="K10" s="2994"/>
      <c r="L10" s="2995" t="s">
        <v>2805</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2806</v>
      </c>
      <c r="C11" s="2999" t="s">
        <v>2807</v>
      </c>
      <c r="D11" s="3000" t="s">
        <v>2808</v>
      </c>
      <c r="E11" s="3001"/>
      <c r="F11" s="3000" t="s">
        <v>2809</v>
      </c>
      <c r="G11" s="3002"/>
      <c r="H11" s="3001"/>
      <c r="I11" s="3000" t="s">
        <v>2810</v>
      </c>
      <c r="J11" s="3001"/>
      <c r="K11" s="2997"/>
      <c r="L11" s="2998" t="s">
        <v>2806</v>
      </c>
      <c r="M11" s="2999" t="s">
        <v>2807</v>
      </c>
      <c r="N11" s="2998" t="s">
        <v>2811</v>
      </c>
      <c r="O11" s="3000" t="s">
        <v>2812</v>
      </c>
      <c r="P11" s="3002"/>
      <c r="Q11" s="3002"/>
      <c r="R11" s="3002"/>
      <c r="S11" s="3002"/>
      <c r="T11" s="3001"/>
      <c r="U11" s="3000" t="s">
        <v>2813</v>
      </c>
      <c r="V11" s="3002"/>
      <c r="W11" s="3001"/>
      <c r="X11" s="2998" t="s">
        <v>2814</v>
      </c>
      <c r="Y11" s="2998" t="s">
        <v>2815</v>
      </c>
      <c r="Z11" s="2998" t="s">
        <v>2816</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2817</v>
      </c>
      <c r="E12" s="3007" t="s">
        <v>2818</v>
      </c>
      <c r="F12" s="3007" t="s">
        <v>2819</v>
      </c>
      <c r="G12" s="3007" t="s">
        <v>2820</v>
      </c>
      <c r="H12" s="3007" t="s">
        <v>2802</v>
      </c>
      <c r="I12" s="3008" t="s">
        <v>2821</v>
      </c>
      <c r="J12" s="3008" t="s">
        <v>2821</v>
      </c>
      <c r="K12" s="3004"/>
      <c r="L12" s="3005"/>
      <c r="M12" s="3006"/>
      <c r="N12" s="3005"/>
      <c r="O12" s="3008" t="s">
        <v>2822</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2823</v>
      </c>
      <c r="C13" s="3012">
        <v>42301</v>
      </c>
      <c r="D13" s="3013">
        <v>4.3499999999999996</v>
      </c>
      <c r="E13" s="3013">
        <v>4.3499999999999996</v>
      </c>
      <c r="F13" s="3013">
        <v>4.75</v>
      </c>
      <c r="G13" s="3013">
        <v>4.75</v>
      </c>
      <c r="H13" s="3013">
        <v>4.9000000000000004</v>
      </c>
      <c r="I13" s="3013">
        <v>2.75</v>
      </c>
      <c r="J13" s="3013">
        <v>3.25</v>
      </c>
      <c r="K13" s="3010"/>
      <c r="L13" s="3011" t="s">
        <v>2823</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2824</v>
      </c>
      <c r="Y42" s="3017" t="s">
        <v>2824</v>
      </c>
      <c r="Z42" s="3017" t="s">
        <v>2824</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2824</v>
      </c>
      <c r="Y43" s="3017" t="s">
        <v>2824</v>
      </c>
      <c r="Z43" s="3017" t="s">
        <v>2824</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2824</v>
      </c>
      <c r="Y44" s="3017" t="s">
        <v>2824</v>
      </c>
      <c r="Z44" s="3017" t="s">
        <v>2824</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2824</v>
      </c>
      <c r="Y45" s="3017" t="s">
        <v>2824</v>
      </c>
      <c r="Z45" s="3017" t="s">
        <v>2824</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2824</v>
      </c>
      <c r="Y46" s="3017" t="s">
        <v>2824</v>
      </c>
      <c r="Z46" s="3017" t="s">
        <v>2824</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2824</v>
      </c>
      <c r="Y47" s="3017" t="s">
        <v>2824</v>
      </c>
      <c r="Z47" s="3017" t="s">
        <v>2824</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2824</v>
      </c>
      <c r="Y48" s="3017" t="s">
        <v>2824</v>
      </c>
      <c r="Z48" s="3017" t="s">
        <v>2824</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2824</v>
      </c>
      <c r="Y49" s="3017" t="s">
        <v>2824</v>
      </c>
      <c r="Z49" s="3017" t="s">
        <v>2824</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2824</v>
      </c>
      <c r="Y50" s="3017" t="s">
        <v>2824</v>
      </c>
      <c r="Z50" s="3017" t="s">
        <v>2824</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2824</v>
      </c>
      <c r="V51" s="3017" t="s">
        <v>2824</v>
      </c>
      <c r="W51" s="3017" t="s">
        <v>2824</v>
      </c>
      <c r="X51" s="3017" t="s">
        <v>2824</v>
      </c>
      <c r="Y51" s="3017" t="s">
        <v>2824</v>
      </c>
      <c r="Z51" s="3017" t="s">
        <v>2824</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2824</v>
      </c>
      <c r="J55" s="3017" t="s">
        <v>2824</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1:K9"/>
  <sheetViews>
    <sheetView workbookViewId="0">
      <selection activeCell="K10" sqref="K10"/>
    </sheetView>
  </sheetViews>
  <sheetFormatPr defaultRowHeight="13.5"/>
  <sheetData>
    <row r="1" spans="2:11">
      <c r="B1" s="3185" t="s">
        <v>3044</v>
      </c>
      <c r="H1" s="3185" t="s">
        <v>3045</v>
      </c>
    </row>
    <row r="2" spans="2:11">
      <c r="B2" s="3174" t="s">
        <v>3039</v>
      </c>
      <c r="H2" s="3174" t="s">
        <v>3039</v>
      </c>
    </row>
    <row r="3" spans="2:11" ht="14.25" thickBot="1">
      <c r="B3" s="3175" t="s">
        <v>3040</v>
      </c>
      <c r="C3" s="3176" t="s">
        <v>3041</v>
      </c>
      <c r="D3" s="3176" t="s">
        <v>3042</v>
      </c>
      <c r="E3" s="3176" t="s">
        <v>3043</v>
      </c>
      <c r="H3" s="3175" t="s">
        <v>3040</v>
      </c>
      <c r="I3" s="3176" t="s">
        <v>3041</v>
      </c>
      <c r="J3" s="3176" t="s">
        <v>3042</v>
      </c>
      <c r="K3" s="3176" t="s">
        <v>3043</v>
      </c>
    </row>
    <row r="4" spans="2:11">
      <c r="B4" s="3177">
        <v>2016.1</v>
      </c>
      <c r="C4" s="3179">
        <v>6488</v>
      </c>
      <c r="D4" s="3179">
        <v>1.51</v>
      </c>
      <c r="E4" s="3178"/>
      <c r="H4" s="3177">
        <v>2016.1</v>
      </c>
      <c r="I4" s="3179">
        <v>9641</v>
      </c>
      <c r="J4" s="3179">
        <v>0.39</v>
      </c>
      <c r="K4" s="3178"/>
    </row>
    <row r="5" spans="2:11">
      <c r="B5" s="3180">
        <v>2016.2</v>
      </c>
      <c r="C5" s="3182">
        <v>6683</v>
      </c>
      <c r="D5" s="3182">
        <v>3</v>
      </c>
      <c r="E5" s="3181"/>
      <c r="H5" s="3180">
        <v>2016.2</v>
      </c>
      <c r="I5" s="3182">
        <v>9707</v>
      </c>
      <c r="J5" s="3182">
        <v>0.69</v>
      </c>
      <c r="K5" s="3181"/>
    </row>
    <row r="6" spans="2:11">
      <c r="B6" s="3177">
        <v>2016.3</v>
      </c>
      <c r="C6" s="3179">
        <v>6956</v>
      </c>
      <c r="D6" s="3179">
        <v>4.08</v>
      </c>
      <c r="E6" s="3178"/>
      <c r="H6" s="3177">
        <v>2016.3</v>
      </c>
      <c r="I6" s="3179">
        <v>9787</v>
      </c>
      <c r="J6" s="3179">
        <v>0.82</v>
      </c>
      <c r="K6" s="3178"/>
    </row>
    <row r="7" spans="2:11">
      <c r="B7" s="3180">
        <v>2016.4</v>
      </c>
      <c r="C7" s="3182">
        <v>7029</v>
      </c>
      <c r="D7" s="3182">
        <v>1.05</v>
      </c>
      <c r="E7" s="3181"/>
      <c r="H7" s="3180">
        <v>2016.4</v>
      </c>
      <c r="I7" s="3182">
        <v>9861</v>
      </c>
      <c r="J7" s="3182">
        <v>0.76</v>
      </c>
      <c r="K7" s="3181"/>
    </row>
    <row r="8" spans="2:11" ht="14.25">
      <c r="B8" s="3183">
        <v>2017.1</v>
      </c>
      <c r="C8" s="3184">
        <v>7080</v>
      </c>
      <c r="D8" s="3184">
        <v>0.73</v>
      </c>
      <c r="H8" s="3183">
        <v>2017.1</v>
      </c>
      <c r="I8" s="3184">
        <v>9911</v>
      </c>
      <c r="J8" s="3184">
        <v>0.51</v>
      </c>
    </row>
    <row r="9" spans="2:11">
      <c r="D9">
        <f>SUM(D4:D8)</f>
        <v>10.370000000000001</v>
      </c>
      <c r="E9">
        <f>D9/4</f>
        <v>2.5925000000000002</v>
      </c>
      <c r="J9">
        <f>SUM(J4:J8)</f>
        <v>3.17</v>
      </c>
      <c r="K9">
        <f>J9/4</f>
        <v>0.79249999999999998</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2:O62"/>
  <sheetViews>
    <sheetView topLeftCell="A25" workbookViewId="0">
      <selection activeCell="L42" sqref="L42"/>
    </sheetView>
  </sheetViews>
  <sheetFormatPr defaultRowHeight="13.5"/>
  <cols>
    <col min="8" max="8" width="6.625" customWidth="1"/>
    <col min="9" max="9" width="13.25" customWidth="1"/>
    <col min="10" max="10" width="7" customWidth="1"/>
    <col min="11" max="11" width="7.375" customWidth="1"/>
  </cols>
  <sheetData>
    <row r="2" spans="1:15" ht="14.25">
      <c r="A2" s="3485" t="s">
        <v>3099</v>
      </c>
      <c r="B2" s="3485"/>
      <c r="C2" s="3485" t="s">
        <v>3100</v>
      </c>
      <c r="D2" s="3485" t="s">
        <v>3101</v>
      </c>
      <c r="E2" s="3485" t="s">
        <v>3102</v>
      </c>
      <c r="F2" s="3485" t="s">
        <v>3103</v>
      </c>
      <c r="G2" s="3485" t="s">
        <v>2034</v>
      </c>
      <c r="H2" s="3485" t="s">
        <v>3104</v>
      </c>
      <c r="I2" s="3486" t="s">
        <v>3105</v>
      </c>
      <c r="J2" s="3485" t="s">
        <v>3106</v>
      </c>
      <c r="K2" s="3485" t="s">
        <v>3107</v>
      </c>
      <c r="L2" s="3485" t="s">
        <v>3108</v>
      </c>
      <c r="M2" s="3487" t="s">
        <v>3141</v>
      </c>
      <c r="N2" s="3485" t="s">
        <v>3109</v>
      </c>
      <c r="O2" s="3485" t="s">
        <v>3110</v>
      </c>
    </row>
    <row r="3" spans="1:15" ht="14.25">
      <c r="A3" s="3488" t="s">
        <v>3111</v>
      </c>
      <c r="B3" s="3489"/>
      <c r="C3" s="3490" t="s">
        <v>3112</v>
      </c>
      <c r="D3" s="3490" t="s">
        <v>3113</v>
      </c>
      <c r="E3" s="3491">
        <v>308.22000000000003</v>
      </c>
      <c r="F3" s="3491">
        <v>616.44000000000005</v>
      </c>
      <c r="G3" s="3491" t="s">
        <v>3114</v>
      </c>
      <c r="H3" s="3490" t="s">
        <v>3115</v>
      </c>
      <c r="I3" s="3492">
        <v>43067</v>
      </c>
      <c r="J3" s="3491">
        <v>12</v>
      </c>
      <c r="K3" s="3491">
        <v>17</v>
      </c>
      <c r="L3" s="3491">
        <v>275.77</v>
      </c>
      <c r="M3" s="3493">
        <f>K3*10000/E3</f>
        <v>551.55408474466287</v>
      </c>
      <c r="N3" s="3491">
        <v>41.67</v>
      </c>
      <c r="O3" s="3490" t="s">
        <v>3116</v>
      </c>
    </row>
    <row r="4" spans="1:15" ht="14.25">
      <c r="A4" s="3488" t="s">
        <v>3111</v>
      </c>
      <c r="B4" s="3489"/>
      <c r="C4" s="3490" t="s">
        <v>3112</v>
      </c>
      <c r="D4" s="3490" t="s">
        <v>3113</v>
      </c>
      <c r="E4" s="3491">
        <v>1536.08</v>
      </c>
      <c r="F4" s="3491">
        <v>3072.16</v>
      </c>
      <c r="G4" s="3491" t="s">
        <v>3114</v>
      </c>
      <c r="H4" s="3490" t="s">
        <v>3115</v>
      </c>
      <c r="I4" s="3492">
        <v>43067</v>
      </c>
      <c r="J4" s="3491">
        <v>58</v>
      </c>
      <c r="K4" s="3491">
        <v>128</v>
      </c>
      <c r="L4" s="3491">
        <v>416.63</v>
      </c>
      <c r="M4" s="3493">
        <f t="shared" ref="M4:M62" si="0">K4*10000/E4</f>
        <v>833.28993281599924</v>
      </c>
      <c r="N4" s="3491">
        <v>120.69</v>
      </c>
      <c r="O4" s="3490" t="s">
        <v>3116</v>
      </c>
    </row>
    <row r="5" spans="1:15" ht="14.25">
      <c r="A5" s="3488" t="s">
        <v>3111</v>
      </c>
      <c r="B5" s="3489"/>
      <c r="C5" s="3490" t="s">
        <v>3112</v>
      </c>
      <c r="D5" s="3490" t="s">
        <v>3113</v>
      </c>
      <c r="E5" s="3491">
        <v>203.09</v>
      </c>
      <c r="F5" s="3491">
        <v>406.18</v>
      </c>
      <c r="G5" s="3491" t="s">
        <v>3114</v>
      </c>
      <c r="H5" s="3490" t="s">
        <v>3115</v>
      </c>
      <c r="I5" s="3492">
        <v>43067</v>
      </c>
      <c r="J5" s="3491">
        <v>10</v>
      </c>
      <c r="K5" s="3491">
        <v>15</v>
      </c>
      <c r="L5" s="3491">
        <v>369.29</v>
      </c>
      <c r="M5" s="3493">
        <f t="shared" si="0"/>
        <v>738.58880299374664</v>
      </c>
      <c r="N5" s="3491">
        <v>50</v>
      </c>
      <c r="O5" s="3490" t="s">
        <v>3116</v>
      </c>
    </row>
    <row r="6" spans="1:15" ht="14.25">
      <c r="A6" s="3488" t="s">
        <v>3111</v>
      </c>
      <c r="B6" s="3489"/>
      <c r="C6" s="3490" t="s">
        <v>3112</v>
      </c>
      <c r="D6" s="3490" t="s">
        <v>3113</v>
      </c>
      <c r="E6" s="3491">
        <v>427.02</v>
      </c>
      <c r="F6" s="3491">
        <v>854.04</v>
      </c>
      <c r="G6" s="3491" t="s">
        <v>3114</v>
      </c>
      <c r="H6" s="3490" t="s">
        <v>3115</v>
      </c>
      <c r="I6" s="3492">
        <v>43067</v>
      </c>
      <c r="J6" s="3491">
        <v>17</v>
      </c>
      <c r="K6" s="3491">
        <v>22</v>
      </c>
      <c r="L6" s="3491">
        <v>257.60000000000002</v>
      </c>
      <c r="M6" s="3493">
        <f t="shared" si="0"/>
        <v>515.1983513652757</v>
      </c>
      <c r="N6" s="3491">
        <v>29.41</v>
      </c>
      <c r="O6" s="3490" t="s">
        <v>3116</v>
      </c>
    </row>
    <row r="7" spans="1:15" ht="14.25">
      <c r="A7" s="3488" t="s">
        <v>3117</v>
      </c>
      <c r="B7" s="3489"/>
      <c r="C7" s="3490" t="s">
        <v>3112</v>
      </c>
      <c r="D7" s="3490" t="s">
        <v>3118</v>
      </c>
      <c r="E7" s="3491">
        <v>1813.12</v>
      </c>
      <c r="F7" s="3491">
        <v>3082.3</v>
      </c>
      <c r="G7" s="3491" t="s">
        <v>3119</v>
      </c>
      <c r="H7" s="3490" t="s">
        <v>3115</v>
      </c>
      <c r="I7" s="3492">
        <v>43053</v>
      </c>
      <c r="J7" s="3491">
        <v>56</v>
      </c>
      <c r="K7" s="3491">
        <v>61</v>
      </c>
      <c r="L7" s="3491">
        <v>197.9</v>
      </c>
      <c r="M7" s="3493">
        <f t="shared" si="0"/>
        <v>336.43663960465938</v>
      </c>
      <c r="N7" s="3491">
        <v>8.93</v>
      </c>
      <c r="O7" s="3490" t="s">
        <v>3120</v>
      </c>
    </row>
    <row r="8" spans="1:15" ht="14.25">
      <c r="A8" s="3488" t="s">
        <v>3121</v>
      </c>
      <c r="B8" s="3489"/>
      <c r="C8" s="3490" t="s">
        <v>3112</v>
      </c>
      <c r="D8" s="3490" t="s">
        <v>3118</v>
      </c>
      <c r="E8" s="3491">
        <v>64295.07</v>
      </c>
      <c r="F8" s="3491">
        <v>141449.20000000001</v>
      </c>
      <c r="G8" s="3491" t="s">
        <v>3122</v>
      </c>
      <c r="H8" s="3490" t="s">
        <v>3123</v>
      </c>
      <c r="I8" s="3492">
        <v>43032</v>
      </c>
      <c r="J8" s="3491">
        <v>3657</v>
      </c>
      <c r="K8" s="3491">
        <v>3800</v>
      </c>
      <c r="L8" s="3491">
        <v>268.64</v>
      </c>
      <c r="M8" s="3493">
        <f t="shared" si="0"/>
        <v>591.02509725862342</v>
      </c>
      <c r="N8" s="3491">
        <v>3.91</v>
      </c>
      <c r="O8" s="3490" t="s">
        <v>3124</v>
      </c>
    </row>
    <row r="9" spans="1:15" ht="14.25">
      <c r="A9" s="3488" t="s">
        <v>3125</v>
      </c>
      <c r="B9" s="3489"/>
      <c r="C9" s="3490" t="s">
        <v>3112</v>
      </c>
      <c r="D9" s="3490" t="s">
        <v>3118</v>
      </c>
      <c r="E9" s="3491">
        <v>5331.95</v>
      </c>
      <c r="F9" s="3491">
        <v>12156.85</v>
      </c>
      <c r="G9" s="3491" t="s">
        <v>3122</v>
      </c>
      <c r="H9" s="3490" t="s">
        <v>3115</v>
      </c>
      <c r="I9" s="3492">
        <v>43028</v>
      </c>
      <c r="J9" s="3491">
        <v>223</v>
      </c>
      <c r="K9" s="3491">
        <v>223</v>
      </c>
      <c r="L9" s="3491">
        <v>183.43</v>
      </c>
      <c r="M9" s="3493">
        <f t="shared" si="0"/>
        <v>418.23347930869573</v>
      </c>
      <c r="N9" s="3491">
        <v>0</v>
      </c>
      <c r="O9" s="3490" t="s">
        <v>3126</v>
      </c>
    </row>
    <row r="10" spans="1:15" ht="14.25">
      <c r="A10" s="3488" t="s">
        <v>3127</v>
      </c>
      <c r="B10" s="3489"/>
      <c r="C10" s="3490" t="s">
        <v>3112</v>
      </c>
      <c r="D10" s="3490" t="s">
        <v>3118</v>
      </c>
      <c r="E10" s="3491">
        <v>2862.94</v>
      </c>
      <c r="F10" s="3491">
        <v>6527.5</v>
      </c>
      <c r="G10" s="3491" t="s">
        <v>3122</v>
      </c>
      <c r="H10" s="3490" t="s">
        <v>3115</v>
      </c>
      <c r="I10" s="3492">
        <v>43028</v>
      </c>
      <c r="J10" s="3491">
        <v>113</v>
      </c>
      <c r="K10" s="3491">
        <v>113</v>
      </c>
      <c r="L10" s="3491">
        <v>173.11</v>
      </c>
      <c r="M10" s="3493">
        <f t="shared" si="0"/>
        <v>394.69915541366566</v>
      </c>
      <c r="N10" s="3491">
        <v>0</v>
      </c>
      <c r="O10" s="3490" t="s">
        <v>3126</v>
      </c>
    </row>
    <row r="11" spans="1:15" ht="14.25">
      <c r="A11" s="3488" t="s">
        <v>3128</v>
      </c>
      <c r="B11" s="3489"/>
      <c r="C11" s="3490" t="s">
        <v>3112</v>
      </c>
      <c r="D11" s="3490" t="s">
        <v>3118</v>
      </c>
      <c r="E11" s="3491">
        <v>41094.160000000003</v>
      </c>
      <c r="F11" s="3491">
        <v>115063.6</v>
      </c>
      <c r="G11" s="3491" t="s">
        <v>3122</v>
      </c>
      <c r="H11" s="3490" t="s">
        <v>3123</v>
      </c>
      <c r="I11" s="3492">
        <v>43027</v>
      </c>
      <c r="J11" s="3491" t="s">
        <v>2824</v>
      </c>
      <c r="K11" s="3491">
        <v>12400</v>
      </c>
      <c r="L11" s="3491">
        <v>1077.6600000000001</v>
      </c>
      <c r="M11" s="3493">
        <f t="shared" si="0"/>
        <v>3017.460388532093</v>
      </c>
      <c r="N11" s="3491" t="s">
        <v>2824</v>
      </c>
      <c r="O11" s="3490" t="s">
        <v>3129</v>
      </c>
    </row>
    <row r="12" spans="1:15" ht="14.25">
      <c r="A12" s="3488" t="s">
        <v>3128</v>
      </c>
      <c r="B12" s="3489"/>
      <c r="C12" s="3490" t="s">
        <v>3112</v>
      </c>
      <c r="D12" s="3490" t="s">
        <v>3118</v>
      </c>
      <c r="E12" s="3491">
        <v>38300.720000000001</v>
      </c>
      <c r="F12" s="3491">
        <v>107242.02</v>
      </c>
      <c r="G12" s="3491">
        <v>2.8</v>
      </c>
      <c r="H12" s="3490" t="s">
        <v>3123</v>
      </c>
      <c r="I12" s="3492">
        <v>43027</v>
      </c>
      <c r="J12" s="3491">
        <v>3700</v>
      </c>
      <c r="K12" s="3491">
        <v>13900</v>
      </c>
      <c r="L12" s="3491">
        <v>1296.1300000000001</v>
      </c>
      <c r="M12" s="3493">
        <f t="shared" si="0"/>
        <v>3629.1745951512139</v>
      </c>
      <c r="N12" s="3491">
        <v>275.68</v>
      </c>
      <c r="O12" s="3490" t="s">
        <v>3129</v>
      </c>
    </row>
    <row r="13" spans="1:15" ht="14.25">
      <c r="A13" s="3488" t="s">
        <v>3130</v>
      </c>
      <c r="B13" s="3489"/>
      <c r="C13" s="3490" t="s">
        <v>3112</v>
      </c>
      <c r="D13" s="3490" t="s">
        <v>3118</v>
      </c>
      <c r="E13" s="3491">
        <v>7141.47</v>
      </c>
      <c r="F13" s="3491">
        <v>27137.59</v>
      </c>
      <c r="G13" s="3491" t="s">
        <v>3131</v>
      </c>
      <c r="H13" s="3490" t="s">
        <v>3123</v>
      </c>
      <c r="I13" s="3492">
        <v>43020</v>
      </c>
      <c r="J13" s="3491">
        <v>1104</v>
      </c>
      <c r="K13" s="3491">
        <v>1124</v>
      </c>
      <c r="L13" s="3491">
        <v>414.18</v>
      </c>
      <c r="M13" s="3493">
        <f t="shared" si="0"/>
        <v>1573.9056524777111</v>
      </c>
      <c r="N13" s="3491">
        <v>1.81</v>
      </c>
      <c r="O13" s="3490" t="s">
        <v>3132</v>
      </c>
    </row>
    <row r="14" spans="1:15" ht="14.25">
      <c r="A14" s="3488" t="s">
        <v>3133</v>
      </c>
      <c r="B14" s="3489"/>
      <c r="C14" s="3490" t="s">
        <v>3112</v>
      </c>
      <c r="D14" s="3490" t="s">
        <v>3118</v>
      </c>
      <c r="E14" s="3491">
        <v>59363.23</v>
      </c>
      <c r="F14" s="3491">
        <v>166217</v>
      </c>
      <c r="G14" s="3491" t="s">
        <v>3122</v>
      </c>
      <c r="H14" s="3490" t="s">
        <v>3115</v>
      </c>
      <c r="I14" s="3492">
        <v>42963</v>
      </c>
      <c r="J14" s="3491">
        <v>8048</v>
      </c>
      <c r="K14" s="3491">
        <v>8098</v>
      </c>
      <c r="L14" s="3491">
        <v>487.18</v>
      </c>
      <c r="M14" s="3493">
        <f t="shared" si="0"/>
        <v>1364.1441006495097</v>
      </c>
      <c r="N14" s="3491">
        <v>0.62</v>
      </c>
      <c r="O14" s="3490" t="s">
        <v>3134</v>
      </c>
    </row>
    <row r="15" spans="1:15" ht="14.25">
      <c r="A15" s="3488" t="s">
        <v>3135</v>
      </c>
      <c r="B15" s="3489"/>
      <c r="C15" s="3490" t="s">
        <v>3112</v>
      </c>
      <c r="D15" s="3490" t="s">
        <v>3118</v>
      </c>
      <c r="E15" s="3491">
        <v>43614.28</v>
      </c>
      <c r="F15" s="3491">
        <v>135204.29999999999</v>
      </c>
      <c r="G15" s="3491" t="s">
        <v>3131</v>
      </c>
      <c r="H15" s="3490" t="s">
        <v>3115</v>
      </c>
      <c r="I15" s="3492">
        <v>42954</v>
      </c>
      <c r="J15" s="3491">
        <v>7062</v>
      </c>
      <c r="K15" s="3491">
        <v>7112</v>
      </c>
      <c r="L15" s="3491">
        <v>526.01</v>
      </c>
      <c r="M15" s="3493">
        <f t="shared" si="0"/>
        <v>1630.6585824642755</v>
      </c>
      <c r="N15" s="3491">
        <v>0.71</v>
      </c>
      <c r="O15" s="3490" t="s">
        <v>3136</v>
      </c>
    </row>
    <row r="16" spans="1:15" ht="14.25">
      <c r="A16" s="3488" t="s">
        <v>3137</v>
      </c>
      <c r="B16" s="3489"/>
      <c r="C16" s="3490" t="s">
        <v>3112</v>
      </c>
      <c r="D16" s="3490" t="s">
        <v>3113</v>
      </c>
      <c r="E16" s="3491">
        <v>40015.440000000002</v>
      </c>
      <c r="F16" s="3491">
        <v>48018.53</v>
      </c>
      <c r="G16" s="3491" t="s">
        <v>3138</v>
      </c>
      <c r="H16" s="3490" t="s">
        <v>3115</v>
      </c>
      <c r="I16" s="3492">
        <v>42923</v>
      </c>
      <c r="J16" s="3491">
        <v>3900</v>
      </c>
      <c r="K16" s="3491">
        <v>3940</v>
      </c>
      <c r="L16" s="3491">
        <v>820.51</v>
      </c>
      <c r="M16" s="3493">
        <f t="shared" si="0"/>
        <v>984.61993670443201</v>
      </c>
      <c r="N16" s="3491">
        <v>1.03</v>
      </c>
      <c r="O16" s="3490" t="s">
        <v>3139</v>
      </c>
    </row>
    <row r="17" spans="1:15" ht="14.25">
      <c r="A17" s="3488" t="s">
        <v>3137</v>
      </c>
      <c r="B17" s="3489"/>
      <c r="C17" s="3490" t="s">
        <v>3112</v>
      </c>
      <c r="D17" s="3490" t="s">
        <v>3118</v>
      </c>
      <c r="E17" s="3491">
        <v>33347.06</v>
      </c>
      <c r="F17" s="3491">
        <v>40016.47</v>
      </c>
      <c r="G17" s="3491" t="s">
        <v>3138</v>
      </c>
      <c r="H17" s="3490" t="s">
        <v>3115</v>
      </c>
      <c r="I17" s="3492">
        <v>42923</v>
      </c>
      <c r="J17" s="3491">
        <v>3284</v>
      </c>
      <c r="K17" s="3491">
        <v>3324</v>
      </c>
      <c r="L17" s="3491">
        <v>830.65</v>
      </c>
      <c r="M17" s="3493">
        <f t="shared" si="0"/>
        <v>996.78952207480961</v>
      </c>
      <c r="N17" s="3491">
        <v>1.22</v>
      </c>
      <c r="O17" s="3490" t="s">
        <v>3139</v>
      </c>
    </row>
    <row r="18" spans="1:15" ht="14.25">
      <c r="A18" s="3488" t="s">
        <v>3111</v>
      </c>
      <c r="B18" s="3489"/>
      <c r="C18" s="3490" t="s">
        <v>3112</v>
      </c>
      <c r="D18" s="3490" t="s">
        <v>3113</v>
      </c>
      <c r="E18" s="3491">
        <v>308.22000000000003</v>
      </c>
      <c r="F18" s="3491">
        <v>616.44000000000005</v>
      </c>
      <c r="G18" s="3491" t="s">
        <v>3114</v>
      </c>
      <c r="H18" s="3490" t="s">
        <v>3115</v>
      </c>
      <c r="I18" s="3492">
        <v>43067</v>
      </c>
      <c r="J18" s="3491">
        <v>12</v>
      </c>
      <c r="K18" s="3491">
        <v>17</v>
      </c>
      <c r="L18" s="3491">
        <v>275.77</v>
      </c>
      <c r="M18" s="3493">
        <f t="shared" si="0"/>
        <v>551.55408474466287</v>
      </c>
      <c r="N18" s="3491">
        <v>41.67</v>
      </c>
      <c r="O18" s="3490" t="s">
        <v>3116</v>
      </c>
    </row>
    <row r="19" spans="1:15" ht="14.25">
      <c r="A19" s="3488" t="s">
        <v>3111</v>
      </c>
      <c r="B19" s="3489"/>
      <c r="C19" s="3490" t="s">
        <v>3112</v>
      </c>
      <c r="D19" s="3490" t="s">
        <v>3113</v>
      </c>
      <c r="E19" s="3491">
        <v>1536.08</v>
      </c>
      <c r="F19" s="3491">
        <v>3072.16</v>
      </c>
      <c r="G19" s="3491" t="s">
        <v>3114</v>
      </c>
      <c r="H19" s="3490" t="s">
        <v>3115</v>
      </c>
      <c r="I19" s="3492">
        <v>43067</v>
      </c>
      <c r="J19" s="3491">
        <v>58</v>
      </c>
      <c r="K19" s="3491">
        <v>128</v>
      </c>
      <c r="L19" s="3491">
        <v>416.63</v>
      </c>
      <c r="M19" s="3493">
        <f t="shared" si="0"/>
        <v>833.28993281599924</v>
      </c>
      <c r="N19" s="3491">
        <v>120.69</v>
      </c>
      <c r="O19" s="3490" t="s">
        <v>3116</v>
      </c>
    </row>
    <row r="20" spans="1:15" ht="14.25">
      <c r="A20" s="3488" t="s">
        <v>3111</v>
      </c>
      <c r="B20" s="3489"/>
      <c r="C20" s="3490" t="s">
        <v>3112</v>
      </c>
      <c r="D20" s="3490" t="s">
        <v>3113</v>
      </c>
      <c r="E20" s="3491">
        <v>203.09</v>
      </c>
      <c r="F20" s="3491">
        <v>406.18</v>
      </c>
      <c r="G20" s="3491" t="s">
        <v>3114</v>
      </c>
      <c r="H20" s="3490" t="s">
        <v>3115</v>
      </c>
      <c r="I20" s="3492">
        <v>43067</v>
      </c>
      <c r="J20" s="3491">
        <v>10</v>
      </c>
      <c r="K20" s="3491">
        <v>15</v>
      </c>
      <c r="L20" s="3491">
        <v>369.29</v>
      </c>
      <c r="M20" s="3493">
        <f t="shared" si="0"/>
        <v>738.58880299374664</v>
      </c>
      <c r="N20" s="3491">
        <v>50</v>
      </c>
      <c r="O20" s="3490" t="s">
        <v>3116</v>
      </c>
    </row>
    <row r="21" spans="1:15" ht="14.25">
      <c r="A21" s="3488" t="s">
        <v>3111</v>
      </c>
      <c r="B21" s="3489"/>
      <c r="C21" s="3490" t="s">
        <v>3112</v>
      </c>
      <c r="D21" s="3490" t="s">
        <v>3113</v>
      </c>
      <c r="E21" s="3491">
        <v>427.02</v>
      </c>
      <c r="F21" s="3491">
        <v>854.04</v>
      </c>
      <c r="G21" s="3491" t="s">
        <v>3114</v>
      </c>
      <c r="H21" s="3490" t="s">
        <v>3115</v>
      </c>
      <c r="I21" s="3492">
        <v>43067</v>
      </c>
      <c r="J21" s="3491">
        <v>17</v>
      </c>
      <c r="K21" s="3491">
        <v>22</v>
      </c>
      <c r="L21" s="3491">
        <v>257.60000000000002</v>
      </c>
      <c r="M21" s="3493">
        <f t="shared" si="0"/>
        <v>515.1983513652757</v>
      </c>
      <c r="N21" s="3491">
        <v>29.41</v>
      </c>
      <c r="O21" s="3490" t="s">
        <v>3116</v>
      </c>
    </row>
    <row r="22" spans="1:15" ht="14.25">
      <c r="A22" s="3488" t="s">
        <v>3117</v>
      </c>
      <c r="B22" s="3489"/>
      <c r="C22" s="3490" t="s">
        <v>3112</v>
      </c>
      <c r="D22" s="3490" t="s">
        <v>3118</v>
      </c>
      <c r="E22" s="3491">
        <v>1813.12</v>
      </c>
      <c r="F22" s="3491">
        <v>3082.3</v>
      </c>
      <c r="G22" s="3491" t="s">
        <v>3119</v>
      </c>
      <c r="H22" s="3490" t="s">
        <v>3115</v>
      </c>
      <c r="I22" s="3492">
        <v>43053</v>
      </c>
      <c r="J22" s="3491">
        <v>56</v>
      </c>
      <c r="K22" s="3491">
        <v>61</v>
      </c>
      <c r="L22" s="3491">
        <v>197.9</v>
      </c>
      <c r="M22" s="3493">
        <f t="shared" si="0"/>
        <v>336.43663960465938</v>
      </c>
      <c r="N22" s="3491">
        <v>8.93</v>
      </c>
      <c r="O22" s="3490" t="s">
        <v>3120</v>
      </c>
    </row>
    <row r="23" spans="1:15" ht="14.25">
      <c r="A23" s="3488" t="s">
        <v>3121</v>
      </c>
      <c r="B23" s="3489"/>
      <c r="C23" s="3490" t="s">
        <v>3112</v>
      </c>
      <c r="D23" s="3490" t="s">
        <v>3118</v>
      </c>
      <c r="E23" s="3491">
        <v>64295.07</v>
      </c>
      <c r="F23" s="3491">
        <v>141449.20000000001</v>
      </c>
      <c r="G23" s="3491" t="s">
        <v>3122</v>
      </c>
      <c r="H23" s="3490" t="s">
        <v>3123</v>
      </c>
      <c r="I23" s="3492">
        <v>43032</v>
      </c>
      <c r="J23" s="3491">
        <v>3657</v>
      </c>
      <c r="K23" s="3491">
        <v>3800</v>
      </c>
      <c r="L23" s="3491">
        <v>268.64</v>
      </c>
      <c r="M23" s="3493">
        <f t="shared" si="0"/>
        <v>591.02509725862342</v>
      </c>
      <c r="N23" s="3491">
        <v>3.91</v>
      </c>
      <c r="O23" s="3490" t="s">
        <v>3124</v>
      </c>
    </row>
    <row r="24" spans="1:15" ht="14.25">
      <c r="A24" s="3488" t="s">
        <v>3125</v>
      </c>
      <c r="B24" s="3489"/>
      <c r="C24" s="3490" t="s">
        <v>3112</v>
      </c>
      <c r="D24" s="3490" t="s">
        <v>3118</v>
      </c>
      <c r="E24" s="3491">
        <v>5331.95</v>
      </c>
      <c r="F24" s="3491">
        <v>12156.85</v>
      </c>
      <c r="G24" s="3491" t="s">
        <v>3122</v>
      </c>
      <c r="H24" s="3490" t="s">
        <v>3115</v>
      </c>
      <c r="I24" s="3492">
        <v>43028</v>
      </c>
      <c r="J24" s="3491">
        <v>223</v>
      </c>
      <c r="K24" s="3491">
        <v>223</v>
      </c>
      <c r="L24" s="3491">
        <v>183.43</v>
      </c>
      <c r="M24" s="3493">
        <f t="shared" si="0"/>
        <v>418.23347930869573</v>
      </c>
      <c r="N24" s="3491">
        <v>0</v>
      </c>
      <c r="O24" s="3490" t="s">
        <v>3126</v>
      </c>
    </row>
    <row r="25" spans="1:15" ht="14.25">
      <c r="A25" s="3488" t="s">
        <v>3127</v>
      </c>
      <c r="B25" s="3489"/>
      <c r="C25" s="3490" t="s">
        <v>3112</v>
      </c>
      <c r="D25" s="3490" t="s">
        <v>3118</v>
      </c>
      <c r="E25" s="3491">
        <v>2862.94</v>
      </c>
      <c r="F25" s="3491">
        <v>6527.5</v>
      </c>
      <c r="G25" s="3491" t="s">
        <v>3122</v>
      </c>
      <c r="H25" s="3490" t="s">
        <v>3115</v>
      </c>
      <c r="I25" s="3492">
        <v>43028</v>
      </c>
      <c r="J25" s="3491">
        <v>113</v>
      </c>
      <c r="K25" s="3491">
        <v>113</v>
      </c>
      <c r="L25" s="3491">
        <v>173.11</v>
      </c>
      <c r="M25" s="3493">
        <f t="shared" si="0"/>
        <v>394.69915541366566</v>
      </c>
      <c r="N25" s="3491">
        <v>0</v>
      </c>
      <c r="O25" s="3490" t="s">
        <v>3126</v>
      </c>
    </row>
    <row r="26" spans="1:15" ht="14.25">
      <c r="A26" s="3488" t="s">
        <v>3128</v>
      </c>
      <c r="B26" s="3489"/>
      <c r="C26" s="3490" t="s">
        <v>3112</v>
      </c>
      <c r="D26" s="3490" t="s">
        <v>3118</v>
      </c>
      <c r="E26" s="3491">
        <v>41094.160000000003</v>
      </c>
      <c r="F26" s="3491">
        <v>115063.6</v>
      </c>
      <c r="G26" s="3491" t="s">
        <v>3122</v>
      </c>
      <c r="H26" s="3490" t="s">
        <v>3123</v>
      </c>
      <c r="I26" s="3492">
        <v>43027</v>
      </c>
      <c r="J26" s="3491" t="s">
        <v>2824</v>
      </c>
      <c r="K26" s="3491">
        <v>12400</v>
      </c>
      <c r="L26" s="3491">
        <v>1077.6600000000001</v>
      </c>
      <c r="M26" s="3493">
        <f t="shared" si="0"/>
        <v>3017.460388532093</v>
      </c>
      <c r="N26" s="3491" t="s">
        <v>2824</v>
      </c>
      <c r="O26" s="3490" t="s">
        <v>3129</v>
      </c>
    </row>
    <row r="27" spans="1:15" ht="14.25">
      <c r="A27" s="3488" t="s">
        <v>3128</v>
      </c>
      <c r="B27" s="3489"/>
      <c r="C27" s="3490" t="s">
        <v>3112</v>
      </c>
      <c r="D27" s="3490" t="s">
        <v>3118</v>
      </c>
      <c r="E27" s="3491">
        <v>38300.720000000001</v>
      </c>
      <c r="F27" s="3491">
        <v>107242.02</v>
      </c>
      <c r="G27" s="3491">
        <v>2.8</v>
      </c>
      <c r="H27" s="3490" t="s">
        <v>3123</v>
      </c>
      <c r="I27" s="3492">
        <v>43027</v>
      </c>
      <c r="J27" s="3491">
        <v>3700</v>
      </c>
      <c r="K27" s="3491">
        <v>13900</v>
      </c>
      <c r="L27" s="3491">
        <v>1296.1300000000001</v>
      </c>
      <c r="M27" s="3493">
        <f t="shared" si="0"/>
        <v>3629.1745951512139</v>
      </c>
      <c r="N27" s="3491">
        <v>275.68</v>
      </c>
      <c r="O27" s="3490" t="s">
        <v>3129</v>
      </c>
    </row>
    <row r="28" spans="1:15" ht="14.25">
      <c r="A28" s="3488" t="s">
        <v>3130</v>
      </c>
      <c r="B28" s="3489"/>
      <c r="C28" s="3490" t="s">
        <v>3112</v>
      </c>
      <c r="D28" s="3490" t="s">
        <v>3118</v>
      </c>
      <c r="E28" s="3491">
        <v>7141.47</v>
      </c>
      <c r="F28" s="3491">
        <v>27137.59</v>
      </c>
      <c r="G28" s="3491" t="s">
        <v>3131</v>
      </c>
      <c r="H28" s="3490" t="s">
        <v>3123</v>
      </c>
      <c r="I28" s="3492">
        <v>43020</v>
      </c>
      <c r="J28" s="3491">
        <v>1104</v>
      </c>
      <c r="K28" s="3491">
        <v>1124</v>
      </c>
      <c r="L28" s="3491">
        <v>414.18</v>
      </c>
      <c r="M28" s="3493">
        <f t="shared" si="0"/>
        <v>1573.9056524777111</v>
      </c>
      <c r="N28" s="3491">
        <v>1.81</v>
      </c>
      <c r="O28" s="3490" t="s">
        <v>3132</v>
      </c>
    </row>
    <row r="29" spans="1:15" ht="14.25">
      <c r="A29" s="3488" t="s">
        <v>3133</v>
      </c>
      <c r="B29" s="3489"/>
      <c r="C29" s="3490" t="s">
        <v>3112</v>
      </c>
      <c r="D29" s="3490" t="s">
        <v>3118</v>
      </c>
      <c r="E29" s="3491">
        <v>59363.23</v>
      </c>
      <c r="F29" s="3491">
        <v>166217</v>
      </c>
      <c r="G29" s="3491" t="s">
        <v>3122</v>
      </c>
      <c r="H29" s="3490" t="s">
        <v>3115</v>
      </c>
      <c r="I29" s="3492">
        <v>42963</v>
      </c>
      <c r="J29" s="3491">
        <v>8048</v>
      </c>
      <c r="K29" s="3491">
        <v>8098</v>
      </c>
      <c r="L29" s="3491">
        <v>487.18</v>
      </c>
      <c r="M29" s="3493">
        <f t="shared" si="0"/>
        <v>1364.1441006495097</v>
      </c>
      <c r="N29" s="3491">
        <v>0.62</v>
      </c>
      <c r="O29" s="3490" t="s">
        <v>3134</v>
      </c>
    </row>
    <row r="30" spans="1:15" ht="14.25">
      <c r="A30" s="3488" t="s">
        <v>3135</v>
      </c>
      <c r="B30" s="3489"/>
      <c r="C30" s="3490" t="s">
        <v>3112</v>
      </c>
      <c r="D30" s="3490" t="s">
        <v>3118</v>
      </c>
      <c r="E30" s="3491">
        <v>43614.28</v>
      </c>
      <c r="F30" s="3491">
        <v>135204.29999999999</v>
      </c>
      <c r="G30" s="3491" t="s">
        <v>3131</v>
      </c>
      <c r="H30" s="3490" t="s">
        <v>3115</v>
      </c>
      <c r="I30" s="3492">
        <v>42954</v>
      </c>
      <c r="J30" s="3491">
        <v>7062</v>
      </c>
      <c r="K30" s="3491">
        <v>7112</v>
      </c>
      <c r="L30" s="3491">
        <v>526.01</v>
      </c>
      <c r="M30" s="3493">
        <f t="shared" si="0"/>
        <v>1630.6585824642755</v>
      </c>
      <c r="N30" s="3491">
        <v>0.71</v>
      </c>
      <c r="O30" s="3490" t="s">
        <v>3136</v>
      </c>
    </row>
    <row r="31" spans="1:15" ht="14.25">
      <c r="A31" s="3488" t="s">
        <v>3137</v>
      </c>
      <c r="B31" s="3489"/>
      <c r="C31" s="3490" t="s">
        <v>3112</v>
      </c>
      <c r="D31" s="3490" t="s">
        <v>3113</v>
      </c>
      <c r="E31" s="3491">
        <v>40015.440000000002</v>
      </c>
      <c r="F31" s="3491">
        <v>48018.53</v>
      </c>
      <c r="G31" s="3491" t="s">
        <v>3138</v>
      </c>
      <c r="H31" s="3490" t="s">
        <v>3115</v>
      </c>
      <c r="I31" s="3492">
        <v>42923</v>
      </c>
      <c r="J31" s="3491">
        <v>3900</v>
      </c>
      <c r="K31" s="3491">
        <v>3940</v>
      </c>
      <c r="L31" s="3491">
        <v>820.51</v>
      </c>
      <c r="M31" s="3493">
        <f t="shared" si="0"/>
        <v>984.61993670443201</v>
      </c>
      <c r="N31" s="3491">
        <v>1.03</v>
      </c>
      <c r="O31" s="3490" t="s">
        <v>3139</v>
      </c>
    </row>
    <row r="32" spans="1:15" ht="14.25">
      <c r="A32" s="3488" t="s">
        <v>3137</v>
      </c>
      <c r="B32" s="3489"/>
      <c r="C32" s="3490" t="s">
        <v>3112</v>
      </c>
      <c r="D32" s="3490" t="s">
        <v>3118</v>
      </c>
      <c r="E32" s="3491">
        <v>33347.06</v>
      </c>
      <c r="F32" s="3491">
        <v>40016.47</v>
      </c>
      <c r="G32" s="3491" t="s">
        <v>3138</v>
      </c>
      <c r="H32" s="3490" t="s">
        <v>3115</v>
      </c>
      <c r="I32" s="3492">
        <v>42923</v>
      </c>
      <c r="J32" s="3491">
        <v>3284</v>
      </c>
      <c r="K32" s="3491">
        <v>3324</v>
      </c>
      <c r="L32" s="3491">
        <v>830.65</v>
      </c>
      <c r="M32" s="3493">
        <f t="shared" si="0"/>
        <v>996.78952207480961</v>
      </c>
      <c r="N32" s="3491">
        <v>1.22</v>
      </c>
      <c r="O32" s="3490" t="s">
        <v>3140</v>
      </c>
    </row>
    <row r="33" spans="1:15" s="3499" customFormat="1" ht="14.25">
      <c r="A33" s="3494" t="s">
        <v>3142</v>
      </c>
      <c r="B33" s="3495"/>
      <c r="C33" s="3496" t="s">
        <v>3112</v>
      </c>
      <c r="D33" s="3496" t="s">
        <v>3143</v>
      </c>
      <c r="E33" s="3497">
        <v>32917.97</v>
      </c>
      <c r="F33" s="3497">
        <v>39501.56</v>
      </c>
      <c r="G33" s="3497" t="s">
        <v>3144</v>
      </c>
      <c r="H33" s="3496" t="s">
        <v>3115</v>
      </c>
      <c r="I33" s="3498">
        <v>43041</v>
      </c>
      <c r="J33" s="3497">
        <v>1254</v>
      </c>
      <c r="K33" s="3497">
        <v>1274</v>
      </c>
      <c r="L33" s="3497">
        <v>322.51</v>
      </c>
      <c r="M33" s="3497">
        <f t="shared" si="0"/>
        <v>387.02265054619102</v>
      </c>
      <c r="N33" s="3497">
        <v>1.59</v>
      </c>
      <c r="O33" s="3496" t="s">
        <v>3145</v>
      </c>
    </row>
    <row r="34" spans="1:15" s="3499" customFormat="1" ht="14.25">
      <c r="A34" s="3494" t="s">
        <v>3146</v>
      </c>
      <c r="B34" s="3495"/>
      <c r="C34" s="3496" t="s">
        <v>3112</v>
      </c>
      <c r="D34" s="3496" t="s">
        <v>3143</v>
      </c>
      <c r="E34" s="3497">
        <v>4550.26</v>
      </c>
      <c r="F34" s="3497">
        <v>2275.13</v>
      </c>
      <c r="G34" s="3497" t="s">
        <v>3147</v>
      </c>
      <c r="H34" s="3496" t="s">
        <v>3123</v>
      </c>
      <c r="I34" s="3498">
        <v>43020</v>
      </c>
      <c r="J34" s="3497">
        <v>120</v>
      </c>
      <c r="K34" s="3497">
        <v>130</v>
      </c>
      <c r="L34" s="3497">
        <v>571.39</v>
      </c>
      <c r="M34" s="3497">
        <f t="shared" si="0"/>
        <v>285.69796011656473</v>
      </c>
      <c r="N34" s="3497">
        <v>8.33</v>
      </c>
      <c r="O34" s="3496" t="s">
        <v>3148</v>
      </c>
    </row>
    <row r="35" spans="1:15" s="3499" customFormat="1" ht="14.25">
      <c r="A35" s="3494" t="s">
        <v>3149</v>
      </c>
      <c r="B35" s="3495"/>
      <c r="C35" s="3496" t="s">
        <v>3112</v>
      </c>
      <c r="D35" s="3496" t="s">
        <v>3143</v>
      </c>
      <c r="E35" s="3497">
        <v>2994.22</v>
      </c>
      <c r="F35" s="3497">
        <v>3593.06</v>
      </c>
      <c r="G35" s="3497" t="s">
        <v>3119</v>
      </c>
      <c r="H35" s="3496" t="s">
        <v>3115</v>
      </c>
      <c r="I35" s="3498">
        <v>42878</v>
      </c>
      <c r="J35" s="3497">
        <v>138</v>
      </c>
      <c r="K35" s="3497">
        <v>143</v>
      </c>
      <c r="L35" s="3497">
        <v>397.99</v>
      </c>
      <c r="M35" s="3497">
        <f t="shared" si="0"/>
        <v>477.58681726793628</v>
      </c>
      <c r="N35" s="3497">
        <v>3.62</v>
      </c>
      <c r="O35" s="3496" t="s">
        <v>3150</v>
      </c>
    </row>
    <row r="36" spans="1:15" s="3499" customFormat="1" ht="14.25">
      <c r="A36" s="3494" t="s">
        <v>3151</v>
      </c>
      <c r="B36" s="3495"/>
      <c r="C36" s="3496" t="s">
        <v>3112</v>
      </c>
      <c r="D36" s="3496" t="s">
        <v>3143</v>
      </c>
      <c r="E36" s="3497">
        <v>19717.59</v>
      </c>
      <c r="F36" s="3497">
        <v>39632.36</v>
      </c>
      <c r="G36" s="3497" t="s">
        <v>3152</v>
      </c>
      <c r="H36" s="3496" t="s">
        <v>3115</v>
      </c>
      <c r="I36" s="3498">
        <v>42878</v>
      </c>
      <c r="J36" s="3497">
        <v>923</v>
      </c>
      <c r="K36" s="3497">
        <v>938</v>
      </c>
      <c r="L36" s="3497">
        <v>236.68</v>
      </c>
      <c r="M36" s="3497">
        <f t="shared" si="0"/>
        <v>475.71736708187967</v>
      </c>
      <c r="N36" s="3497">
        <v>1.63</v>
      </c>
      <c r="O36" s="3496" t="s">
        <v>3153</v>
      </c>
    </row>
    <row r="37" spans="1:15" s="3499" customFormat="1" ht="14.25">
      <c r="A37" s="3494" t="s">
        <v>3154</v>
      </c>
      <c r="B37" s="3495"/>
      <c r="C37" s="3496" t="s">
        <v>3112</v>
      </c>
      <c r="D37" s="3496" t="s">
        <v>3143</v>
      </c>
      <c r="E37" s="3497">
        <v>2654.45</v>
      </c>
      <c r="F37" s="3497">
        <v>796.33</v>
      </c>
      <c r="G37" s="3497" t="s">
        <v>3155</v>
      </c>
      <c r="H37" s="3496" t="s">
        <v>3115</v>
      </c>
      <c r="I37" s="3498">
        <v>42843</v>
      </c>
      <c r="J37" s="3497">
        <v>103</v>
      </c>
      <c r="K37" s="3497">
        <v>108</v>
      </c>
      <c r="L37" s="3497">
        <v>1356.22</v>
      </c>
      <c r="M37" s="3497">
        <f t="shared" si="0"/>
        <v>406.86394545009324</v>
      </c>
      <c r="N37" s="3497">
        <v>4.8499999999999996</v>
      </c>
      <c r="O37" s="3496" t="s">
        <v>3156</v>
      </c>
    </row>
    <row r="38" spans="1:15" s="3499" customFormat="1" ht="14.25">
      <c r="A38" s="3494" t="s">
        <v>3157</v>
      </c>
      <c r="B38" s="3495"/>
      <c r="C38" s="3496" t="s">
        <v>3112</v>
      </c>
      <c r="D38" s="3496" t="s">
        <v>3143</v>
      </c>
      <c r="E38" s="3497">
        <v>2604</v>
      </c>
      <c r="F38" s="3497">
        <v>156.24</v>
      </c>
      <c r="G38" s="3497" t="s">
        <v>3158</v>
      </c>
      <c r="H38" s="3496" t="s">
        <v>3115</v>
      </c>
      <c r="I38" s="3498">
        <v>42711</v>
      </c>
      <c r="J38" s="3497">
        <v>69</v>
      </c>
      <c r="K38" s="3497">
        <v>74</v>
      </c>
      <c r="L38" s="3497">
        <v>4736.3</v>
      </c>
      <c r="M38" s="3497">
        <f t="shared" si="0"/>
        <v>284.17818740399383</v>
      </c>
      <c r="N38" s="3497">
        <v>7.25</v>
      </c>
      <c r="O38" s="3496" t="s">
        <v>3159</v>
      </c>
    </row>
    <row r="39" spans="1:15" s="3499" customFormat="1" ht="14.25">
      <c r="A39" s="3494" t="s">
        <v>3160</v>
      </c>
      <c r="B39" s="3495"/>
      <c r="C39" s="3496" t="s">
        <v>3112</v>
      </c>
      <c r="D39" s="3496" t="s">
        <v>3143</v>
      </c>
      <c r="E39" s="3497">
        <v>29864.48</v>
      </c>
      <c r="F39" s="3497">
        <v>43602.14</v>
      </c>
      <c r="G39" s="3497" t="s">
        <v>3161</v>
      </c>
      <c r="H39" s="3496" t="s">
        <v>3115</v>
      </c>
      <c r="I39" s="3498">
        <v>42698</v>
      </c>
      <c r="J39" s="3497">
        <v>914</v>
      </c>
      <c r="K39" s="3497">
        <v>929</v>
      </c>
      <c r="L39" s="3497">
        <v>213.06</v>
      </c>
      <c r="M39" s="3497">
        <f t="shared" si="0"/>
        <v>311.07188204850712</v>
      </c>
      <c r="N39" s="3497">
        <v>1.64</v>
      </c>
      <c r="O39" s="3496" t="s">
        <v>3162</v>
      </c>
    </row>
    <row r="40" spans="1:15" s="3499" customFormat="1" ht="14.25">
      <c r="A40" s="3494" t="s">
        <v>3163</v>
      </c>
      <c r="B40" s="3495"/>
      <c r="C40" s="3496" t="s">
        <v>3112</v>
      </c>
      <c r="D40" s="3496" t="s">
        <v>3143</v>
      </c>
      <c r="E40" s="3497">
        <v>2445.19</v>
      </c>
      <c r="F40" s="3497">
        <v>611.29999999999995</v>
      </c>
      <c r="G40" s="3497">
        <v>0.25</v>
      </c>
      <c r="H40" s="3496" t="s">
        <v>3115</v>
      </c>
      <c r="I40" s="3498">
        <v>42655</v>
      </c>
      <c r="J40" s="3497">
        <v>93</v>
      </c>
      <c r="K40" s="3497">
        <v>103</v>
      </c>
      <c r="L40" s="3497">
        <v>1684.93</v>
      </c>
      <c r="M40" s="3497">
        <f t="shared" si="0"/>
        <v>421.23515963994618</v>
      </c>
      <c r="N40" s="3497">
        <v>10.75</v>
      </c>
      <c r="O40" s="3496" t="s">
        <v>3164</v>
      </c>
    </row>
    <row r="41" spans="1:15" s="3499" customFormat="1" ht="14.25">
      <c r="A41" s="3494" t="s">
        <v>3165</v>
      </c>
      <c r="B41" s="3495"/>
      <c r="C41" s="3496" t="s">
        <v>3112</v>
      </c>
      <c r="D41" s="3496" t="s">
        <v>3143</v>
      </c>
      <c r="E41" s="3497">
        <v>2099.96</v>
      </c>
      <c r="F41" s="3497">
        <v>629.99</v>
      </c>
      <c r="G41" s="3497" t="s">
        <v>3166</v>
      </c>
      <c r="H41" s="3496" t="s">
        <v>3115</v>
      </c>
      <c r="I41" s="3498">
        <v>42457</v>
      </c>
      <c r="J41" s="3497">
        <v>69</v>
      </c>
      <c r="K41" s="3497">
        <v>79</v>
      </c>
      <c r="L41" s="3497">
        <v>1253.99</v>
      </c>
      <c r="M41" s="3497">
        <f t="shared" si="0"/>
        <v>376.19764185984496</v>
      </c>
      <c r="N41" s="3497">
        <v>14.49</v>
      </c>
      <c r="O41" s="3496" t="s">
        <v>3167</v>
      </c>
    </row>
    <row r="42" spans="1:15" s="3499" customFormat="1" ht="14.25">
      <c r="A42" s="3494" t="s">
        <v>3149</v>
      </c>
      <c r="B42" s="3495"/>
      <c r="C42" s="3496" t="s">
        <v>3112</v>
      </c>
      <c r="D42" s="3496" t="s">
        <v>3143</v>
      </c>
      <c r="E42" s="3497">
        <v>29573.56</v>
      </c>
      <c r="F42" s="3497">
        <v>35488.269999999997</v>
      </c>
      <c r="G42" s="3497" t="s">
        <v>3161</v>
      </c>
      <c r="H42" s="3496" t="s">
        <v>3115</v>
      </c>
      <c r="I42" s="3498">
        <v>42376</v>
      </c>
      <c r="J42" s="3497">
        <v>1356</v>
      </c>
      <c r="K42" s="3497">
        <v>1386</v>
      </c>
      <c r="L42" s="3497">
        <v>390.55</v>
      </c>
      <c r="M42" s="3497">
        <f t="shared" si="0"/>
        <v>468.66187229403562</v>
      </c>
      <c r="N42" s="3497">
        <v>2.21</v>
      </c>
      <c r="O42" s="3496" t="s">
        <v>3168</v>
      </c>
    </row>
    <row r="43" spans="1:15" s="3499" customFormat="1" ht="14.25">
      <c r="A43" s="3494" t="s">
        <v>3169</v>
      </c>
      <c r="B43" s="3495"/>
      <c r="C43" s="3496" t="s">
        <v>3112</v>
      </c>
      <c r="D43" s="3496" t="s">
        <v>3143</v>
      </c>
      <c r="E43" s="3497">
        <v>1650.63</v>
      </c>
      <c r="F43" s="3497">
        <v>412.66</v>
      </c>
      <c r="G43" s="3497">
        <v>0.25</v>
      </c>
      <c r="H43" s="3496" t="s">
        <v>3115</v>
      </c>
      <c r="I43" s="3498">
        <v>42334</v>
      </c>
      <c r="J43" s="3497">
        <v>63</v>
      </c>
      <c r="K43" s="3497">
        <v>68</v>
      </c>
      <c r="L43" s="3497">
        <v>1647.84</v>
      </c>
      <c r="M43" s="3497">
        <f t="shared" si="0"/>
        <v>411.96391680752197</v>
      </c>
      <c r="N43" s="3497">
        <v>7.94</v>
      </c>
      <c r="O43" s="3496" t="s">
        <v>3170</v>
      </c>
    </row>
    <row r="44" spans="1:15" s="3499" customFormat="1" ht="14.25">
      <c r="A44" s="3494" t="s">
        <v>3171</v>
      </c>
      <c r="B44" s="3495"/>
      <c r="C44" s="3496" t="s">
        <v>3112</v>
      </c>
      <c r="D44" s="3496" t="s">
        <v>3143</v>
      </c>
      <c r="E44" s="3497">
        <v>4650.37</v>
      </c>
      <c r="F44" s="3497">
        <v>1162.5899999999999</v>
      </c>
      <c r="G44" s="3497">
        <v>0.25</v>
      </c>
      <c r="H44" s="3496" t="s">
        <v>3115</v>
      </c>
      <c r="I44" s="3498">
        <v>42297</v>
      </c>
      <c r="J44" s="3497">
        <v>180</v>
      </c>
      <c r="K44" s="3497">
        <v>185</v>
      </c>
      <c r="L44" s="3497">
        <v>1591.26</v>
      </c>
      <c r="M44" s="3497">
        <f t="shared" si="0"/>
        <v>397.81780804538135</v>
      </c>
      <c r="N44" s="3497">
        <v>2.78</v>
      </c>
      <c r="O44" s="3496" t="s">
        <v>3172</v>
      </c>
    </row>
    <row r="45" spans="1:15" s="3499" customFormat="1" ht="14.25">
      <c r="A45" s="3494" t="s">
        <v>3173</v>
      </c>
      <c r="B45" s="3495"/>
      <c r="C45" s="3496" t="s">
        <v>3112</v>
      </c>
      <c r="D45" s="3496" t="s">
        <v>3143</v>
      </c>
      <c r="E45" s="3497">
        <v>2793.6</v>
      </c>
      <c r="F45" s="3497">
        <v>4469.76</v>
      </c>
      <c r="G45" s="3497" t="s">
        <v>3119</v>
      </c>
      <c r="H45" s="3496" t="s">
        <v>3115</v>
      </c>
      <c r="I45" s="3498">
        <v>42285</v>
      </c>
      <c r="J45" s="3497">
        <v>59</v>
      </c>
      <c r="K45" s="3497">
        <v>64</v>
      </c>
      <c r="L45" s="3497">
        <v>143.18</v>
      </c>
      <c r="M45" s="3497">
        <f t="shared" si="0"/>
        <v>229.09507445589921</v>
      </c>
      <c r="N45" s="3497">
        <v>8.4700000000000006</v>
      </c>
      <c r="O45" s="3496" t="s">
        <v>3174</v>
      </c>
    </row>
    <row r="46" spans="1:15" s="3499" customFormat="1" ht="14.25">
      <c r="A46" s="3494" t="s">
        <v>3175</v>
      </c>
      <c r="B46" s="3495"/>
      <c r="C46" s="3496" t="s">
        <v>3112</v>
      </c>
      <c r="D46" s="3496" t="s">
        <v>3143</v>
      </c>
      <c r="E46" s="3497">
        <v>67569.63</v>
      </c>
      <c r="F46" s="3497">
        <v>148653.20000000001</v>
      </c>
      <c r="G46" s="3497" t="s">
        <v>3152</v>
      </c>
      <c r="H46" s="3496" t="s">
        <v>3115</v>
      </c>
      <c r="I46" s="3498">
        <v>42272</v>
      </c>
      <c r="J46" s="3497">
        <v>9122</v>
      </c>
      <c r="K46" s="3497">
        <v>9182</v>
      </c>
      <c r="L46" s="3497">
        <v>617.66999999999996</v>
      </c>
      <c r="M46" s="3497">
        <f t="shared" si="0"/>
        <v>1358.8945211036378</v>
      </c>
      <c r="N46" s="3497">
        <v>0.66</v>
      </c>
      <c r="O46" s="3496" t="s">
        <v>3176</v>
      </c>
    </row>
    <row r="47" spans="1:15" s="3499" customFormat="1" ht="14.25">
      <c r="A47" s="3494" t="s">
        <v>3177</v>
      </c>
      <c r="B47" s="3495"/>
      <c r="C47" s="3496" t="s">
        <v>3112</v>
      </c>
      <c r="D47" s="3496" t="s">
        <v>3143</v>
      </c>
      <c r="E47" s="3497">
        <v>5814.36</v>
      </c>
      <c r="F47" s="3497">
        <v>10465.85</v>
      </c>
      <c r="G47" s="3497" t="s">
        <v>3119</v>
      </c>
      <c r="H47" s="3496" t="s">
        <v>3115</v>
      </c>
      <c r="I47" s="3498">
        <v>42261</v>
      </c>
      <c r="J47" s="3497">
        <v>303</v>
      </c>
      <c r="K47" s="3497">
        <v>313</v>
      </c>
      <c r="L47" s="3497">
        <v>299.06</v>
      </c>
      <c r="M47" s="3497">
        <f t="shared" si="0"/>
        <v>538.32236050055383</v>
      </c>
      <c r="N47" s="3497">
        <v>3.3</v>
      </c>
      <c r="O47" s="3496" t="s">
        <v>3178</v>
      </c>
    </row>
    <row r="48" spans="1:15" s="3499" customFormat="1" ht="14.25">
      <c r="A48" s="3494" t="s">
        <v>3142</v>
      </c>
      <c r="B48" s="3495"/>
      <c r="C48" s="3496" t="s">
        <v>3112</v>
      </c>
      <c r="D48" s="3496" t="s">
        <v>3143</v>
      </c>
      <c r="E48" s="3497">
        <v>32917.97</v>
      </c>
      <c r="F48" s="3497">
        <v>39501.56</v>
      </c>
      <c r="G48" s="3497" t="s">
        <v>3144</v>
      </c>
      <c r="H48" s="3496" t="s">
        <v>3115</v>
      </c>
      <c r="I48" s="3498">
        <v>43041</v>
      </c>
      <c r="J48" s="3497">
        <v>1254</v>
      </c>
      <c r="K48" s="3497">
        <v>1274</v>
      </c>
      <c r="L48" s="3497">
        <v>322.51</v>
      </c>
      <c r="M48" s="3497">
        <f t="shared" si="0"/>
        <v>387.02265054619102</v>
      </c>
      <c r="N48" s="3497">
        <v>1.59</v>
      </c>
      <c r="O48" s="3496" t="s">
        <v>3145</v>
      </c>
    </row>
    <row r="49" spans="1:15" s="3499" customFormat="1" ht="14.25">
      <c r="A49" s="3494" t="s">
        <v>3146</v>
      </c>
      <c r="B49" s="3495"/>
      <c r="C49" s="3496" t="s">
        <v>3112</v>
      </c>
      <c r="D49" s="3496" t="s">
        <v>3143</v>
      </c>
      <c r="E49" s="3497">
        <v>4550.26</v>
      </c>
      <c r="F49" s="3497">
        <v>2275.13</v>
      </c>
      <c r="G49" s="3497" t="s">
        <v>3147</v>
      </c>
      <c r="H49" s="3496" t="s">
        <v>3123</v>
      </c>
      <c r="I49" s="3498">
        <v>43020</v>
      </c>
      <c r="J49" s="3497">
        <v>120</v>
      </c>
      <c r="K49" s="3497">
        <v>130</v>
      </c>
      <c r="L49" s="3497">
        <v>571.39</v>
      </c>
      <c r="M49" s="3497">
        <f t="shared" si="0"/>
        <v>285.69796011656473</v>
      </c>
      <c r="N49" s="3497">
        <v>8.33</v>
      </c>
      <c r="O49" s="3496" t="s">
        <v>3148</v>
      </c>
    </row>
    <row r="50" spans="1:15" s="3499" customFormat="1" ht="14.25">
      <c r="A50" s="3494" t="s">
        <v>3149</v>
      </c>
      <c r="B50" s="3495"/>
      <c r="C50" s="3496" t="s">
        <v>3112</v>
      </c>
      <c r="D50" s="3496" t="s">
        <v>3143</v>
      </c>
      <c r="E50" s="3497">
        <v>2994.22</v>
      </c>
      <c r="F50" s="3497">
        <v>3593.06</v>
      </c>
      <c r="G50" s="3497" t="s">
        <v>3119</v>
      </c>
      <c r="H50" s="3496" t="s">
        <v>3115</v>
      </c>
      <c r="I50" s="3498">
        <v>42878</v>
      </c>
      <c r="J50" s="3497">
        <v>138</v>
      </c>
      <c r="K50" s="3497">
        <v>143</v>
      </c>
      <c r="L50" s="3497">
        <v>397.99</v>
      </c>
      <c r="M50" s="3497">
        <f t="shared" si="0"/>
        <v>477.58681726793628</v>
      </c>
      <c r="N50" s="3497">
        <v>3.62</v>
      </c>
      <c r="O50" s="3496" t="s">
        <v>3150</v>
      </c>
    </row>
    <row r="51" spans="1:15" s="3499" customFormat="1" ht="14.25">
      <c r="A51" s="3494" t="s">
        <v>3151</v>
      </c>
      <c r="B51" s="3495"/>
      <c r="C51" s="3496" t="s">
        <v>3112</v>
      </c>
      <c r="D51" s="3496" t="s">
        <v>3143</v>
      </c>
      <c r="E51" s="3497">
        <v>19717.59</v>
      </c>
      <c r="F51" s="3497">
        <v>39632.36</v>
      </c>
      <c r="G51" s="3497" t="s">
        <v>3152</v>
      </c>
      <c r="H51" s="3496" t="s">
        <v>3115</v>
      </c>
      <c r="I51" s="3498">
        <v>42878</v>
      </c>
      <c r="J51" s="3497">
        <v>923</v>
      </c>
      <c r="K51" s="3497">
        <v>938</v>
      </c>
      <c r="L51" s="3497">
        <v>236.68</v>
      </c>
      <c r="M51" s="3497">
        <f t="shared" si="0"/>
        <v>475.71736708187967</v>
      </c>
      <c r="N51" s="3497">
        <v>1.63</v>
      </c>
      <c r="O51" s="3496" t="s">
        <v>3153</v>
      </c>
    </row>
    <row r="52" spans="1:15" s="3499" customFormat="1" ht="14.25">
      <c r="A52" s="3494" t="s">
        <v>3154</v>
      </c>
      <c r="B52" s="3495"/>
      <c r="C52" s="3496" t="s">
        <v>3112</v>
      </c>
      <c r="D52" s="3496" t="s">
        <v>3143</v>
      </c>
      <c r="E52" s="3497">
        <v>2654.45</v>
      </c>
      <c r="F52" s="3497">
        <v>796.33</v>
      </c>
      <c r="G52" s="3497" t="s">
        <v>3155</v>
      </c>
      <c r="H52" s="3496" t="s">
        <v>3115</v>
      </c>
      <c r="I52" s="3498">
        <v>42843</v>
      </c>
      <c r="J52" s="3497">
        <v>103</v>
      </c>
      <c r="K52" s="3497">
        <v>108</v>
      </c>
      <c r="L52" s="3497">
        <v>1356.22</v>
      </c>
      <c r="M52" s="3497">
        <f t="shared" si="0"/>
        <v>406.86394545009324</v>
      </c>
      <c r="N52" s="3497">
        <v>4.8499999999999996</v>
      </c>
      <c r="O52" s="3496" t="s">
        <v>3156</v>
      </c>
    </row>
    <row r="53" spans="1:15" s="3499" customFormat="1" ht="14.25">
      <c r="A53" s="3494" t="s">
        <v>3157</v>
      </c>
      <c r="B53" s="3495"/>
      <c r="C53" s="3496" t="s">
        <v>3112</v>
      </c>
      <c r="D53" s="3496" t="s">
        <v>3143</v>
      </c>
      <c r="E53" s="3497">
        <v>2604</v>
      </c>
      <c r="F53" s="3497">
        <v>156.24</v>
      </c>
      <c r="G53" s="3497" t="s">
        <v>3158</v>
      </c>
      <c r="H53" s="3496" t="s">
        <v>3115</v>
      </c>
      <c r="I53" s="3498">
        <v>42711</v>
      </c>
      <c r="J53" s="3497">
        <v>69</v>
      </c>
      <c r="K53" s="3497">
        <v>74</v>
      </c>
      <c r="L53" s="3497">
        <v>4736.3</v>
      </c>
      <c r="M53" s="3497">
        <f t="shared" si="0"/>
        <v>284.17818740399383</v>
      </c>
      <c r="N53" s="3497">
        <v>7.25</v>
      </c>
      <c r="O53" s="3496" t="s">
        <v>3159</v>
      </c>
    </row>
    <row r="54" spans="1:15" s="3499" customFormat="1" ht="14.25">
      <c r="A54" s="3494" t="s">
        <v>3160</v>
      </c>
      <c r="B54" s="3495"/>
      <c r="C54" s="3496" t="s">
        <v>3112</v>
      </c>
      <c r="D54" s="3496" t="s">
        <v>3143</v>
      </c>
      <c r="E54" s="3497">
        <v>29864.48</v>
      </c>
      <c r="F54" s="3497">
        <v>43602.14</v>
      </c>
      <c r="G54" s="3497" t="s">
        <v>3161</v>
      </c>
      <c r="H54" s="3496" t="s">
        <v>3115</v>
      </c>
      <c r="I54" s="3498">
        <v>42698</v>
      </c>
      <c r="J54" s="3497">
        <v>914</v>
      </c>
      <c r="K54" s="3497">
        <v>929</v>
      </c>
      <c r="L54" s="3497">
        <v>213.06</v>
      </c>
      <c r="M54" s="3497">
        <f t="shared" si="0"/>
        <v>311.07188204850712</v>
      </c>
      <c r="N54" s="3497">
        <v>1.64</v>
      </c>
      <c r="O54" s="3496" t="s">
        <v>3162</v>
      </c>
    </row>
    <row r="55" spans="1:15" s="3499" customFormat="1" ht="14.25">
      <c r="A55" s="3494" t="s">
        <v>3163</v>
      </c>
      <c r="B55" s="3495"/>
      <c r="C55" s="3496" t="s">
        <v>3112</v>
      </c>
      <c r="D55" s="3496" t="s">
        <v>3143</v>
      </c>
      <c r="E55" s="3497">
        <v>2445.19</v>
      </c>
      <c r="F55" s="3497">
        <v>611.29999999999995</v>
      </c>
      <c r="G55" s="3497">
        <v>0.25</v>
      </c>
      <c r="H55" s="3496" t="s">
        <v>3115</v>
      </c>
      <c r="I55" s="3498">
        <v>42655</v>
      </c>
      <c r="J55" s="3497">
        <v>93</v>
      </c>
      <c r="K55" s="3497">
        <v>103</v>
      </c>
      <c r="L55" s="3497">
        <v>1684.93</v>
      </c>
      <c r="M55" s="3497">
        <f t="shared" si="0"/>
        <v>421.23515963994618</v>
      </c>
      <c r="N55" s="3497">
        <v>10.75</v>
      </c>
      <c r="O55" s="3496" t="s">
        <v>3164</v>
      </c>
    </row>
    <row r="56" spans="1:15" s="3499" customFormat="1" ht="14.25">
      <c r="A56" s="3494" t="s">
        <v>3165</v>
      </c>
      <c r="B56" s="3495"/>
      <c r="C56" s="3496" t="s">
        <v>3112</v>
      </c>
      <c r="D56" s="3496" t="s">
        <v>3143</v>
      </c>
      <c r="E56" s="3497">
        <v>2099.96</v>
      </c>
      <c r="F56" s="3497">
        <v>629.99</v>
      </c>
      <c r="G56" s="3497" t="s">
        <v>3166</v>
      </c>
      <c r="H56" s="3496" t="s">
        <v>3115</v>
      </c>
      <c r="I56" s="3498">
        <v>42457</v>
      </c>
      <c r="J56" s="3497">
        <v>69</v>
      </c>
      <c r="K56" s="3497">
        <v>79</v>
      </c>
      <c r="L56" s="3497">
        <v>1253.99</v>
      </c>
      <c r="M56" s="3497">
        <f t="shared" si="0"/>
        <v>376.19764185984496</v>
      </c>
      <c r="N56" s="3497">
        <v>14.49</v>
      </c>
      <c r="O56" s="3496" t="s">
        <v>3167</v>
      </c>
    </row>
    <row r="57" spans="1:15" s="3499" customFormat="1" ht="14.25">
      <c r="A57" s="3494" t="s">
        <v>3149</v>
      </c>
      <c r="B57" s="3495"/>
      <c r="C57" s="3496" t="s">
        <v>3112</v>
      </c>
      <c r="D57" s="3496" t="s">
        <v>3143</v>
      </c>
      <c r="E57" s="3497">
        <v>29573.56</v>
      </c>
      <c r="F57" s="3497">
        <v>35488.269999999997</v>
      </c>
      <c r="G57" s="3497" t="s">
        <v>3161</v>
      </c>
      <c r="H57" s="3496" t="s">
        <v>3115</v>
      </c>
      <c r="I57" s="3498">
        <v>42376</v>
      </c>
      <c r="J57" s="3497">
        <v>1356</v>
      </c>
      <c r="K57" s="3497">
        <v>1386</v>
      </c>
      <c r="L57" s="3497">
        <v>390.55</v>
      </c>
      <c r="M57" s="3497">
        <f t="shared" si="0"/>
        <v>468.66187229403562</v>
      </c>
      <c r="N57" s="3497">
        <v>2.21</v>
      </c>
      <c r="O57" s="3496" t="s">
        <v>3168</v>
      </c>
    </row>
    <row r="58" spans="1:15" s="3499" customFormat="1" ht="14.25">
      <c r="A58" s="3494" t="s">
        <v>3169</v>
      </c>
      <c r="B58" s="3495"/>
      <c r="C58" s="3496" t="s">
        <v>3112</v>
      </c>
      <c r="D58" s="3496" t="s">
        <v>3143</v>
      </c>
      <c r="E58" s="3497">
        <v>1650.63</v>
      </c>
      <c r="F58" s="3497">
        <v>412.66</v>
      </c>
      <c r="G58" s="3497">
        <v>0.25</v>
      </c>
      <c r="H58" s="3496" t="s">
        <v>3115</v>
      </c>
      <c r="I58" s="3498">
        <v>42334</v>
      </c>
      <c r="J58" s="3497">
        <v>63</v>
      </c>
      <c r="K58" s="3497">
        <v>68</v>
      </c>
      <c r="L58" s="3497">
        <v>1647.84</v>
      </c>
      <c r="M58" s="3497">
        <f t="shared" si="0"/>
        <v>411.96391680752197</v>
      </c>
      <c r="N58" s="3497">
        <v>7.94</v>
      </c>
      <c r="O58" s="3496" t="s">
        <v>3170</v>
      </c>
    </row>
    <row r="59" spans="1:15" s="3499" customFormat="1" ht="14.25">
      <c r="A59" s="3494" t="s">
        <v>3171</v>
      </c>
      <c r="B59" s="3495"/>
      <c r="C59" s="3496" t="s">
        <v>3112</v>
      </c>
      <c r="D59" s="3496" t="s">
        <v>3143</v>
      </c>
      <c r="E59" s="3497">
        <v>4650.37</v>
      </c>
      <c r="F59" s="3497">
        <v>1162.5899999999999</v>
      </c>
      <c r="G59" s="3497">
        <v>0.25</v>
      </c>
      <c r="H59" s="3496" t="s">
        <v>3115</v>
      </c>
      <c r="I59" s="3498">
        <v>42297</v>
      </c>
      <c r="J59" s="3497">
        <v>180</v>
      </c>
      <c r="K59" s="3497">
        <v>185</v>
      </c>
      <c r="L59" s="3497">
        <v>1591.26</v>
      </c>
      <c r="M59" s="3497">
        <f t="shared" si="0"/>
        <v>397.81780804538135</v>
      </c>
      <c r="N59" s="3497">
        <v>2.78</v>
      </c>
      <c r="O59" s="3496" t="s">
        <v>3172</v>
      </c>
    </row>
    <row r="60" spans="1:15" s="3499" customFormat="1" ht="14.25">
      <c r="A60" s="3494" t="s">
        <v>3173</v>
      </c>
      <c r="B60" s="3495"/>
      <c r="C60" s="3496" t="s">
        <v>3112</v>
      </c>
      <c r="D60" s="3496" t="s">
        <v>3143</v>
      </c>
      <c r="E60" s="3497">
        <v>2793.6</v>
      </c>
      <c r="F60" s="3497">
        <v>4469.76</v>
      </c>
      <c r="G60" s="3497" t="s">
        <v>3119</v>
      </c>
      <c r="H60" s="3496" t="s">
        <v>3115</v>
      </c>
      <c r="I60" s="3498">
        <v>42285</v>
      </c>
      <c r="J60" s="3497">
        <v>59</v>
      </c>
      <c r="K60" s="3497">
        <v>64</v>
      </c>
      <c r="L60" s="3497">
        <v>143.18</v>
      </c>
      <c r="M60" s="3497">
        <f t="shared" si="0"/>
        <v>229.09507445589921</v>
      </c>
      <c r="N60" s="3497">
        <v>8.4700000000000006</v>
      </c>
      <c r="O60" s="3496" t="s">
        <v>3174</v>
      </c>
    </row>
    <row r="61" spans="1:15" s="3499" customFormat="1" ht="14.25">
      <c r="A61" s="3494" t="s">
        <v>3175</v>
      </c>
      <c r="B61" s="3495"/>
      <c r="C61" s="3496" t="s">
        <v>3112</v>
      </c>
      <c r="D61" s="3496" t="s">
        <v>3143</v>
      </c>
      <c r="E61" s="3497">
        <v>67569.63</v>
      </c>
      <c r="F61" s="3497">
        <v>148653.20000000001</v>
      </c>
      <c r="G61" s="3497" t="s">
        <v>3152</v>
      </c>
      <c r="H61" s="3496" t="s">
        <v>3115</v>
      </c>
      <c r="I61" s="3498">
        <v>42272</v>
      </c>
      <c r="J61" s="3497">
        <v>9122</v>
      </c>
      <c r="K61" s="3497">
        <v>9182</v>
      </c>
      <c r="L61" s="3497">
        <v>617.66999999999996</v>
      </c>
      <c r="M61" s="3497">
        <f t="shared" si="0"/>
        <v>1358.8945211036378</v>
      </c>
      <c r="N61" s="3497">
        <v>0.66</v>
      </c>
      <c r="O61" s="3496" t="s">
        <v>3176</v>
      </c>
    </row>
    <row r="62" spans="1:15" s="3499" customFormat="1" ht="14.25">
      <c r="A62" s="3494" t="s">
        <v>3177</v>
      </c>
      <c r="B62" s="3495"/>
      <c r="C62" s="3496" t="s">
        <v>3112</v>
      </c>
      <c r="D62" s="3496" t="s">
        <v>3143</v>
      </c>
      <c r="E62" s="3497">
        <v>5814.36</v>
      </c>
      <c r="F62" s="3497">
        <v>10465.85</v>
      </c>
      <c r="G62" s="3497" t="s">
        <v>3119</v>
      </c>
      <c r="H62" s="3496" t="s">
        <v>3115</v>
      </c>
      <c r="I62" s="3498">
        <v>42261</v>
      </c>
      <c r="J62" s="3497">
        <v>303</v>
      </c>
      <c r="K62" s="3497">
        <v>313</v>
      </c>
      <c r="L62" s="3497">
        <v>299.06</v>
      </c>
      <c r="M62" s="3497">
        <f t="shared" si="0"/>
        <v>538.32236050055383</v>
      </c>
      <c r="N62" s="3497">
        <v>3.3</v>
      </c>
      <c r="O62" s="3496" t="s">
        <v>3179</v>
      </c>
    </row>
  </sheetData>
  <phoneticPr fontId="233" type="noConversion"/>
  <hyperlinks>
    <hyperlink ref="A3" r:id="rId1" tooltip="九真镇九真村" display="http://land.creis.fang.com/Detail?sParceliD=25ffa2fe-038c-4076-ae66-ffb623e6444b"/>
    <hyperlink ref="A4" r:id="rId2" tooltip="九真镇九真村" display="http://land.creis.fang.com/Detail?sParceliD=2f52b958-1dd5-46a2-9235-399436b849ca"/>
    <hyperlink ref="A5" r:id="rId3" tooltip="九真镇九真村" display="http://land.creis.fang.com/Detail?sParceliD=312436eb-75ee-4123-82c9-882748585e3c"/>
    <hyperlink ref="A6" r:id="rId4" tooltip="九真镇九真村" display="http://land.creis.fang.com/Detail?sParceliD=e2b36c66-711e-4567-b636-6ab2488f13c4"/>
    <hyperlink ref="A7" r:id="rId5" tooltip="马湾镇陈马村" display="http://land.creis.fang.com/Detail?sParceliD=cdaac152-fce0-4a63-815e-c3ed7971cceb"/>
    <hyperlink ref="A8" r:id="rId6" tooltip="天门市小板镇黄金村" display="http://land.creis.fang.com/Detail?sParceliD=33f9eae1-790a-4816-8303-64a4d67edc9c"/>
    <hyperlink ref="A9" r:id="rId7" tooltip="杨林办事处杨林口村" display="http://land.creis.fang.com/Detail?sParceliD=1bad0957-9ec4-413f-a7e0-2fdba09dcd6d"/>
    <hyperlink ref="A10" r:id="rId8" tooltip="杨林办事处徐渡村" display="http://land.creis.fang.com/Detail?sParceliD=7e055afc-97d4-4c39-b72e-0cd883708524"/>
    <hyperlink ref="A11" r:id="rId9" tooltip="天门经济开发区汇侨大道以南" display="http://land.creis.fang.com/Detail?sParceliD=0dc8d68a-0ffa-45bf-9eb1-be927b200d9c"/>
    <hyperlink ref="A12" r:id="rId10" tooltip="天门经济开发区汇侨大道以南" display="http://land.creis.fang.com/Detail?sParceliD=321f5981-09e4-48e2-b1b2-14094a755e9e"/>
    <hyperlink ref="A13" r:id="rId11" tooltip="天门市竟陵办事处北湖大道南侧" display="http://land.creis.fang.com/Detail?sParceliD=97ad19e7-3455-480b-8273-9459ef41329f"/>
    <hyperlink ref="A14" r:id="rId12" tooltip="竟陵办事处西龙社区" display="http://land.creis.fang.com/Detail?sParceliD=94ab03d0-4475-40eb-8c77-725031e89e67"/>
    <hyperlink ref="A15" r:id="rId13" tooltip="竟陵办事处公园村" display="http://land.creis.fang.com/Detail?sParceliD=a38ff882-15fe-438a-b090-5e7cee72e2fd"/>
    <hyperlink ref="A16" r:id="rId14" tooltip="竟陵办事处华侨大道南侧" display="http://land.creis.fang.com/Detail?sParceliD=309bc277-0974-48d3-b34c-59832941d0e0"/>
    <hyperlink ref="A17" r:id="rId15" tooltip="竟陵办事处华侨大道南侧" display="http://land.creis.fang.com/Detail?sParceliD=a3051b24-030d-4a1b-aefc-9b9df53b1969"/>
    <hyperlink ref="A18" r:id="rId16" tooltip="九真镇九真村" display="http://land.creis.fang.com/Detail?sParceliD=25ffa2fe-038c-4076-ae66-ffb623e6444b"/>
    <hyperlink ref="A19" r:id="rId17" tooltip="九真镇九真村" display="http://land.creis.fang.com/Detail?sParceliD=2f52b958-1dd5-46a2-9235-399436b849ca"/>
    <hyperlink ref="A20" r:id="rId18" tooltip="九真镇九真村" display="http://land.creis.fang.com/Detail?sParceliD=312436eb-75ee-4123-82c9-882748585e3c"/>
    <hyperlink ref="A21" r:id="rId19" tooltip="九真镇九真村" display="http://land.creis.fang.com/Detail?sParceliD=e2b36c66-711e-4567-b636-6ab2488f13c4"/>
    <hyperlink ref="A22" r:id="rId20" tooltip="马湾镇陈马村" display="http://land.creis.fang.com/Detail?sParceliD=cdaac152-fce0-4a63-815e-c3ed7971cceb"/>
    <hyperlink ref="A23" r:id="rId21" tooltip="天门市小板镇黄金村" display="http://land.creis.fang.com/Detail?sParceliD=33f9eae1-790a-4816-8303-64a4d67edc9c"/>
    <hyperlink ref="A24" r:id="rId22" tooltip="杨林办事处杨林口村" display="http://land.creis.fang.com/Detail?sParceliD=1bad0957-9ec4-413f-a7e0-2fdba09dcd6d"/>
    <hyperlink ref="A25" r:id="rId23" tooltip="杨林办事处徐渡村" display="http://land.creis.fang.com/Detail?sParceliD=7e055afc-97d4-4c39-b72e-0cd883708524"/>
    <hyperlink ref="A26" r:id="rId24" tooltip="天门经济开发区汇侨大道以南" display="http://land.creis.fang.com/Detail?sParceliD=0dc8d68a-0ffa-45bf-9eb1-be927b200d9c"/>
    <hyperlink ref="A27" r:id="rId25" tooltip="天门经济开发区汇侨大道以南" display="http://land.creis.fang.com/Detail?sParceliD=321f5981-09e4-48e2-b1b2-14094a755e9e"/>
    <hyperlink ref="A28" r:id="rId26" tooltip="天门市竟陵办事处北湖大道南侧" display="http://land.creis.fang.com/Detail?sParceliD=97ad19e7-3455-480b-8273-9459ef41329f"/>
    <hyperlink ref="A29" r:id="rId27" tooltip="竟陵办事处西龙社区" display="http://land.creis.fang.com/Detail?sParceliD=94ab03d0-4475-40eb-8c77-725031e89e67"/>
    <hyperlink ref="A30" r:id="rId28" tooltip="竟陵办事处公园村" display="http://land.creis.fang.com/Detail?sParceliD=a38ff882-15fe-438a-b090-5e7cee72e2fd"/>
    <hyperlink ref="A31" r:id="rId29" tooltip="竟陵办事处华侨大道南侧" display="http://land.creis.fang.com/Detail?sParceliD=309bc277-0974-48d3-b34c-59832941d0e0"/>
    <hyperlink ref="A32" r:id="rId30" tooltip="竟陵办事处华侨大道南侧" display="http://land.creis.fang.com/Detail?sParceliD=a3051b24-030d-4a1b-aefc-9b9df53b1969"/>
    <hyperlink ref="A33" r:id="rId31" tooltip="天门工业园滨江大道" display="http://land.creis.fang.com/Detail?sParceliD=55891496-3b3c-48f1-94d6-0583fb7bdca1"/>
    <hyperlink ref="A34" r:id="rId32" tooltip="天门多祥镇东号字村" display="http://land.creis.fang.com/Detail?sParceliD=e1bcb3d6-d9df-49b8-85cc-42224816d3b9"/>
    <hyperlink ref="A35" r:id="rId33" tooltip="小板镇金科村" display="http://land.creis.fang.com/Detail?sParceliD=4ea38b35-f2bb-4caf-aa4e-b2d13990ab60"/>
    <hyperlink ref="A36" r:id="rId34" tooltip="天门城区东环路东侧" display="http://land.creis.fang.com/Detail?sParceliD=7317a196-a78e-44e6-8de4-c8b6a432bb9b"/>
    <hyperlink ref="A37" r:id="rId35" tooltip="天门工业园8号路交2号路东南角" display="http://land.creis.fang.com/Detail?sParceliD=de43ff84-c7ca-4952-9506-f843e53d2423"/>
    <hyperlink ref="A38" r:id="rId36" tooltip="汪场镇罗阳村" display="http://land.creis.fang.com/Detail?sParceliD=627871d3-499f-467c-bf7b-d6d6b7e77ef3"/>
    <hyperlink ref="A39" r:id="rId37" tooltip="麻洋镇边湖村" display="http://land.creis.fang.com/Detail?sParceliD=723e5eb4-0ce1-4556-b3de-9e1da5ef406c"/>
    <hyperlink ref="A40" r:id="rId38" tooltip="石河镇姚岭村" display="http://land.creis.fang.com/Detail?sParceliD=a9127974-a0f8-4284-8e42-d7c5a2b73200"/>
    <hyperlink ref="A41" r:id="rId39" tooltip="拖市镇夏场村" display="http://land.creis.fang.com/Detail?sParceliD=84013115-6c71-4657-aa6d-9c3771732fa5"/>
    <hyperlink ref="A42" r:id="rId40" tooltip="小板镇金科村" display="http://land.creis.fang.com/Detail?sParceliD=a957c048-a7a6-42a9-8213-3dedccd61847"/>
    <hyperlink ref="A43" r:id="rId41" tooltip="石河镇界牌村" display="http://land.creis.fang.com/Detail?sParceliD=9410ed3d-ea0a-493e-8870-ba41df7db01f"/>
    <hyperlink ref="A44" r:id="rId42" tooltip="岳口镇薛熊滩村" display="http://land.creis.fang.com/Detail?sParceliD=417329ae-b35a-4c74-99ed-46adfc9a3f86"/>
    <hyperlink ref="A45" r:id="rId43" tooltip="皂市镇邱桥村、兴隆村" display="http://land.creis.fang.com/Detail?sParceliD=d04d1d21-2d58-4671-b7a3-a91d806cfb36"/>
    <hyperlink ref="A46" r:id="rId44" tooltip="竟陵办事处陆羽大道" display="http://land.creis.fang.com/Detail?sParceliD=4ff689c9-e6ab-4bcf-b333-215210ec11df"/>
    <hyperlink ref="A47" r:id="rId45" tooltip="多祥镇鲁台村" display="http://land.creis.fang.com/Detail?sParceliD=59c0b847-e1b0-4e60-9385-9473c534f8ca"/>
    <hyperlink ref="A48" r:id="rId46" tooltip="天门工业园滨江大道" display="http://land.creis.fang.com/Detail?sParceliD=55891496-3b3c-48f1-94d6-0583fb7bdca1"/>
    <hyperlink ref="A49" r:id="rId47" tooltip="天门多祥镇东号字村" display="http://land.creis.fang.com/Detail?sParceliD=e1bcb3d6-d9df-49b8-85cc-42224816d3b9"/>
    <hyperlink ref="A50" r:id="rId48" tooltip="小板镇金科村" display="http://land.creis.fang.com/Detail?sParceliD=4ea38b35-f2bb-4caf-aa4e-b2d13990ab60"/>
    <hyperlink ref="A51" r:id="rId49" tooltip="天门城区东环路东侧" display="http://land.creis.fang.com/Detail?sParceliD=7317a196-a78e-44e6-8de4-c8b6a432bb9b"/>
    <hyperlink ref="A52" r:id="rId50" tooltip="天门工业园8号路交2号路东南角" display="http://land.creis.fang.com/Detail?sParceliD=de43ff84-c7ca-4952-9506-f843e53d2423"/>
    <hyperlink ref="A53" r:id="rId51" tooltip="汪场镇罗阳村" display="http://land.creis.fang.com/Detail?sParceliD=627871d3-499f-467c-bf7b-d6d6b7e77ef3"/>
    <hyperlink ref="A54" r:id="rId52" tooltip="麻洋镇边湖村" display="http://land.creis.fang.com/Detail?sParceliD=723e5eb4-0ce1-4556-b3de-9e1da5ef406c"/>
    <hyperlink ref="A55" r:id="rId53" tooltip="石河镇姚岭村" display="http://land.creis.fang.com/Detail?sParceliD=a9127974-a0f8-4284-8e42-d7c5a2b73200"/>
    <hyperlink ref="A56" r:id="rId54" tooltip="拖市镇夏场村" display="http://land.creis.fang.com/Detail?sParceliD=84013115-6c71-4657-aa6d-9c3771732fa5"/>
    <hyperlink ref="A57" r:id="rId55" tooltip="小板镇金科村" display="http://land.creis.fang.com/Detail?sParceliD=a957c048-a7a6-42a9-8213-3dedccd61847"/>
    <hyperlink ref="A58" r:id="rId56" tooltip="石河镇界牌村" display="http://land.creis.fang.com/Detail?sParceliD=9410ed3d-ea0a-493e-8870-ba41df7db01f"/>
    <hyperlink ref="A59" r:id="rId57" tooltip="岳口镇薛熊滩村" display="http://land.creis.fang.com/Detail?sParceliD=417329ae-b35a-4c74-99ed-46adfc9a3f86"/>
    <hyperlink ref="A60" r:id="rId58" tooltip="皂市镇邱桥村、兴隆村" display="http://land.creis.fang.com/Detail?sParceliD=d04d1d21-2d58-4671-b7a3-a91d806cfb36"/>
    <hyperlink ref="A61" r:id="rId59" tooltip="竟陵办事处陆羽大道" display="http://land.creis.fang.com/Detail?sParceliD=4ff689c9-e6ab-4bcf-b333-215210ec11df"/>
    <hyperlink ref="A62" r:id="rId60" tooltip="多祥镇鲁台村" display="http://land.creis.fang.com/Detail?sParceliD=59c0b847-e1b0-4e60-9385-9473c534f8ca"/>
  </hyperlinks>
  <pageMargins left="0.70866141732283472" right="0.70866141732283472" top="0.74803149606299213" bottom="0.74803149606299213" header="0.31496062992125984" footer="0.31496062992125984"/>
  <pageSetup paperSize="9" orientation="landscape" r:id="rId6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2040</v>
      </c>
      <c r="B1" s="3192"/>
      <c r="C1" s="3192"/>
      <c r="D1" s="3192"/>
      <c r="E1" s="3192"/>
      <c r="F1" s="3192"/>
      <c r="G1" s="3192"/>
      <c r="H1" s="3192"/>
      <c r="I1" s="3192"/>
      <c r="J1" s="3192"/>
      <c r="K1" s="3192"/>
      <c r="L1" s="3192"/>
      <c r="M1" s="3192"/>
      <c r="N1" s="3192"/>
      <c r="O1" s="3192"/>
      <c r="P1" s="3192"/>
      <c r="Q1" s="3192"/>
      <c r="R1" s="3192"/>
    </row>
    <row r="2" spans="1:18">
      <c r="A2" s="1808" t="s">
        <v>2042</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2031</v>
      </c>
      <c r="B3" s="3193" t="s">
        <v>2737</v>
      </c>
      <c r="C3" s="3194" t="s">
        <v>2032</v>
      </c>
      <c r="D3" s="3193" t="s">
        <v>2741</v>
      </c>
      <c r="E3" s="3188" t="s">
        <v>2033</v>
      </c>
      <c r="F3" s="3188"/>
      <c r="G3" s="3188"/>
      <c r="H3" s="3188" t="s">
        <v>2034</v>
      </c>
      <c r="I3" s="3188"/>
      <c r="J3" s="3188"/>
      <c r="K3" s="3194" t="s">
        <v>2035</v>
      </c>
      <c r="L3" s="3194" t="s">
        <v>2036</v>
      </c>
      <c r="M3" s="3193" t="s">
        <v>2738</v>
      </c>
      <c r="N3" s="3195" t="str">
        <f>"（分摊）"&amp;项目基本情况!B16&amp;"国有建设用地使用权面积/㎡"</f>
        <v>（分摊）出让国有建设用地使用权面积/㎡</v>
      </c>
      <c r="O3" s="3193" t="s">
        <v>2065</v>
      </c>
      <c r="P3" s="3194" t="s">
        <v>2045</v>
      </c>
      <c r="Q3" s="3194" t="s">
        <v>2066</v>
      </c>
      <c r="R3" s="3194" t="s">
        <v>2037</v>
      </c>
    </row>
    <row r="4" spans="1:18" ht="36.75" customHeight="1">
      <c r="A4" s="3193"/>
      <c r="B4" s="3193"/>
      <c r="C4" s="3194"/>
      <c r="D4" s="3193"/>
      <c r="E4" s="2675" t="s">
        <v>2044</v>
      </c>
      <c r="F4" s="2675" t="s">
        <v>2750</v>
      </c>
      <c r="G4" s="2675" t="s">
        <v>2038</v>
      </c>
      <c r="H4" s="2675" t="s">
        <v>2039</v>
      </c>
      <c r="I4" s="2675" t="s">
        <v>2751</v>
      </c>
      <c r="J4" s="2675" t="s">
        <v>2038</v>
      </c>
      <c r="K4" s="3194"/>
      <c r="L4" s="3194"/>
      <c r="M4" s="3193"/>
      <c r="N4" s="3195"/>
      <c r="O4" s="3193"/>
      <c r="P4" s="3194"/>
      <c r="Q4" s="3194"/>
      <c r="R4" s="3194"/>
    </row>
    <row r="5" spans="1:18" ht="135" customHeight="1">
      <c r="A5" s="1944" t="s">
        <v>2661</v>
      </c>
      <c r="B5" s="2894" t="s">
        <v>2659</v>
      </c>
      <c r="C5" s="2674">
        <v>22</v>
      </c>
      <c r="D5" s="2673" t="s">
        <v>2660</v>
      </c>
      <c r="E5" s="1811" t="str">
        <f>项目基本情况!B12</f>
        <v>住宅、商业</v>
      </c>
      <c r="F5" s="2673">
        <v>258</v>
      </c>
      <c r="G5" s="1811" t="str">
        <f>项目基本情况!B13</f>
        <v>住宅、商业</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住宅66.31年、商业36.29年</v>
      </c>
      <c r="N5" s="1811">
        <f>项目基本情况!C22</f>
        <v>28593.8</v>
      </c>
      <c r="O5" s="1811">
        <f>项目基本情况!C21</f>
        <v>62906.36</v>
      </c>
      <c r="P5" s="1811">
        <f ca="1">结果表!E42</f>
        <v>2762</v>
      </c>
      <c r="Q5" s="1811">
        <f ca="1">结果表!D42</f>
        <v>1256</v>
      </c>
      <c r="R5" s="1812">
        <f ca="1">结果表!C42</f>
        <v>7899</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3">
        <f ca="1">结果表!O39</f>
        <v>7899</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7" t="s">
        <v>2067</v>
      </c>
      <c r="B1" s="3197"/>
      <c r="C1" s="3197"/>
      <c r="D1" s="3197"/>
    </row>
    <row r="2" spans="1:4" ht="47.25" customHeight="1">
      <c r="A2" s="3198" t="str">
        <f>"1.权利限制："&amp;项目基本情况!L24&amp;"未设定租赁等其他他项权利。"</f>
        <v>1.权利限制：根据估价对象《国有土地使用权》复印件，截至估价期日，估价对象抵押权未见登记。未设定租赁等其他他项权利。</v>
      </c>
      <c r="B2" s="3198"/>
      <c r="C2" s="3198"/>
      <c r="D2" s="3198"/>
    </row>
    <row r="3" spans="1:4" ht="48" customHeight="1">
      <c r="A3" s="31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7"/>
      <c r="C3" s="3197"/>
      <c r="D3" s="3197"/>
    </row>
    <row r="4" spans="1:4" ht="36.75" customHeight="1">
      <c r="A4" s="3197" t="str">
        <f>"3.估价规划限制条件：详见"&amp;项目基本情况!E21&amp;"。"</f>
        <v>3.估价规划限制条件：详见《国有建设用地使用权出让合同》[合同编号:鄂TM-2013-168]及附件。</v>
      </c>
      <c r="B4" s="3197"/>
      <c r="C4" s="3197"/>
      <c r="D4" s="3197"/>
    </row>
    <row r="5" spans="1:4">
      <c r="A5" s="3196" t="s">
        <v>2068</v>
      </c>
      <c r="B5" s="3196"/>
      <c r="C5" s="3196"/>
      <c r="D5" s="3196"/>
    </row>
    <row r="6" spans="1:4">
      <c r="A6" s="3197" t="s">
        <v>2046</v>
      </c>
      <c r="B6" s="3197"/>
      <c r="C6" s="3197"/>
      <c r="D6" s="3197"/>
    </row>
    <row r="7" spans="1:4" ht="33" customHeight="1">
      <c r="A7" s="3197" t="s">
        <v>2579</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（1）根据估价对象《国有土地使用权》复印件，截至估价期日，估价对象抵押权未见登记。</v>
      </c>
      <c r="B11" s="3199"/>
      <c r="C11" s="3199"/>
      <c r="D11" s="3199"/>
    </row>
    <row r="12" spans="1:4" ht="168" customHeight="1">
      <c r="A12" s="3196" t="s">
        <v>2070</v>
      </c>
      <c r="B12" s="3196"/>
      <c r="C12" s="3196"/>
      <c r="D12" s="3196"/>
    </row>
    <row r="13" spans="1:4">
      <c r="A13" s="3200" t="s">
        <v>2752</v>
      </c>
      <c r="B13" s="3200"/>
      <c r="C13" s="3200"/>
      <c r="D13" s="3200"/>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2708</v>
      </c>
      <c r="B17" s="3197"/>
      <c r="C17" s="3197"/>
      <c r="D17" s="3197"/>
    </row>
    <row r="18" spans="1:4">
      <c r="A18" s="3197" t="s">
        <v>2700</v>
      </c>
      <c r="B18" s="3197"/>
      <c r="C18" s="3197"/>
      <c r="D18" s="3197"/>
    </row>
    <row r="19" spans="1:4">
      <c r="A19" s="2895" t="s">
        <v>2701</v>
      </c>
      <c r="B19" s="2895" t="s">
        <v>2702</v>
      </c>
      <c r="C19" s="2895" t="s">
        <v>2703</v>
      </c>
      <c r="D19" s="2895" t="s">
        <v>2704</v>
      </c>
    </row>
    <row r="20" spans="1:4">
      <c r="A20" s="2895" t="str">
        <f>项目基本情况!B4</f>
        <v>梁津</v>
      </c>
      <c r="B20" s="2895">
        <f ca="1">项目基本情况!C4</f>
        <v>96010014</v>
      </c>
      <c r="C20" s="2897"/>
      <c r="D20" s="1801" t="s">
        <v>2709</v>
      </c>
    </row>
    <row r="21" spans="1:4">
      <c r="A21" s="2895" t="str">
        <f>项目基本情况!D4</f>
        <v>王鹏</v>
      </c>
      <c r="B21" s="2895">
        <f ca="1">项目基本情况!E4</f>
        <v>2002110030</v>
      </c>
      <c r="C21" s="2897"/>
      <c r="D21" s="1801" t="s">
        <v>2710</v>
      </c>
    </row>
    <row r="23" spans="1:4">
      <c r="A23" s="3197" t="s">
        <v>2705</v>
      </c>
      <c r="B23" s="3197"/>
      <c r="C23" s="3197"/>
      <c r="D23" s="3197"/>
    </row>
    <row r="24" spans="1:4">
      <c r="A24" s="2895" t="s">
        <v>2701</v>
      </c>
      <c r="B24" s="2895" t="s">
        <v>2706</v>
      </c>
      <c r="C24" s="2895" t="s">
        <v>2703</v>
      </c>
      <c r="D24" s="2895" t="s">
        <v>2704</v>
      </c>
    </row>
    <row r="25" spans="1:4">
      <c r="A25" s="2898" t="s">
        <v>2707</v>
      </c>
      <c r="B25" s="2895" t="s">
        <v>953</v>
      </c>
      <c r="C25" s="2897"/>
      <c r="D25" s="1801" t="s">
        <v>2710</v>
      </c>
    </row>
    <row r="29" spans="1:4">
      <c r="D29" s="2896" t="s">
        <v>2041</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8" t="s">
        <v>53</v>
      </c>
      <c r="B15" s="3209" t="s">
        <v>847</v>
      </c>
      <c r="C15" s="3205"/>
    </row>
    <row r="16" spans="1:7" ht="14.25">
      <c r="A16" s="3208"/>
      <c r="B16" s="3206" t="s">
        <v>54</v>
      </c>
      <c r="C16" s="1172" t="s">
        <v>53</v>
      </c>
    </row>
    <row r="17" spans="1:3" ht="14.25">
      <c r="A17" s="3208"/>
      <c r="B17" s="3206"/>
      <c r="C17" s="1172" t="s">
        <v>55</v>
      </c>
    </row>
    <row r="18" spans="1:3" ht="14.25">
      <c r="A18" s="3208"/>
      <c r="B18" s="3206"/>
      <c r="C18" s="1172" t="s">
        <v>56</v>
      </c>
    </row>
    <row r="19" spans="1:3" ht="14.25">
      <c r="A19" s="3208"/>
      <c r="B19" s="3204" t="s">
        <v>57</v>
      </c>
      <c r="C19" s="3205"/>
    </row>
    <row r="20" spans="1:3" ht="14.25">
      <c r="A20" s="1173" t="s">
        <v>58</v>
      </c>
      <c r="B20" s="1174"/>
      <c r="C20" s="1175"/>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6" t="s">
        <v>838</v>
      </c>
    </row>
    <row r="25" spans="1:3" ht="14.25">
      <c r="A25" s="3207"/>
      <c r="B25" s="3211"/>
      <c r="C25" s="1176" t="s">
        <v>839</v>
      </c>
    </row>
    <row r="26" spans="1:3" ht="14.25">
      <c r="A26" s="3207"/>
      <c r="B26" s="3211"/>
      <c r="C26" s="1176" t="s">
        <v>840</v>
      </c>
    </row>
    <row r="27" spans="1:3" ht="14.25">
      <c r="A27" s="3207"/>
      <c r="B27" s="3211"/>
      <c r="C27" s="1176" t="s">
        <v>841</v>
      </c>
    </row>
    <row r="28" spans="1:3" ht="14.25">
      <c r="A28" s="3207"/>
      <c r="B28" s="3211"/>
      <c r="C28" s="1176" t="s">
        <v>842</v>
      </c>
    </row>
    <row r="29" spans="1:3" ht="14.25">
      <c r="A29" s="3207"/>
      <c r="B29" s="3211"/>
      <c r="C29" s="1176" t="s">
        <v>843</v>
      </c>
    </row>
    <row r="30" spans="1:3" ht="14.25">
      <c r="A30" s="3207"/>
      <c r="B30" s="3211"/>
      <c r="C30" s="1176" t="s">
        <v>844</v>
      </c>
    </row>
    <row r="31" spans="1:3" ht="14.25">
      <c r="A31" s="3207"/>
      <c r="B31" s="3211"/>
      <c r="C31" s="1176" t="s">
        <v>845</v>
      </c>
    </row>
    <row r="32" spans="1:3" ht="14.25">
      <c r="A32" s="3207"/>
      <c r="B32" s="3211"/>
      <c r="C32" s="1176" t="s">
        <v>1648</v>
      </c>
    </row>
    <row r="33" spans="1:3" ht="14.25">
      <c r="A33" s="3207"/>
      <c r="B33" s="3201" t="s">
        <v>1654</v>
      </c>
      <c r="C33" s="1176" t="s">
        <v>1649</v>
      </c>
    </row>
    <row r="34" spans="1:3" ht="14.25">
      <c r="A34" s="3207"/>
      <c r="B34" s="3202"/>
      <c r="C34" s="1181" t="s">
        <v>1650</v>
      </c>
    </row>
    <row r="35" spans="1:3" ht="14.25">
      <c r="A35" s="3207"/>
      <c r="B35" s="3202"/>
      <c r="C35" s="1182" t="s">
        <v>1651</v>
      </c>
    </row>
    <row r="36" spans="1:3" ht="14.25">
      <c r="A36" s="3207"/>
      <c r="B36" s="3202"/>
      <c r="C36" s="1182" t="s">
        <v>1652</v>
      </c>
    </row>
    <row r="37" spans="1:3" ht="14.25">
      <c r="A37" s="3207"/>
      <c r="B37" s="320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43074</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2578</v>
      </c>
      <c r="B15" s="2344">
        <v>1120070085</v>
      </c>
      <c r="C15" s="3033">
        <v>43814</v>
      </c>
      <c r="D15" s="2344" t="s">
        <v>2578</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2055</v>
      </c>
      <c r="B24" s="2346" t="s">
        <v>2055</v>
      </c>
      <c r="C24" s="3033"/>
      <c r="D24" s="3035" t="s">
        <v>2055</v>
      </c>
      <c r="E24" s="2346" t="s">
        <v>2055</v>
      </c>
      <c r="F24" s="2347"/>
    </row>
    <row r="25" spans="1:7" ht="20.25" customHeight="1">
      <c r="A25" s="3212" t="s">
        <v>1930</v>
      </c>
      <c r="B25" s="3212"/>
      <c r="C25" s="3212"/>
      <c r="D25" s="3212"/>
      <c r="E25" s="3212"/>
      <c r="F25" s="3212"/>
      <c r="G25" s="3212"/>
    </row>
    <row r="26" spans="1:7" ht="20.25" customHeight="1">
      <c r="A26" s="3213" t="s">
        <v>1931</v>
      </c>
      <c r="B26" s="3213"/>
      <c r="C26" s="3213"/>
      <c r="D26" s="3213" t="s">
        <v>1932</v>
      </c>
      <c r="E26" s="3213"/>
      <c r="F26" s="3213"/>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2549</v>
      </c>
      <c r="R1" s="2607" t="s">
        <v>2543</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2544</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2545</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2546</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2547</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2548</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2961</v>
      </c>
      <c r="C18" s="1555"/>
    </row>
    <row r="19" spans="1:3">
      <c r="A19" s="8" t="s">
        <v>120</v>
      </c>
      <c r="B19" s="3144" t="s">
        <v>2969</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天门汉旺房地产开发有限公司拟使用湖北省天门市竟陵办事处东湖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c r="D53" s="1768"/>
      <c r="E53" s="1768"/>
    </row>
    <row r="54" spans="1:5">
      <c r="A54" s="321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Sheet1</vt:lpstr>
      <vt:lpstr>Sheet2</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2017-12-05T08:01:13Z</cp:lastPrinted>
  <dcterms:created xsi:type="dcterms:W3CDTF">2015-07-13T07:17:23Z</dcterms:created>
  <dcterms:modified xsi:type="dcterms:W3CDTF">2017-12-05T08:25:55Z</dcterms:modified>
</cp:coreProperties>
</file>